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129AAD7-160A-490B-A1CF-627185582E28}" xr6:coauthVersionLast="47" xr6:coauthVersionMax="47" xr10:uidLastSave="{00000000-0000-0000-0000-000000000000}"/>
  <bookViews>
    <workbookView xWindow="760" yWindow="760" windowWidth="28800" windowHeight="15370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Winrevair" sheetId="36" r:id="rId5"/>
    <sheet name="Welireg" sheetId="37" r:id="rId6"/>
    <sheet name="Gardasil" sheetId="3" r:id="rId7"/>
    <sheet name="Lenvima" sheetId="35" r:id="rId8"/>
    <sheet name="Lynparza" sheetId="32" r:id="rId9"/>
    <sheet name="Padcev" sheetId="33" r:id="rId10"/>
    <sheet name="Rotateq" sheetId="17" r:id="rId11"/>
    <sheet name="V940" sheetId="34" r:id="rId12"/>
    <sheet name="0482" sheetId="38" r:id="rId13"/>
    <sheet name="Zostavax" sheetId="15" r:id="rId14"/>
    <sheet name="Vytorin" sheetId="26" r:id="rId15"/>
    <sheet name="Singulair" sheetId="19" r:id="rId16"/>
    <sheet name="Januvia" sheetId="4" r:id="rId17"/>
    <sheet name="odanacatib" sheetId="27" r:id="rId18"/>
    <sheet name="524" sheetId="6" r:id="rId19"/>
    <sheet name="517" sheetId="13" r:id="rId20"/>
    <sheet name="Isentress" sheetId="14" r:id="rId21"/>
    <sheet name="rolofylline" sheetId="25" r:id="rId22"/>
    <sheet name="taranabant" sheetId="23" r:id="rId23"/>
    <sheet name="telcagepant" sheetId="24" r:id="rId24"/>
    <sheet name="457" sheetId="20" r:id="rId25"/>
    <sheet name="vorapaxar" sheetId="28" r:id="rId26"/>
    <sheet name="Crixivan" sheetId="30" r:id="rId27"/>
    <sheet name="Fosamax" sheetId="22" r:id="rId28"/>
    <sheet name="Arcoxia" sheetId="21" r:id="rId29"/>
    <sheet name="Zolinza" sheetId="5" r:id="rId30"/>
  </sheets>
  <externalReferences>
    <externalReference r:id="rId31"/>
    <externalReference r:id="rId32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Y91" i="8" l="1"/>
  <c r="EB31" i="8"/>
  <c r="EA31" i="8"/>
  <c r="DZ31" i="8"/>
  <c r="DY31" i="8"/>
  <c r="CT102" i="8"/>
  <c r="CT89" i="8"/>
  <c r="CT86" i="8"/>
  <c r="CX86" i="8" s="1"/>
  <c r="CU19" i="8"/>
  <c r="CV19" i="8" s="1"/>
  <c r="CW19" i="8" s="1"/>
  <c r="CX19" i="8" s="1"/>
  <c r="CU30" i="8"/>
  <c r="CV30" i="8" s="1"/>
  <c r="CW30" i="8" s="1"/>
  <c r="CX30" i="8" s="1"/>
  <c r="CU29" i="8"/>
  <c r="CV29" i="8" s="1"/>
  <c r="CW29" i="8" s="1"/>
  <c r="CX29" i="8" s="1"/>
  <c r="CU28" i="8"/>
  <c r="CV28" i="8" s="1"/>
  <c r="CW28" i="8" s="1"/>
  <c r="CX28" i="8" s="1"/>
  <c r="CU27" i="8"/>
  <c r="CV27" i="8" s="1"/>
  <c r="CW27" i="8" s="1"/>
  <c r="CX27" i="8" s="1"/>
  <c r="CU26" i="8"/>
  <c r="CV26" i="8" s="1"/>
  <c r="CW26" i="8" s="1"/>
  <c r="CX26" i="8" s="1"/>
  <c r="CU23" i="8"/>
  <c r="CV23" i="8" s="1"/>
  <c r="CW23" i="8" s="1"/>
  <c r="CX23" i="8" s="1"/>
  <c r="CU21" i="8"/>
  <c r="CV21" i="8" s="1"/>
  <c r="CW21" i="8" s="1"/>
  <c r="CX21" i="8" s="1"/>
  <c r="CU20" i="8"/>
  <c r="CV20" i="8" s="1"/>
  <c r="CW20" i="8" s="1"/>
  <c r="CX20" i="8" s="1"/>
  <c r="CX18" i="8"/>
  <c r="CX17" i="8"/>
  <c r="CW17" i="8"/>
  <c r="CV17" i="8"/>
  <c r="CU17" i="8"/>
  <c r="CX16" i="8"/>
  <c r="CW16" i="8"/>
  <c r="CV16" i="8"/>
  <c r="CU16" i="8"/>
  <c r="CU15" i="8"/>
  <c r="CV15" i="8" s="1"/>
  <c r="CW15" i="8" s="1"/>
  <c r="CX15" i="8" s="1"/>
  <c r="CU14" i="8"/>
  <c r="CV14" i="8" s="1"/>
  <c r="CW14" i="8" s="1"/>
  <c r="CX14" i="8" s="1"/>
  <c r="CX13" i="8"/>
  <c r="CW13" i="8"/>
  <c r="CV13" i="8"/>
  <c r="CU13" i="8"/>
  <c r="CX12" i="8"/>
  <c r="CW12" i="8"/>
  <c r="CV12" i="8"/>
  <c r="CU12" i="8"/>
  <c r="CU11" i="8"/>
  <c r="CV11" i="8" s="1"/>
  <c r="CW11" i="8" s="1"/>
  <c r="CX11" i="8" s="1"/>
  <c r="CU10" i="8"/>
  <c r="CV10" i="8" s="1"/>
  <c r="CW10" i="8" s="1"/>
  <c r="CX10" i="8" s="1"/>
  <c r="CX9" i="8"/>
  <c r="CX119" i="8" s="1"/>
  <c r="CW9" i="8"/>
  <c r="CV9" i="8"/>
  <c r="CU9" i="8"/>
  <c r="CU8" i="8"/>
  <c r="CV8" i="8" s="1"/>
  <c r="CW8" i="8" s="1"/>
  <c r="CX8" i="8" s="1"/>
  <c r="CU7" i="8"/>
  <c r="CV7" i="8" s="1"/>
  <c r="CW7" i="8" s="1"/>
  <c r="CX7" i="8" s="1"/>
  <c r="CU6" i="8"/>
  <c r="CV6" i="8" s="1"/>
  <c r="CW6" i="8" s="1"/>
  <c r="CX6" i="8" s="1"/>
  <c r="CU31" i="8"/>
  <c r="CV31" i="8" s="1"/>
  <c r="CW86" i="8"/>
  <c r="CV86" i="8"/>
  <c r="CU86" i="8"/>
  <c r="CX77" i="8"/>
  <c r="CW77" i="8"/>
  <c r="CV77" i="8"/>
  <c r="CU77" i="8"/>
  <c r="CX101" i="8"/>
  <c r="CX102" i="8" s="1"/>
  <c r="CX113" i="8" s="1"/>
  <c r="CW101" i="8"/>
  <c r="CW102" i="8" s="1"/>
  <c r="CW113" i="8" s="1"/>
  <c r="CV101" i="8"/>
  <c r="CV102" i="8" s="1"/>
  <c r="CV113" i="8" s="1"/>
  <c r="CU101" i="8"/>
  <c r="CU102" i="8" s="1"/>
  <c r="CU113" i="8" s="1"/>
  <c r="DY12" i="8"/>
  <c r="DY11" i="8"/>
  <c r="DY10" i="8"/>
  <c r="DY8" i="8"/>
  <c r="DY7" i="8"/>
  <c r="DY6" i="8"/>
  <c r="CX5" i="8"/>
  <c r="CW5" i="8"/>
  <c r="CV5" i="8"/>
  <c r="CU5" i="8"/>
  <c r="DY5" i="8"/>
  <c r="DZ5" i="8" s="1"/>
  <c r="DY4" i="8"/>
  <c r="DX4" i="8"/>
  <c r="CX4" i="8"/>
  <c r="CW4" i="8"/>
  <c r="CV4" i="8"/>
  <c r="CU4" i="8"/>
  <c r="CS102" i="8"/>
  <c r="CW119" i="8"/>
  <c r="CV119" i="8"/>
  <c r="CU119" i="8"/>
  <c r="CW118" i="8"/>
  <c r="CV118" i="8"/>
  <c r="CU118" i="8"/>
  <c r="CS110" i="8"/>
  <c r="CS109" i="8"/>
  <c r="CS108" i="8"/>
  <c r="CS122" i="8"/>
  <c r="CS123" i="8"/>
  <c r="DZ22" i="8"/>
  <c r="DZ18" i="8"/>
  <c r="CU87" i="8" l="1"/>
  <c r="CU107" i="8" s="1"/>
  <c r="CW31" i="8"/>
  <c r="CV87" i="8"/>
  <c r="CV103" i="8"/>
  <c r="CW103" i="8"/>
  <c r="CU103" i="8"/>
  <c r="CX103" i="8"/>
  <c r="CV109" i="8" l="1"/>
  <c r="CV116" i="8"/>
  <c r="CU108" i="8"/>
  <c r="CU116" i="8"/>
  <c r="CV107" i="8"/>
  <c r="CU110" i="8"/>
  <c r="CU109" i="8"/>
  <c r="CV108" i="8"/>
  <c r="CV110" i="8"/>
  <c r="CX31" i="8"/>
  <c r="CW87" i="8"/>
  <c r="CW116" i="8" s="1"/>
  <c r="CU112" i="8"/>
  <c r="CV112" i="8"/>
  <c r="CW108" i="8" l="1"/>
  <c r="CW110" i="8"/>
  <c r="CW107" i="8"/>
  <c r="CW109" i="8"/>
  <c r="CW112" i="8"/>
  <c r="DY9" i="8" l="1"/>
  <c r="CS89" i="8"/>
  <c r="CS165" i="8"/>
  <c r="CS164" i="8"/>
  <c r="CS162" i="8"/>
  <c r="CS161" i="8"/>
  <c r="CS160" i="8"/>
  <c r="CS159" i="8"/>
  <c r="CS158" i="8"/>
  <c r="CS155" i="8"/>
  <c r="CS154" i="8"/>
  <c r="CS153" i="8"/>
  <c r="CS152" i="8"/>
  <c r="CS149" i="8"/>
  <c r="CS148" i="8"/>
  <c r="CS147" i="8"/>
  <c r="CS146" i="8"/>
  <c r="CS145" i="8"/>
  <c r="CS144" i="8"/>
  <c r="CS143" i="8"/>
  <c r="CS142" i="8"/>
  <c r="CS150" i="8"/>
  <c r="CR164" i="8"/>
  <c r="CR162" i="8"/>
  <c r="CR161" i="8"/>
  <c r="CR160" i="8"/>
  <c r="CR163" i="8" s="1"/>
  <c r="CR165" i="8" s="1"/>
  <c r="CR159" i="8"/>
  <c r="CR158" i="8"/>
  <c r="CR155" i="8"/>
  <c r="CR154" i="8"/>
  <c r="CR153" i="8"/>
  <c r="CR152" i="8"/>
  <c r="CR149" i="8"/>
  <c r="CR148" i="8"/>
  <c r="CR147" i="8"/>
  <c r="CR146" i="8"/>
  <c r="CR145" i="8"/>
  <c r="CR144" i="8"/>
  <c r="CR143" i="8"/>
  <c r="CR142" i="8"/>
  <c r="CS171" i="8"/>
  <c r="CS170" i="8"/>
  <c r="CR171" i="8"/>
  <c r="CR170" i="8"/>
  <c r="CR156" i="8"/>
  <c r="CR150" i="8"/>
  <c r="CR141" i="8"/>
  <c r="CS135" i="8"/>
  <c r="CS139" i="8" s="1"/>
  <c r="CS132" i="8"/>
  <c r="CS130" i="8"/>
  <c r="CS128" i="8"/>
  <c r="CX3" i="8"/>
  <c r="DZ3" i="8" s="1"/>
  <c r="EA3" i="8" s="1"/>
  <c r="EB3" i="8" s="1"/>
  <c r="EC3" i="8" s="1"/>
  <c r="ED3" i="8" s="1"/>
  <c r="EE3" i="8" s="1"/>
  <c r="EF3" i="8" s="1"/>
  <c r="EG3" i="8" s="1"/>
  <c r="EH3" i="8" s="1"/>
  <c r="CW3" i="8"/>
  <c r="CV3" i="8"/>
  <c r="CU3" i="8"/>
  <c r="DY3" i="8"/>
  <c r="CS107" i="8"/>
  <c r="CS86" i="8"/>
  <c r="CP164" i="8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S92" i="8"/>
  <c r="CS93" i="8" s="1"/>
  <c r="CS101" i="8" s="1"/>
  <c r="CR92" i="8"/>
  <c r="CR93" i="8" s="1"/>
  <c r="CR101" i="8" s="1"/>
  <c r="CR103" i="8" s="1"/>
  <c r="CU105" i="8"/>
  <c r="CT119" i="8"/>
  <c r="CS119" i="8"/>
  <c r="CN91" i="8"/>
  <c r="CP91" i="8"/>
  <c r="CQ92" i="8"/>
  <c r="CR119" i="8"/>
  <c r="CQ119" i="8"/>
  <c r="CQ86" i="8"/>
  <c r="CQ87" i="8" s="1"/>
  <c r="CQ89" i="8" s="1"/>
  <c r="CP86" i="8"/>
  <c r="CO86" i="8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118" i="8"/>
  <c r="CS118" i="8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100" i="8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34" i="3"/>
  <c r="F34" i="3"/>
  <c r="G34" i="3" s="1"/>
  <c r="H34" i="3" s="1"/>
  <c r="I34" i="3" s="1"/>
  <c r="J34" i="3" s="1"/>
  <c r="K34" i="3" s="1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V105" i="8" l="1"/>
  <c r="CU104" i="8"/>
  <c r="CT113" i="8"/>
  <c r="CX118" i="8"/>
  <c r="CX87" i="8"/>
  <c r="CS103" i="8"/>
  <c r="CS113" i="8"/>
  <c r="CS163" i="8"/>
  <c r="CS156" i="8"/>
  <c r="CP165" i="8"/>
  <c r="CP150" i="8"/>
  <c r="CN139" i="8"/>
  <c r="CJ122" i="8"/>
  <c r="CT87" i="8"/>
  <c r="CS104" i="8"/>
  <c r="CQ165" i="8"/>
  <c r="CQ130" i="8"/>
  <c r="CQ139" i="8"/>
  <c r="CR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Z4" i="8"/>
  <c r="EA4" i="8" s="1"/>
  <c r="EB4" i="8" s="1"/>
  <c r="EC4" i="8" s="1"/>
  <c r="ED4" i="8" s="1"/>
  <c r="DX22" i="8"/>
  <c r="DY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W105" i="8" l="1"/>
  <c r="CV104" i="8"/>
  <c r="CT103" i="8"/>
  <c r="CT104" i="8" s="1"/>
  <c r="CX112" i="8"/>
  <c r="CX116" i="8"/>
  <c r="CX110" i="8"/>
  <c r="CX108" i="8"/>
  <c r="CX107" i="8"/>
  <c r="CX109" i="8"/>
  <c r="CT109" i="8"/>
  <c r="CT107" i="8"/>
  <c r="CT108" i="8"/>
  <c r="CT112" i="8"/>
  <c r="CT110" i="8"/>
  <c r="CS141" i="8"/>
  <c r="CS112" i="8"/>
  <c r="CQ110" i="8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CX105" i="8" l="1"/>
  <c r="CX104" i="8" s="1"/>
  <c r="CW104" i="8"/>
  <c r="DX10" i="8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93" i="8"/>
  <c r="AE101" i="8"/>
  <c r="U189" i="8"/>
  <c r="U104" i="8"/>
  <c r="DF93" i="8"/>
  <c r="AO101" i="8"/>
  <c r="AL116" i="8"/>
  <c r="DO204" i="8"/>
  <c r="AA93" i="8"/>
  <c r="DG93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93" i="8"/>
  <c r="DF110" i="8"/>
  <c r="DF101" i="8"/>
  <c r="DK93" i="8"/>
  <c r="DK107" i="8"/>
  <c r="AM101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AP104" i="8"/>
  <c r="DO89" i="8"/>
  <c r="DO90" i="8"/>
  <c r="DO92" i="8" s="1"/>
  <c r="DF113" i="8"/>
  <c r="DF103" i="8"/>
  <c r="DF19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AA103" i="8"/>
  <c r="AA111" i="8"/>
  <c r="AA113" i="8"/>
  <c r="DN88" i="8"/>
  <c r="DQ204" i="8"/>
  <c r="DI10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100" i="8"/>
  <c r="DM101" i="8" s="1"/>
  <c r="CP107" i="8"/>
  <c r="CM103" i="8"/>
  <c r="CL113" i="8"/>
  <c r="CK113" i="8"/>
  <c r="CO110" i="8"/>
  <c r="CO101" i="8"/>
  <c r="AK104" i="8"/>
  <c r="DQ205" i="8"/>
  <c r="DF104" i="8"/>
  <c r="AJ113" i="8"/>
  <c r="AJ103" i="8"/>
  <c r="DR204" i="8"/>
  <c r="AM104" i="8"/>
  <c r="DK103" i="8"/>
  <c r="DK113" i="8"/>
  <c r="DK111" i="8"/>
  <c r="AA104" i="8"/>
  <c r="AA112" i="8"/>
  <c r="DI102" i="8"/>
  <c r="DI113" i="8" s="1"/>
  <c r="DO93" i="8"/>
  <c r="DO110" i="8" s="1"/>
  <c r="DP89" i="8"/>
  <c r="DP88" i="8" s="1"/>
  <c r="DP90" i="8"/>
  <c r="DP92" i="8" s="1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M102" i="8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S205" i="8"/>
  <c r="DZ88" i="8" l="1"/>
  <c r="EC86" i="8"/>
  <c r="EB87" i="8"/>
  <c r="EA89" i="8"/>
  <c r="EG10" i="8"/>
  <c r="DS93" i="8"/>
  <c r="DS110" i="8" s="1"/>
  <c r="DS88" i="8"/>
  <c r="DN100" i="8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02" i="8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ED88" i="8" l="1"/>
  <c r="EG86" i="8"/>
  <c r="EF87" i="8"/>
  <c r="EE90" i="8"/>
  <c r="EE92" i="8" s="1"/>
  <c r="EE89" i="8"/>
  <c r="EE107" i="8" s="1"/>
  <c r="ED93" i="8"/>
  <c r="DO100" i="8"/>
  <c r="DO101" i="8" s="1"/>
  <c r="EE88" i="8" l="1"/>
  <c r="EE93" i="8"/>
  <c r="EF90" i="8"/>
  <c r="EF92" i="8" s="1"/>
  <c r="EF89" i="8"/>
  <c r="EF88" i="8" s="1"/>
  <c r="EH86" i="8"/>
  <c r="EG87" i="8"/>
  <c r="DO102" i="8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100" i="8"/>
  <c r="DP101" i="8" s="1"/>
  <c r="EA93" i="8"/>
  <c r="EJ88" i="8" l="1"/>
  <c r="EI88" i="8"/>
  <c r="EI107" i="8"/>
  <c r="EJ93" i="8"/>
  <c r="EI93" i="8"/>
  <c r="DP102" i="8"/>
  <c r="DP103" i="8" l="1"/>
  <c r="DQ100" i="8" l="1"/>
  <c r="DQ101" i="8" s="1"/>
  <c r="DQ102" i="8" l="1"/>
  <c r="DQ103" i="8" l="1"/>
  <c r="DR100" i="8" l="1"/>
  <c r="DR101" i="8" s="1"/>
  <c r="DR102" i="8" l="1"/>
  <c r="DR103" i="8" l="1"/>
  <c r="DS100" i="8" l="1"/>
  <c r="DS101" i="8" s="1"/>
  <c r="DS102" i="8" l="1"/>
  <c r="DS103" i="8" l="1"/>
  <c r="DT100" i="8" l="1"/>
  <c r="DT101" i="8" s="1"/>
  <c r="DT102" i="8" l="1"/>
  <c r="DT103" i="8" l="1"/>
  <c r="DU100" i="8" l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J122" i="8"/>
  <c r="EJ104" i="8"/>
  <c r="HB103" i="8" l="1"/>
  <c r="HC103" i="8" s="1"/>
  <c r="HD103" i="8" l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EM110" i="8"/>
  <c r="EM111" i="8" s="1"/>
  <c r="DV93" i="8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tc={EA2654BB-4EA3-47B3-B6FC-17B457A550FF}</author>
    <author>tc={9AC6E709-089E-411C-99CB-CA664F38A07B}</author>
    <author>tc={E2196511-2B33-45B8-B252-29F03CA13909}</author>
    <author>tc={5F00E8E2-DB6B-4E10-97B7-BC967AF58539}</author>
    <author>Martin Shkreli</author>
    <author>tc={5FA60626-5639-4AE5-9365-A902F10010B3}</author>
    <author>MSMB</author>
    <author>MSMB - Andre</author>
    <author>tc={1DBC5D47-B262-4F0A-963C-13D294E7331F}</author>
    <author>tc={743FD384-0E35-44B2-981D-8EFF98B32E47}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tc={140DB855-F5DD-4991-9A54-36A299C8D9FE}</author>
    <author>waterg</author>
  </authors>
  <commentList>
    <comment ref="CS3" authorId="0" shapeId="0" xr:uid="{EA2654BB-4EA3-47B3-B6FC-17B457A550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early stage indications</t>
      </text>
    </comment>
    <comment ref="DO4" authorId="1" shapeId="0" xr:uid="{9AC6E709-089E-411C-99CB-CA664F38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12/16/14 approval for AZN</t>
      </text>
    </comment>
    <comment ref="DZ4" authorId="2" shapeId="0" xr:uid="{E2196511-2B33-45B8-B252-29F03CA13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Litigation ongoing, may settle for 26-27?</t>
      </text>
    </comment>
    <comment ref="CS9" authorId="3" shapeId="0" xr:uid="{5F00E8E2-DB6B-4E10-97B7-BC967AF58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China quarter, double-digit growth in almost every other country</t>
      </text>
    </comment>
    <comment ref="DI9" authorId="4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DY9" authorId="5" shapeId="0" xr:uid="{5FA60626-5639-4AE5-9365-A902F100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2.0-3.0B China</t>
      </text>
    </comment>
    <comment ref="AM12" authorId="6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7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7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DZ18" authorId="4" shapeId="0" xr:uid="{250CC160-02E8-432C-A7B8-88AE4769DE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BR19" authorId="8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6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DZ22" authorId="4" shapeId="0" xr:uid="{C0F41FA4-EC30-4643-A7C2-18D98DC0DB35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CS31" authorId="9" shapeId="0" xr:uid="{743FD384-0E35-44B2-981D-8EFF98B3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EU</t>
      </text>
    </comment>
    <comment ref="AL34" authorId="6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10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10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6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6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6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6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6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6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4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6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6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6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11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11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6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7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4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6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12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12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6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6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4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13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13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13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6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6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6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6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6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6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6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14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6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6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6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15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7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7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7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7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7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7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6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12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6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7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7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4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12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7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8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7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11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11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7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7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4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12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9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20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21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22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S118" authorId="23" shapeId="0" xr:uid="{140DB855-F5DD-4991-9A54-36A299C8D9FE}">
      <text>
        <t>[Threaded comment]
Your version of Excel allows you to read this threaded comment; however, any edits to it will get removed if the file is opened in a newer version of Excel. Learn more: https://go.microsoft.com/fwlink/?linkid=870924
Comment:
    21% cc</t>
      </text>
    </comment>
    <comment ref="AH168" authorId="6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6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24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24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24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<sst xmlns="http://schemas.openxmlformats.org/spreadsheetml/2006/main" count="1543" uniqueCount="1132">
  <si>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</si>
  <si>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</si>
  <si>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</si>
  <si>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</si>
  <si>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</si>
  <si>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</si>
  <si>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</si>
  <si>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</si>
  <si>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</si>
  <si>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</si>
  <si>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</si>
  <si>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</si>
  <si>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</si>
  <si>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</si>
  <si>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</si>
  <si>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</si>
  <si>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</si>
  <si>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</si>
  <si>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</si>
  <si>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</si>
  <si>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</si>
  <si>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</si>
  <si>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</si>
  <si>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</si>
  <si>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</si>
  <si>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</si>
  <si>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</si>
  <si>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</si>
  <si>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</si>
  <si>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</si>
  <si>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</si>
  <si>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</si>
  <si>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</si>
  <si>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</si>
  <si>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</si>
  <si>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</si>
  <si>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</si>
  <si>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</si>
  <si>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</si>
  <si>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</si>
  <si>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</si>
  <si>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</si>
  <si>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</si>
  <si>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</si>
  <si>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</si>
  <si>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</si>
  <si>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</si>
  <si>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</si>
  <si>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</si>
  <si>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</si>
  <si>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</si>
  <si>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</si>
  <si>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</si>
  <si>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</si>
  <si>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</si>
  <si>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</si>
  <si>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</si>
  <si>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</si>
  <si>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</si>
  <si>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</si>
  <si>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</si>
  <si>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</si>
  <si>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</si>
  <si>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</si>
  <si>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</si>
  <si>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</si>
  <si>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</si>
  <si>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</si>
  <si>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</si>
  <si>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</si>
  <si>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</si>
  <si>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</si>
  <si>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</si>
  <si>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</si>
  <si>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</si>
  <si>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</si>
  <si>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</si>
  <si>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</si>
  <si>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</si>
  <si>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</si>
  <si>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</si>
  <si>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</si>
  <si>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</si>
  <si>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</si>
  <si>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</si>
  <si>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</si>
  <si>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</si>
  <si>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</si>
  <si>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</si>
  <si>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</si>
  <si>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</si>
  <si>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</si>
  <si>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</si>
  <si>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</si>
  <si>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</si>
  <si>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</si>
  <si>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</si>
  <si>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</si>
  <si>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</si>
  <si>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</si>
  <si>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</si>
  <si>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</si>
  <si>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</si>
  <si>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</si>
  <si>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</si>
  <si>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</si>
  <si>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</si>
  <si>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</si>
  <si>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</si>
  <si>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</si>
  <si>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</si>
  <si>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</si>
  <si>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</si>
  <si>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</si>
  <si>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</si>
  <si>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</si>
  <si>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</si>
  <si>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</si>
  <si>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</si>
  <si>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</si>
  <si>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</si>
  <si>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</si>
  <si>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</si>
  <si>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</si>
  <si>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</si>
  <si>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</si>
  <si>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</si>
  <si>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</si>
  <si>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</si>
  <si>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</si>
  <si>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</si>
  <si>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</si>
  <si>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</si>
  <si>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</si>
  <si>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</si>
  <si>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</si>
  <si>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</si>
  <si>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</si>
  <si>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</si>
  <si>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</si>
  <si>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</si>
  <si>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</si>
  <si>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</si>
  <si>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</si>
  <si>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</si>
  <si>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</si>
  <si>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</si>
  <si>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</si>
  <si>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</si>
  <si>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</si>
  <si>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</si>
  <si>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</si>
  <si>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</si>
  <si>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</si>
  <si>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</si>
  <si>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</si>
  <si>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</si>
  <si>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</si>
  <si>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</si>
  <si>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</si>
  <si>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</si>
  <si>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</si>
  <si>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</si>
  <si>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</si>
  <si>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</si>
  <si>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</si>
  <si>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</si>
  <si>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</si>
  <si>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</si>
  <si>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</si>
  <si>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</si>
  <si>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</si>
  <si>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</si>
  <si>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</si>
  <si>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</si>
  <si>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</si>
  <si>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</si>
  <si>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</si>
  <si>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</si>
  <si>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</si>
  <si>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</si>
  <si>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</si>
  <si>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</si>
  <si>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</si>
  <si>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</si>
  <si>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</si>
  <si>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</si>
  <si>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</si>
  <si>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</si>
  <si>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</si>
  <si>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</si>
  <si>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</si>
  <si>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</si>
  <si>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</si>
  <si>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</si>
  <si>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</si>
  <si>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</si>
  <si>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</si>
  <si>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</si>
  <si>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</si>
  <si>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</si>
  <si>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</si>
  <si>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</si>
  <si>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</si>
  <si>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</si>
  <si>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</si>
  <si>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</si>
  <si>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</si>
  <si>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</si>
  <si>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</si>
  <si>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</si>
  <si>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</si>
  <si>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</si>
  <si>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</si>
  <si>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</si>
  <si>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</si>
  <si>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</si>
  <si>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</si>
  <si>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</si>
  <si>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</si>
  <si>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</si>
  <si>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</si>
  <si>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</si>
  <si>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</si>
  <si>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</si>
  <si>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</si>
  <si>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</si>
  <si>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</si>
  <si>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</si>
  <si>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</si>
  <si>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</si>
  <si>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</si>
  <si>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</si>
  <si>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</si>
  <si>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</si>
  <si>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</si>
  <si>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</si>
  <si>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</si>
  <si>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</si>
  <si>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</si>
  <si>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</si>
  <si>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</si>
  <si>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</si>
  <si>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</si>
  <si>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</si>
  <si>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</si>
  <si>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</si>
  <si>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</si>
  <si>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</si>
  <si>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</si>
  <si>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</si>
  <si>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</si>
  <si>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</si>
  <si>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</si>
  <si>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</si>
  <si>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</si>
  <si>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</si>
  <si>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</si>
  <si>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</si>
  <si>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</si>
  <si>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</si>
  <si>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</si>
  <si>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</si>
  <si>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</si>
  <si>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</si>
  <si>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</si>
  <si>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</si>
  <si>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</si>
  <si>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</si>
  <si>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</si>
  <si>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</si>
  <si>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</si>
  <si>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</si>
  <si>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</si>
  <si>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</si>
  <si>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</si>
  <si>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</si>
  <si>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</si>
  <si>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</si>
  <si>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</si>
  <si>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</si>
  <si>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</si>
  <si>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</si>
  <si>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</si>
  <si>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</si>
  <si>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</si>
  <si>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</si>
  <si>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</si>
  <si>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</si>
  <si>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</si>
  <si>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</si>
  <si>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</si>
  <si>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</si>
  <si>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</si>
  <si>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</si>
  <si>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</si>
  <si>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</si>
  <si>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</si>
  <si>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</si>
  <si>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</si>
  <si>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</si>
  <si>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</si>
  <si>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</si>
  <si>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</si>
  <si>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</si>
  <si>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</si>
  <si>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</si>
  <si>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</si>
  <si>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</si>
  <si>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</si>
  <si>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</si>
  <si>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</si>
  <si>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</si>
  <si>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</si>
  <si>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</si>
  <si>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</si>
  <si>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</si>
  <si>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</si>
  <si>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</si>
  <si>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</si>
  <si>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</si>
  <si>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</si>
  <si>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</si>
  <si>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</si>
  <si>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</si>
  <si>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</si>
  <si>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</si>
  <si>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</si>
  <si>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</si>
  <si>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</si>
  <si>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</si>
  <si>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</si>
  <si>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</si>
  <si>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</si>
  <si>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</si>
  <si>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</si>
  <si>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</si>
  <si>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</si>
  <si>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</si>
  <si>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</si>
  <si>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</si>
  <si>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</si>
  <si>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</si>
  <si>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</si>
  <si>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</si>
  <si>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</si>
  <si>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</si>
  <si>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</si>
  <si>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</si>
  <si>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</si>
  <si>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</si>
  <si>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</si>
  <si>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</si>
  <si>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</si>
  <si>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</si>
  <si>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</si>
  <si>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</si>
  <si>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</si>
  <si>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</si>
  <si>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</si>
  <si>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</si>
  <si>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</si>
  <si>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</si>
  <si>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</si>
  <si>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</si>
  <si>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</si>
  <si>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</si>
  <si>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</si>
  <si>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</si>
  <si>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</si>
  <si>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</si>
  <si>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</si>
  <si>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</si>
  <si>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</si>
  <si>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</si>
  <si>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</si>
  <si>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</si>
  <si>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</si>
  <si>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</si>
  <si>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</si>
  <si>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</si>
  <si>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</si>
  <si>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</si>
  <si>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</si>
  <si>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</si>
  <si>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</si>
  <si>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</si>
  <si>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</si>
  <si>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</si>
  <si>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</si>
  <si>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</si>
  <si>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</si>
  <si>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</si>
  <si>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</si>
  <si>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</si>
  <si>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</si>
  <si>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</si>
  <si>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</si>
  <si>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</si>
  <si>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</si>
  <si>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</si>
  <si>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</si>
  <si>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</si>
  <si>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</si>
  <si>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</si>
  <si>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</si>
  <si>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</si>
  <si>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</si>
  <si>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</si>
  <si>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</si>
  <si>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</si>
  <si>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</si>
  <si>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</si>
  <si>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</si>
  <si>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</si>
  <si>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</si>
  <si>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</si>
  <si>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</si>
  <si>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</si>
  <si>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</si>
  <si>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</si>
  <si>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</si>
  <si>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</si>
  <si>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</si>
  <si>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</si>
  <si>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</si>
  <si>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</si>
  <si>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</si>
  <si>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</si>
  <si>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</si>
  <si>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</si>
  <si>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</si>
  <si>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</si>
  <si>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</si>
  <si>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</si>
  <si>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</si>
  <si>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</si>
  <si>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</si>
  <si>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</si>
  <si>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</si>
  <si>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</si>
  <si>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</si>
  <si>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</si>
  <si>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</si>
  <si>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</si>
  <si>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</si>
  <si>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</si>
  <si>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</si>
  <si>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</si>
  <si>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</si>
  <si>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</si>
  <si>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</si>
  <si>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</si>
  <si>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</si>
  <si>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</si>
  <si>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</si>
  <si>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</si>
  <si>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</si>
  <si>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</si>
  <si>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</si>
  <si>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</si>
  <si>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</si>
  <si>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</si>
  <si>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</si>
  <si>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</si>
  <si>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</si>
  <si>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</si>
  <si>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</si>
  <si>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</si>
  <si>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</si>
  <si>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</si>
  <si>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</si>
  <si>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</si>
  <si>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</si>
  <si>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</si>
  <si>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</si>
  <si>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</si>
  <si>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</si>
  <si>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</si>
  <si>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</si>
  <si>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</si>
  <si>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</si>
  <si>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</si>
  <si>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</si>
  <si>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</si>
  <si>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</si>
  <si>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</si>
  <si>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</si>
  <si>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</si>
  <si>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</si>
  <si>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</si>
  <si>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</si>
  <si>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</si>
  <si>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</si>
  <si>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</si>
  <si>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</si>
  <si>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</si>
  <si>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</si>
  <si>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</si>
  <si>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</si>
  <si>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</si>
  <si>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</si>
  <si>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</si>
  <si>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</si>
  <si>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</si>
  <si>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</si>
  <si>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</si>
  <si>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</si>
  <si>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</si>
  <si>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</si>
  <si>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</si>
  <si>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</si>
  <si>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</si>
  <si>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</si>
  <si>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</si>
  <si>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</si>
  <si>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</si>
  <si>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</si>
  <si>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</si>
  <si>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</si>
  <si>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</si>
  <si>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</si>
  <si>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</si>
  <si>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</si>
  <si>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</si>
  <si>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</si>
  <si>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</si>
  <si>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</si>
  <si>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</si>
  <si>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</si>
  <si>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</si>
  <si>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</si>
  <si>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</si>
  <si>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</si>
  <si>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</si>
  <si>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</si>
  <si>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</si>
  <si>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</si>
  <si>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</si>
  <si>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</si>
  <si>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</si>
  <si>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</si>
  <si>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</si>
  <si>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</si>
  <si>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</si>
  <si>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</si>
  <si>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</si>
  <si>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</si>
  <si>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</si>
  <si>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</si>
  <si>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</si>
  <si>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</si>
  <si>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</si>
  <si>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</si>
  <si>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</si>
  <si>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</si>
  <si>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</si>
  <si>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</si>
  <si>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</si>
  <si>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</si>
  <si>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</si>
  <si>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</si>
  <si>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</si>
  <si>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</si>
  <si>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</si>
  <si>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</si>
  <si>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</si>
  <si>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</si>
  <si>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</si>
  <si>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</si>
  <si>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</si>
  <si>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</si>
  <si>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</si>
  <si>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</si>
  <si>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</si>
  <si>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</si>
  <si>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</si>
  <si>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</si>
  <si>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</si>
  <si>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</si>
  <si>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</si>
  <si>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</si>
  <si>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</si>
  <si>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</si>
  <si>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</si>
  <si>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</si>
  <si>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</si>
  <si>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</si>
  <si>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</si>
  <si>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</si>
  <si>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</si>
  <si>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</si>
  <si>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</si>
  <si>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</si>
  <si>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</si>
  <si>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</si>
  <si>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</si>
  <si>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</si>
  <si>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</si>
  <si>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</si>
  <si>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</si>
  <si>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</si>
  <si>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</si>
  <si>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</si>
  <si>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</si>
  <si>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</si>
  <si>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</si>
  <si>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</si>
  <si>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</si>
  <si>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</si>
  <si>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</si>
  <si>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</si>
  <si>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</si>
  <si>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</si>
  <si>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</si>
  <si>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</si>
  <si>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</si>
  <si>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</si>
  <si>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</si>
  <si>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</si>
  <si>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</si>
  <si>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</si>
  <si>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</si>
  <si>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</si>
  <si>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</si>
  <si>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</si>
  <si>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</si>
  <si>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</si>
  <si>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</si>
  <si>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</si>
  <si>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</si>
  <si>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</si>
  <si>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</si>
  <si>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</si>
  <si>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</si>
  <si>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</si>
  <si>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</si>
  <si>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</si>
  <si>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</si>
  <si>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</si>
  <si>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</si>
  <si>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</si>
  <si>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</si>
  <si>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</si>
  <si>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</si>
  <si>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</si>
  <si>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</si>
  <si>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</si>
  <si>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</si>
  <si>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</si>
  <si>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</si>
  <si>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</si>
  <si>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</si>
  <si>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</si>
  <si>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</si>
  <si>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</si>
  <si>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</si>
  <si>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</si>
  <si>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</si>
  <si>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</si>
  <si>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</si>
  <si>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</si>
  <si>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</si>
  <si>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</si>
  <si>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</si>
  <si>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</si>
  <si>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</si>
  <si>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</si>
  <si>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</si>
  <si>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</si>
  <si>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</si>
  <si>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</si>
  <si>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</si>
  <si>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</si>
  <si>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</si>
  <si>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</si>
  <si>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</si>
  <si>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</si>
  <si>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</si>
  <si>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</si>
  <si>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</si>
  <si>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</si>
  <si>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</si>
  <si>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</si>
  <si>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</si>
  <si>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</si>
  <si>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</si>
  <si>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</si>
  <si>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</si>
  <si>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</si>
  <si>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</si>
  <si>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</si>
  <si>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</si>
  <si>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</si>
  <si>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</si>
  <si>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</si>
  <si>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</si>
  <si>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</si>
  <si>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</si>
  <si>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</si>
  <si>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</si>
  <si>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</si>
  <si>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</si>
  <si>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</si>
  <si>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</si>
  <si>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</si>
  <si>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</si>
  <si>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</si>
  <si>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</si>
  <si>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</si>
  <si>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</si>
  <si>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</si>
  <si>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</si>
  <si>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</si>
  <si>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</si>
  <si>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</si>
  <si>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</si>
  <si>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</si>
  <si>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</si>
  <si>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</si>
  <si>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</si>
  <si>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</si>
  <si>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</si>
  <si>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</si>
  <si>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</si>
  <si>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</si>
  <si>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</si>
  <si>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</si>
  <si>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</si>
  <si>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</si>
  <si>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</si>
  <si>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</si>
  <si>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</si>
  <si>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</si>
  <si>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</si>
  <si>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</si>
  <si>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</si>
  <si>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</si>
  <si>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</si>
  <si>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</si>
  <si>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</si>
  <si>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</si>
  <si>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</si>
  <si>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</si>
  <si>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</si>
  <si>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</si>
  <si>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</si>
  <si>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</si>
  <si>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</si>
  <si>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</si>
  <si>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</si>
  <si>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</si>
  <si>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</si>
  <si>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</si>
  <si>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</si>
  <si>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</si>
  <si>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</si>
  <si>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</si>
  <si>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</si>
  <si>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</si>
  <si>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</si>
  <si>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</si>
  <si>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</si>
  <si>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</si>
  <si>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</si>
  <si>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</si>
  <si>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</si>
  <si>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</si>
  <si>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</si>
  <si>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</si>
  <si>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</si>
  <si>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</si>
  <si>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</si>
  <si>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</si>
  <si>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</si>
  <si>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</si>
  <si>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</si>
  <si>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</si>
  <si>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</si>
  <si>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</si>
  <si>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</si>
  <si>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</si>
  <si>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</si>
  <si>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</si>
  <si>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</si>
  <si>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</si>
  <si>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</si>
  <si>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</si>
  <si>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</si>
  <si>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</si>
  <si>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</si>
  <si>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</si>
  <si>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</si>
  <si>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</si>
  <si>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</si>
  <si>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</si>
  <si>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</si>
  <si>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</si>
  <si>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</si>
  <si>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</si>
  <si>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</si>
  <si>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</si>
  <si>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</si>
  <si>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</si>
  <si>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</si>
  <si>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</si>
  <si>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</si>
  <si>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</si>
  <si>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</si>
  <si>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</si>
  <si>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</si>
  <si>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</si>
  <si>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</si>
  <si>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</si>
  <si>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</si>
  <si>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</si>
  <si>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</si>
  <si>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</si>
  <si>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</si>
  <si>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</si>
  <si>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</si>
  <si>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</si>
  <si>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</si>
  <si>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</si>
  <si>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</si>
  <si>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</si>
  <si>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MK-4280 (favezelimab)</t>
  </si>
  <si>
    <t>LAG3 mab</t>
  </si>
  <si>
    <t>PPAR</t>
  </si>
  <si>
    <t>Gardasil 9, fka V503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</si>
  <si>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</si>
  <si>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</si>
  <si>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</si>
  <si>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</si>
  <si>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</si>
  <si>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</si>
  <si>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</si>
  <si>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</si>
  <si>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</si>
  <si>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</si>
  <si>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</si>
  <si>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</si>
  <si>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</si>
  <si>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</si>
  <si>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</si>
  <si>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</si>
  <si>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</si>
  <si>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</si>
  <si>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</si>
  <si>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</si>
  <si>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</si>
  <si>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</si>
  <si>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</si>
  <si>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</si>
  <si>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</si>
  <si>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</si>
  <si>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</si>
  <si>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</si>
  <si>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</si>
  <si>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</si>
  <si>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</si>
  <si>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</si>
  <si>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</si>
  <si>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</si>
  <si>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</si>
  <si>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</si>
  <si>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</si>
  <si>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</si>
  <si>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</si>
  <si>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</si>
  <si>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</si>
  <si>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</si>
  <si>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</si>
  <si>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</si>
  <si>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</si>
  <si>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</si>
  <si>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</si>
  <si>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</si>
  <si>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</si>
  <si>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</si>
  <si>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</si>
  <si>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</si>
  <si>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</si>
  <si>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</si>
  <si>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</si>
  <si>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</si>
  <si>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</si>
  <si>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</si>
  <si>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aOC, mCRPC, pancreatic, mBC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</si>
  <si>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</si>
  <si>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</si>
  <si>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</si>
  <si>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</si>
  <si>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</si>
  <si>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</si>
  <si>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</si>
  <si>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</si>
  <si>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</si>
  <si>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</si>
  <si>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</si>
  <si>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</si>
  <si>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</si>
  <si>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</si>
  <si>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</si>
  <si>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</si>
  <si>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</si>
  <si>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</si>
  <si>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</si>
  <si>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</si>
  <si>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</si>
  <si>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</si>
  <si>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</si>
  <si>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</si>
  <si>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</si>
  <si>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</si>
  <si>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</si>
  <si>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</si>
  <si>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</si>
  <si>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</si>
  <si>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</si>
  <si>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</si>
  <si>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</si>
  <si>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</si>
  <si>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</si>
  <si>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</si>
  <si>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</si>
  <si>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</si>
  <si>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</si>
  <si>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</si>
  <si>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</si>
  <si>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</si>
  <si>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</si>
  <si>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</si>
  <si>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</si>
  <si>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</si>
  <si>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</si>
  <si>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</si>
  <si>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</si>
  <si>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</si>
  <si>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</si>
  <si>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</si>
  <si>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</si>
  <si>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</si>
  <si>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</si>
  <si>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</si>
  <si>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</si>
  <si>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</si>
  <si>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</si>
  <si>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</si>
  <si>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</si>
  <si>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</si>
  <si>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</si>
  <si>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</si>
  <si>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</si>
  <si>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</si>
  <si>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</si>
  <si>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</si>
  <si>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</si>
  <si>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</si>
  <si>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</si>
  <si>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</si>
  <si>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</si>
  <si>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</si>
  <si>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</si>
  <si>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</si>
  <si>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</si>
  <si>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</si>
  <si>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</si>
  <si>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</si>
  <si>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</si>
  <si>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</si>
  <si>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</si>
  <si>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</si>
  <si>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</si>
  <si>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</si>
  <si>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</si>
  <si>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</si>
  <si>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</si>
  <si>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</si>
  <si>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</si>
  <si>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</si>
  <si>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</si>
  <si>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</si>
  <si>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</si>
  <si>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</si>
  <si>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</si>
  <si>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</si>
  <si>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</si>
  <si>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</si>
  <si>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</si>
  <si>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</si>
  <si>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</si>
  <si>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</si>
  <si>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</si>
  <si>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</si>
  <si>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</si>
  <si>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</si>
  <si>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</si>
  <si>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</si>
  <si>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</si>
  <si>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</si>
  <si>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</si>
  <si>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</si>
  <si>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</si>
  <si>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</si>
  <si>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</si>
  <si>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</si>
  <si>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</si>
  <si>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</si>
  <si>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</si>
  <si>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</si>
  <si>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</si>
  <si>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</si>
  <si>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</si>
  <si>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</si>
  <si>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</si>
  <si>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</si>
  <si>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</si>
  <si>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</si>
  <si>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</si>
  <si>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</si>
  <si>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</si>
  <si>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</si>
  <si>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</si>
  <si>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</si>
  <si>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</si>
  <si>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</si>
  <si>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</si>
  <si>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</si>
  <si>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</si>
  <si>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</si>
  <si>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</si>
  <si>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</si>
  <si>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</si>
  <si>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</si>
  <si>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</si>
  <si>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</si>
  <si>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</si>
  <si>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</si>
  <si>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</si>
  <si>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</si>
  <si>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</si>
  <si>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</si>
  <si>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</si>
  <si>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</si>
  <si>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</si>
  <si>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</si>
  <si>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</si>
  <si>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</si>
  <si>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</si>
  <si>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</si>
  <si>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</si>
  <si>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</si>
  <si>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</si>
  <si>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</si>
  <si>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</si>
  <si>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</si>
  <si>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</si>
  <si>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</si>
  <si>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</si>
  <si>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</si>
  <si>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</si>
  <si>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</si>
  <si>
    <t>Winrevair (sotatercept)</t>
  </si>
  <si>
    <t>Capvaxive</t>
  </si>
  <si>
    <t>Pneumococcal Disease</t>
  </si>
  <si>
    <t>21-valent Vaccine</t>
  </si>
  <si>
    <t>MK-1045/CN201</t>
  </si>
  <si>
    <t>B-cell, autoimmune</t>
  </si>
  <si>
    <t>CD3xCD19</t>
  </si>
  <si>
    <t>Curon</t>
  </si>
  <si>
    <t>NDA 215383 approved 8/13/2021</t>
  </si>
  <si>
    <t>belzutifan</t>
  </si>
  <si>
    <t>Zhifei in China</t>
  </si>
  <si>
    <t>HIF2alpha inhibitor</t>
  </si>
  <si>
    <t>HIF-2alpha inhibitor</t>
  </si>
  <si>
    <t>von Hippel-Lindau</t>
  </si>
  <si>
    <t>von Hippel-Lindau (RCC, CNS hemangioblastoma, pNET)</t>
  </si>
  <si>
    <t>Phase II "MK-6482-004" n=61 VHL+ RCC</t>
  </si>
  <si>
    <t>49.2% RR, mDOR not reached at minimum follow up of 18 months</t>
  </si>
  <si>
    <t>83% pNET ORR, 62.5% for CNS hemangioblastoma</t>
  </si>
  <si>
    <t>BLA 761363 approved 3/26/2024</t>
  </si>
  <si>
    <t>Activin IIA</t>
  </si>
  <si>
    <t>IND 1/5/2018</t>
  </si>
  <si>
    <t>Activin receptor IIA-Fc. Activin-A is the natural ligand for this receptor.</t>
  </si>
  <si>
    <t>Phase II "SPECTRA" n=21</t>
  </si>
  <si>
    <t>Winrevair, fka MK-7962, A-011</t>
  </si>
  <si>
    <t>Phase II "PULSAR" n=106</t>
  </si>
  <si>
    <t>Phase III "STELLAR" n=323</t>
  </si>
  <si>
    <t>Phase III "SOTERIA" n=403</t>
  </si>
  <si>
    <t>sotatercept binds activin A, activin B, GDF11, BMP10 in pm range</t>
  </si>
  <si>
    <t>0.3mg, 0.7mg/kg</t>
  </si>
  <si>
    <t>hemoglobin increases</t>
  </si>
  <si>
    <t>6MW: 24.6 and 22.3</t>
  </si>
  <si>
    <t>PVR: -151 and -269</t>
  </si>
  <si>
    <t>Hgb: 1.2 and 1.5g/dL</t>
  </si>
  <si>
    <t>40.1 6MW vs. -1.4 for placebo</t>
  </si>
  <si>
    <t>Opsumit 2.2B, Uptravi 1.8B</t>
  </si>
  <si>
    <t>CFO: Caroline Litchfield</t>
  </si>
  <si>
    <t>AZN. Originally from KuDOS, acquired by AZN in 2006</t>
  </si>
  <si>
    <t>11633396</t>
  </si>
  <si>
    <t>Natco filed ANDA 218044 12/28/2022 (23-796 NJ district), 3:24-cv-10624-RK-TJB, consolidated under 3:23796</t>
  </si>
  <si>
    <t>Docket active as of 1/22/2025.</t>
  </si>
  <si>
    <t>Sandoz, Natco, Cipla generics</t>
  </si>
  <si>
    <t>PARP1 inhibitor. Also inhibits PARP2, PARP3</t>
  </si>
  <si>
    <t>NCT03918278</t>
  </si>
  <si>
    <t>12% ORR</t>
  </si>
  <si>
    <t>ABBV, NGM</t>
  </si>
  <si>
    <t>KEYMAKER-U01</t>
  </si>
  <si>
    <t>MK-0482-001 monotherapy and Keytruda</t>
  </si>
  <si>
    <t>MKT-0482-002 - CMML/AML</t>
  </si>
  <si>
    <t>n=11, 0% ORR</t>
  </si>
  <si>
    <t>combinaY}</t>
  </si>
  <si>
    <t>MK-5890 (boserolimab)</t>
  </si>
  <si>
    <t>MK-7684 (vibostolimab)</t>
  </si>
  <si>
    <t>TRD, Alzheimer's</t>
  </si>
  <si>
    <t>discontinued for liver toxicity</t>
  </si>
  <si>
    <t>MK-2400 (ifinatamab deruxtecan)</t>
  </si>
  <si>
    <t>B7-H3 ADC</t>
  </si>
  <si>
    <t>UCB</t>
  </si>
  <si>
    <t>MK-1084</t>
  </si>
  <si>
    <t>KRAS G12C</t>
  </si>
  <si>
    <t>Taiho</t>
  </si>
  <si>
    <t>MK-3000</t>
  </si>
  <si>
    <t>DME</t>
  </si>
  <si>
    <t>Wnt trispecific agonist</t>
  </si>
  <si>
    <t>MK-1022 (patritumab deruxtecan)</t>
  </si>
  <si>
    <t>HER3 ADC</t>
  </si>
  <si>
    <t>Daiichi</t>
  </si>
  <si>
    <t>MK-5905 (raludotatug deruxtecan)</t>
  </si>
  <si>
    <t>CDH6 ADC</t>
  </si>
  <si>
    <t>MK-2870/SKB264 (sacituzumab tirumotecan)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</si>
</sst>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5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quotePrefix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98</xdr:col>
      <xdr:colOff>77776</xdr:colOff>
      <xdr:row>0</xdr:row>
      <xdr:rowOff>136921</xdr:rowOff>
    </xdr:from>
    <xdr:to>
      <xdr:col>98</xdr:col>
      <xdr:colOff>77776</xdr:colOff>
      <xdr:row>206</xdr:row>
      <xdr:rowOff>29765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6160917" y="136921"/>
          <a:ext cx="0" cy="25032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215565</xdr:colOff>
      <xdr:row>6</xdr:row>
      <xdr:rowOff>41047</xdr:rowOff>
    </xdr:from>
    <xdr:to>
      <xdr:col>11</xdr:col>
      <xdr:colOff>382026</xdr:colOff>
      <xdr:row>18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A248F-4E05-AD57-96A4-CE44CF14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407" y="843152"/>
          <a:ext cx="3836093" cy="1969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271127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25</xdr:row>
      <xdr:rowOff>0</xdr:rowOff>
    </xdr:from>
    <xdr:to>
      <xdr:col>19</xdr:col>
      <xdr:colOff>391626</xdr:colOff>
      <xdr:row>39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1-28T04:13:18.09" personId="{8A593782-0C54-4957-8AFA-F9666DD85167}" id="{EA2654BB-4EA3-47B3-B6FC-17B457A550FF}">
    <text>Growth in early stage indications</text>
  </threadedComment>
  <threadedComment ref="DO4" dT="2025-01-29T17:47:56.09" personId="{8A593782-0C54-4957-8AFA-F9666DD85167}" id="{9AC6E709-089E-411C-99CB-CA664F38A07B}">
    <text>12/16/14 approval for AZN</text>
  </threadedComment>
  <threadedComment ref="DZ4" dT="2025-01-29T17:46:21.96" personId="{8A593782-0C54-4957-8AFA-F9666DD85167}" id="{E2196511-2B33-45B8-B252-29F03CA13909}">
    <text>Litigation ongoing, may settle for 26-27?</text>
  </threadedComment>
  <threadedComment ref="CS9" dT="2025-01-28T01:29:47.56" personId="{8A593782-0C54-4957-8AFA-F9666DD85167}" id="{5F00E8E2-DB6B-4E10-97B7-BC967AF58539}">
    <text>Bad China quarter, double-digit growth in almost every other country</text>
  </threadedComment>
  <threadedComment ref="DY9" dT="2025-01-29T17:20:19.81" personId="{8A593782-0C54-4957-8AFA-F9666DD85167}" id="{5FA60626-5639-4AE5-9365-A902F10010B3}">
    <text>2.0-3.0B China</text>
  </threadedComment>
  <threadedComment ref="BR19" dT="2023-05-07T22:59:32.92" personId="{8A593782-0C54-4957-8AFA-F9666DD85167}" id="{1DBC5D47-B262-4F0A-963C-13D294E7331F}">
    <text>Approved 11/08/2017</text>
  </threadedComment>
  <threadedComment ref="CS31" dT="2025-01-28T01:26:59.31" personId="{8A593782-0C54-4957-8AFA-F9666DD85167}" id="{743FD384-0E35-44B2-981D-8EFF98B32E47}">
    <text>Approved in EU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  <threadedComment ref="CS118" dT="2025-01-28T01:26:21.09" personId="{8A593782-0C54-4957-8AFA-F9666DD85167}" id="{140DB855-F5DD-4991-9A54-36A299C8D9FE}">
    <text>21% cc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ColWidth="8.81640625" defaultRowHeight="12.5"/>
  <cols>
    <col min="1" max="1" width="5" bestFit="1" customWidth="1"/>
    <col min="2" max="2" width="13.81640625" customWidth="1"/>
    <col min="3" max="3" width="13.453125" customWidth="1"/>
    <col min="4" max="4" width="10.1796875" style="76" customWidth="1"/>
    <col min="5" max="5" width="17.1796875" customWidth="1"/>
  </cols>
  <sheetData>
    <row r="1" spans="1:11">
      <c r="A1" s="77" t="s">
        <v>8</v>
      </c>
    </row>
    <row r="2" spans="1:11">
      <c r="B2" s="73" t="s">
        <v>755</v>
      </c>
      <c r="C2" s="73" t="s">
        <v>756</v>
      </c>
      <c r="D2" s="78" t="s">
        <v>3</v>
      </c>
      <c r="E2" s="73" t="s">
        <v>760</v>
      </c>
      <c r="K2" t="s">
        <v>198</v>
      </c>
    </row>
    <row r="3" spans="1:11">
      <c r="C3" s="73" t="s">
        <v>580</v>
      </c>
      <c r="D3" s="78" t="s">
        <v>360</v>
      </c>
      <c r="E3" s="73" t="s">
        <v>359</v>
      </c>
    </row>
    <row r="4" spans="1:11">
      <c r="B4" s="73" t="s">
        <v>774</v>
      </c>
      <c r="C4" s="73" t="s">
        <v>773</v>
      </c>
      <c r="D4" s="48" t="s">
        <v>336</v>
      </c>
      <c r="E4" s="48" t="s">
        <v>335</v>
      </c>
      <c r="F4" s="55">
        <v>1</v>
      </c>
      <c r="G4" s="48">
        <v>1995</v>
      </c>
      <c r="H4" s="79" t="s">
        <v>186</v>
      </c>
    </row>
    <row r="5" spans="1:11">
      <c r="B5" s="73" t="s">
        <v>487</v>
      </c>
      <c r="C5" s="73" t="s">
        <v>775</v>
      </c>
      <c r="D5" s="57" t="s">
        <v>581</v>
      </c>
      <c r="E5" s="48"/>
      <c r="F5" s="57" t="s">
        <v>582</v>
      </c>
      <c r="G5" s="57" t="s">
        <v>583</v>
      </c>
      <c r="H5" s="57" t="s">
        <v>446</v>
      </c>
    </row>
    <row r="6" spans="1:11">
      <c r="B6" s="77" t="s">
        <v>11</v>
      </c>
      <c r="D6" s="48" t="s">
        <v>15</v>
      </c>
      <c r="E6" s="48" t="s">
        <v>219</v>
      </c>
      <c r="F6" s="55">
        <v>1</v>
      </c>
      <c r="G6" s="48">
        <v>2008</v>
      </c>
    </row>
    <row r="7" spans="1:11">
      <c r="B7" s="73" t="s">
        <v>757</v>
      </c>
    </row>
    <row r="8" spans="1:11">
      <c r="B8" s="64" t="s">
        <v>417</v>
      </c>
      <c r="C8" s="48" t="s">
        <v>228</v>
      </c>
      <c r="D8" s="48"/>
      <c r="E8" s="55"/>
      <c r="F8" s="57" t="s">
        <v>418</v>
      </c>
      <c r="G8" s="58" t="s">
        <v>206</v>
      </c>
      <c r="J8" s="49"/>
    </row>
    <row r="9" spans="1:11">
      <c r="B9" s="77" t="s">
        <v>470</v>
      </c>
      <c r="D9" s="48" t="s">
        <v>228</v>
      </c>
      <c r="E9" s="48" t="s">
        <v>235</v>
      </c>
      <c r="F9" s="55">
        <v>1</v>
      </c>
      <c r="G9" s="56">
        <v>38191</v>
      </c>
      <c r="H9" s="57" t="s">
        <v>652</v>
      </c>
    </row>
    <row r="10" spans="1:11">
      <c r="B10" s="4" t="s">
        <v>469</v>
      </c>
      <c r="D10" s="57" t="s">
        <v>228</v>
      </c>
      <c r="E10" s="48"/>
      <c r="F10" s="63">
        <v>1</v>
      </c>
      <c r="G10" s="56">
        <v>37554</v>
      </c>
      <c r="H10" s="57" t="s">
        <v>472</v>
      </c>
    </row>
    <row r="11" spans="1:11">
      <c r="B11" s="77" t="s">
        <v>771</v>
      </c>
      <c r="C11" s="73" t="s">
        <v>772</v>
      </c>
      <c r="D11" s="48" t="s">
        <v>187</v>
      </c>
      <c r="E11" s="48" t="s">
        <v>182</v>
      </c>
      <c r="F11" s="55">
        <v>1</v>
      </c>
      <c r="G11" s="57"/>
      <c r="H11" s="48"/>
      <c r="J11" s="49"/>
    </row>
    <row r="12" spans="1:11">
      <c r="B12" s="77" t="s">
        <v>10</v>
      </c>
      <c r="C12" s="73" t="s">
        <v>441</v>
      </c>
      <c r="D12" s="48" t="s">
        <v>204</v>
      </c>
      <c r="E12" s="48" t="s">
        <v>218</v>
      </c>
      <c r="F12" s="55">
        <v>1</v>
      </c>
      <c r="G12" s="48">
        <v>2002</v>
      </c>
      <c r="H12" s="48" t="s">
        <v>438</v>
      </c>
    </row>
    <row r="13" spans="1:11">
      <c r="B13" s="77" t="s">
        <v>128</v>
      </c>
      <c r="D13" s="48" t="s">
        <v>155</v>
      </c>
      <c r="E13" s="48" t="s">
        <v>220</v>
      </c>
      <c r="F13" s="55">
        <v>1</v>
      </c>
      <c r="G13" s="48"/>
      <c r="H13" s="48" t="s">
        <v>446</v>
      </c>
      <c r="J13" s="49"/>
    </row>
    <row r="14" spans="1:11">
      <c r="B14" s="64" t="s">
        <v>96</v>
      </c>
      <c r="C14" s="48" t="s">
        <v>396</v>
      </c>
      <c r="D14" s="48" t="s">
        <v>397</v>
      </c>
      <c r="E14" s="55" t="s">
        <v>399</v>
      </c>
      <c r="F14" s="48"/>
      <c r="G14" s="58" t="s">
        <v>398</v>
      </c>
      <c r="J14" s="49"/>
    </row>
    <row r="15" spans="1:11">
      <c r="B15" s="62" t="s">
        <v>603</v>
      </c>
      <c r="C15" s="57" t="s">
        <v>604</v>
      </c>
      <c r="D15" s="57" t="s">
        <v>605</v>
      </c>
      <c r="E15" s="63" t="s">
        <v>168</v>
      </c>
      <c r="F15" s="57" t="s">
        <v>606</v>
      </c>
      <c r="G15" s="58"/>
      <c r="J15" s="49"/>
    </row>
    <row r="16" spans="1:11">
      <c r="B16" s="62" t="s">
        <v>633</v>
      </c>
      <c r="C16" s="57" t="s">
        <v>634</v>
      </c>
      <c r="D16" s="57" t="s">
        <v>635</v>
      </c>
      <c r="E16" s="63">
        <v>1</v>
      </c>
      <c r="F16" s="57">
        <v>2005</v>
      </c>
      <c r="G16" s="61" t="s">
        <v>636</v>
      </c>
      <c r="J16" s="49"/>
    </row>
    <row r="17" spans="2:10">
      <c r="B17" s="74" t="s">
        <v>162</v>
      </c>
      <c r="C17" s="48"/>
      <c r="D17" s="48"/>
      <c r="E17" s="55"/>
      <c r="F17" s="48"/>
      <c r="G17" s="48"/>
      <c r="J17" s="49"/>
    </row>
    <row r="18" spans="2:10">
      <c r="B18" s="54" t="s">
        <v>776</v>
      </c>
      <c r="C18" s="57" t="s">
        <v>575</v>
      </c>
      <c r="D18" s="57" t="s">
        <v>574</v>
      </c>
      <c r="E18" s="55">
        <v>1</v>
      </c>
      <c r="F18" s="57" t="s">
        <v>333</v>
      </c>
      <c r="G18" s="61" t="s">
        <v>206</v>
      </c>
      <c r="J18" s="49"/>
    </row>
    <row r="19" spans="2:10">
      <c r="B19" s="64" t="s">
        <v>344</v>
      </c>
      <c r="C19" s="48" t="s">
        <v>345</v>
      </c>
      <c r="D19" s="48" t="s">
        <v>346</v>
      </c>
      <c r="E19" s="55">
        <v>1</v>
      </c>
      <c r="F19" s="48">
        <v>2001</v>
      </c>
      <c r="G19" s="57"/>
      <c r="J19" s="49"/>
    </row>
    <row r="20" spans="2:10">
      <c r="B20" s="77"/>
      <c r="C20" s="57"/>
      <c r="D20" s="57"/>
      <c r="E20" s="55"/>
      <c r="F20" s="57"/>
      <c r="G20" s="57"/>
      <c r="J20" s="49"/>
    </row>
    <row r="21" spans="2:10">
      <c r="B21" s="77"/>
      <c r="C21" s="57"/>
      <c r="D21" s="57"/>
      <c r="E21" s="55"/>
      <c r="F21" s="57"/>
      <c r="G21" s="57"/>
      <c r="J21" s="49"/>
    </row>
    <row r="22" spans="2:10">
      <c r="B22" s="77"/>
      <c r="C22" s="57"/>
      <c r="D22" s="57"/>
      <c r="E22" s="55"/>
      <c r="F22" s="57"/>
      <c r="G22" s="57"/>
      <c r="J22" s="49"/>
    </row>
    <row r="23" spans="2:10">
      <c r="B23" s="77"/>
      <c r="C23" s="57"/>
      <c r="D23" s="57"/>
      <c r="E23" s="55"/>
      <c r="F23" s="57"/>
      <c r="G23" s="57"/>
      <c r="J23" s="49"/>
    </row>
    <row r="24" spans="2:10">
      <c r="B24" s="77"/>
      <c r="C24" s="57"/>
      <c r="D24" s="57"/>
      <c r="E24" s="55"/>
      <c r="F24" s="57"/>
      <c r="G24" s="57"/>
      <c r="J24" s="49"/>
    </row>
    <row r="25" spans="2:10">
      <c r="B25" s="77"/>
      <c r="C25" s="57"/>
      <c r="D25" s="57"/>
      <c r="E25" s="55"/>
      <c r="F25" s="57"/>
      <c r="G25" s="57"/>
      <c r="J25" s="49"/>
    </row>
    <row r="26" spans="2:10">
      <c r="B26" s="77"/>
      <c r="C26" s="57"/>
      <c r="D26" s="57"/>
      <c r="E26" s="55"/>
      <c r="F26" s="57"/>
      <c r="G26" s="57"/>
      <c r="J26" s="49"/>
    </row>
    <row r="27" spans="2:10">
      <c r="B27" s="77"/>
      <c r="C27" s="57"/>
      <c r="D27" s="57"/>
      <c r="E27" s="55"/>
      <c r="F27" s="57"/>
      <c r="G27" s="57"/>
      <c r="J27" s="49"/>
    </row>
    <row r="28" spans="2:10">
      <c r="B28" s="77"/>
      <c r="C28" s="57"/>
      <c r="D28" s="57"/>
      <c r="E28" s="55"/>
      <c r="F28" s="57"/>
      <c r="G28" s="57"/>
      <c r="J28" s="49"/>
    </row>
    <row r="29" spans="2:10" ht="13">
      <c r="B29" s="16" t="s">
        <v>672</v>
      </c>
    </row>
    <row r="30" spans="2:10">
      <c r="B30" s="73" t="s">
        <v>358</v>
      </c>
      <c r="D30" s="78" t="s">
        <v>360</v>
      </c>
      <c r="E30" s="73" t="s">
        <v>359</v>
      </c>
    </row>
    <row r="31" spans="2:10">
      <c r="B31" s="73" t="s">
        <v>762</v>
      </c>
      <c r="C31" s="73" t="s">
        <v>761</v>
      </c>
      <c r="D31" s="78" t="s">
        <v>228</v>
      </c>
      <c r="E31" s="73" t="s">
        <v>223</v>
      </c>
    </row>
    <row r="32" spans="2:10">
      <c r="B32" s="4" t="s">
        <v>464</v>
      </c>
    </row>
    <row r="33" spans="2:11">
      <c r="B33" s="4" t="s">
        <v>465</v>
      </c>
    </row>
    <row r="34" spans="2:11">
      <c r="B34" s="4" t="s">
        <v>676</v>
      </c>
    </row>
    <row r="35" spans="2:11">
      <c r="B35" s="4" t="s">
        <v>677</v>
      </c>
    </row>
    <row r="36" spans="2:11">
      <c r="B36" s="4" t="s">
        <v>682</v>
      </c>
    </row>
    <row r="37" spans="2:11">
      <c r="B37" s="77" t="s">
        <v>339</v>
      </c>
      <c r="C37" t="s">
        <v>338</v>
      </c>
      <c r="D37" s="76" t="s">
        <v>216</v>
      </c>
      <c r="E37" s="55"/>
      <c r="G37" s="48" t="s">
        <v>333</v>
      </c>
      <c r="H37" s="48" t="s">
        <v>388</v>
      </c>
      <c r="I37" s="48" t="s">
        <v>206</v>
      </c>
      <c r="J37" s="4"/>
      <c r="K37" s="49"/>
    </row>
    <row r="38" spans="2:11">
      <c r="B38" s="77" t="s">
        <v>124</v>
      </c>
      <c r="C38" s="75" t="s">
        <v>340</v>
      </c>
      <c r="D38" s="76" t="s">
        <v>216</v>
      </c>
      <c r="E38" s="55"/>
      <c r="G38" s="48" t="s">
        <v>333</v>
      </c>
      <c r="H38" s="48"/>
      <c r="I38" s="48"/>
      <c r="K38" s="49"/>
    </row>
    <row r="39" spans="2:11">
      <c r="B39" s="73" t="s">
        <v>764</v>
      </c>
      <c r="C39" s="73" t="s">
        <v>763</v>
      </c>
      <c r="D39" s="76" t="s">
        <v>260</v>
      </c>
      <c r="E39" s="48" t="s">
        <v>431</v>
      </c>
      <c r="F39" s="55">
        <v>1</v>
      </c>
      <c r="G39" s="48" t="s">
        <v>333</v>
      </c>
    </row>
    <row r="40" spans="2:11">
      <c r="B40" s="77" t="s">
        <v>769</v>
      </c>
      <c r="C40" s="73" t="s">
        <v>414</v>
      </c>
      <c r="D40" s="76" t="s">
        <v>450</v>
      </c>
      <c r="E40" s="48" t="s">
        <v>390</v>
      </c>
      <c r="F40" s="55">
        <v>1</v>
      </c>
      <c r="G40" s="48" t="s">
        <v>333</v>
      </c>
      <c r="H40" s="48" t="s">
        <v>206</v>
      </c>
    </row>
    <row r="41" spans="2:11">
      <c r="B41" s="54" t="s">
        <v>342</v>
      </c>
      <c r="C41" s="48" t="s">
        <v>261</v>
      </c>
      <c r="D41" s="57" t="s">
        <v>343</v>
      </c>
      <c r="E41" s="57" t="s">
        <v>669</v>
      </c>
      <c r="F41" s="48" t="s">
        <v>333</v>
      </c>
      <c r="G41" s="58"/>
      <c r="J41" s="49"/>
    </row>
    <row r="42" spans="2:11">
      <c r="B42" s="62" t="s">
        <v>592</v>
      </c>
      <c r="C42" s="57" t="s">
        <v>228</v>
      </c>
      <c r="D42" s="57" t="s">
        <v>235</v>
      </c>
      <c r="E42" s="63">
        <v>1</v>
      </c>
      <c r="F42" s="57" t="s">
        <v>583</v>
      </c>
      <c r="G42" s="61"/>
      <c r="I42" s="4"/>
      <c r="J42" s="49"/>
    </row>
    <row r="43" spans="2:11">
      <c r="B43" s="62" t="s">
        <v>576</v>
      </c>
      <c r="C43" s="57" t="s">
        <v>578</v>
      </c>
      <c r="D43" s="57" t="s">
        <v>579</v>
      </c>
      <c r="E43" s="63" t="s">
        <v>577</v>
      </c>
      <c r="F43" s="48" t="s">
        <v>333</v>
      </c>
    </row>
    <row r="44" spans="2:11">
      <c r="B44" s="74" t="s">
        <v>821</v>
      </c>
      <c r="C44" s="48" t="s">
        <v>259</v>
      </c>
      <c r="D44" s="48"/>
      <c r="E44" s="48"/>
      <c r="F44" s="48" t="s">
        <v>341</v>
      </c>
      <c r="G44" s="58"/>
      <c r="I44" s="4"/>
      <c r="J44" s="49"/>
    </row>
    <row r="45" spans="2:11">
      <c r="B45" s="64" t="s">
        <v>384</v>
      </c>
      <c r="C45" s="48" t="s">
        <v>385</v>
      </c>
      <c r="D45" s="48" t="s">
        <v>386</v>
      </c>
      <c r="E45" s="55">
        <v>1</v>
      </c>
      <c r="F45" s="48" t="s">
        <v>387</v>
      </c>
    </row>
    <row r="46" spans="2:11">
      <c r="B46" s="62" t="s">
        <v>413</v>
      </c>
      <c r="C46" s="57" t="s">
        <v>228</v>
      </c>
    </row>
    <row r="47" spans="2:11">
      <c r="B47" t="s">
        <v>593</v>
      </c>
    </row>
    <row r="48" spans="2:11">
      <c r="B48" s="64" t="s">
        <v>262</v>
      </c>
      <c r="C48" s="48" t="s">
        <v>12</v>
      </c>
      <c r="D48" s="75" t="s">
        <v>828</v>
      </c>
      <c r="E48" s="48"/>
      <c r="F48" s="48" t="s">
        <v>341</v>
      </c>
    </row>
    <row r="49" spans="2:10">
      <c r="B49" s="74" t="s">
        <v>423</v>
      </c>
      <c r="C49" s="48" t="s">
        <v>424</v>
      </c>
      <c r="D49" s="48"/>
      <c r="E49" s="48"/>
      <c r="F49" s="48" t="s">
        <v>341</v>
      </c>
    </row>
    <row r="50" spans="2:10">
      <c r="B50" s="64" t="s">
        <v>331</v>
      </c>
      <c r="C50" s="48" t="s">
        <v>1</v>
      </c>
      <c r="D50" s="48" t="s">
        <v>332</v>
      </c>
      <c r="E50" s="55">
        <v>1</v>
      </c>
      <c r="F50" s="48" t="s">
        <v>389</v>
      </c>
    </row>
    <row r="51" spans="2:10">
      <c r="B51" s="64" t="s">
        <v>427</v>
      </c>
      <c r="C51" s="75" t="s">
        <v>823</v>
      </c>
      <c r="D51" s="75" t="s">
        <v>854</v>
      </c>
      <c r="E51" s="55"/>
      <c r="F51" s="48" t="s">
        <v>389</v>
      </c>
    </row>
    <row r="52" spans="2:10">
      <c r="B52" s="64" t="s">
        <v>426</v>
      </c>
      <c r="C52" s="48"/>
      <c r="D52" s="75" t="s">
        <v>855</v>
      </c>
      <c r="E52" s="55"/>
      <c r="F52" s="48" t="s">
        <v>389</v>
      </c>
    </row>
    <row r="53" spans="2:10">
      <c r="B53" s="64" t="s">
        <v>429</v>
      </c>
      <c r="C53" s="48" t="s">
        <v>430</v>
      </c>
      <c r="D53" s="75" t="s">
        <v>856</v>
      </c>
      <c r="E53" s="55"/>
      <c r="F53" s="48" t="s">
        <v>389</v>
      </c>
    </row>
    <row r="54" spans="2:10">
      <c r="B54" s="64" t="s">
        <v>428</v>
      </c>
      <c r="C54" s="48"/>
      <c r="D54" s="75" t="s">
        <v>858</v>
      </c>
      <c r="E54" s="119" t="s">
        <v>857</v>
      </c>
      <c r="F54" s="48" t="s">
        <v>389</v>
      </c>
    </row>
    <row r="55" spans="2:10">
      <c r="B55" s="64" t="s">
        <v>159</v>
      </c>
      <c r="C55" s="48" t="s">
        <v>160</v>
      </c>
    </row>
    <row r="56" spans="2:10">
      <c r="B56" s="64" t="s">
        <v>361</v>
      </c>
      <c r="C56" s="48" t="s">
        <v>360</v>
      </c>
      <c r="D56" s="48" t="s">
        <v>362</v>
      </c>
      <c r="E56" s="55">
        <v>1</v>
      </c>
    </row>
    <row r="57" spans="2:10">
      <c r="B57" s="66" t="s">
        <v>161</v>
      </c>
      <c r="C57" s="67" t="s">
        <v>160</v>
      </c>
    </row>
    <row r="58" spans="2:10">
      <c r="B58" s="64" t="s">
        <v>825</v>
      </c>
      <c r="C58" s="48" t="s">
        <v>1115</v>
      </c>
      <c r="J58" s="73" t="s">
        <v>1116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906</v>
      </c>
    </row>
    <row r="3" spans="1:3">
      <c r="B3" s="73" t="s">
        <v>756</v>
      </c>
      <c r="C3" s="73" t="s">
        <v>907</v>
      </c>
    </row>
    <row r="4" spans="1:3">
      <c r="B4" s="73" t="s">
        <v>760</v>
      </c>
      <c r="C4" s="73" t="s">
        <v>908</v>
      </c>
    </row>
    <row r="5" spans="1:3">
      <c r="B5" s="73" t="s">
        <v>3</v>
      </c>
      <c r="C5" s="73" t="s">
        <v>909</v>
      </c>
    </row>
    <row r="6" spans="1:3">
      <c r="B6" s="73" t="s">
        <v>268</v>
      </c>
      <c r="C6" s="73" t="s">
        <v>905</v>
      </c>
    </row>
    <row r="7" spans="1:3">
      <c r="B7" s="73" t="s">
        <v>210</v>
      </c>
    </row>
    <row r="8" spans="1:3" ht="13">
      <c r="C8" s="16" t="s">
        <v>913</v>
      </c>
    </row>
    <row r="9" spans="1:3">
      <c r="C9" s="73" t="s">
        <v>910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1640625" defaultRowHeight="12.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596</v>
      </c>
    </row>
    <row r="4" spans="1:3">
      <c r="A4" s="5"/>
      <c r="B4" t="s">
        <v>3</v>
      </c>
      <c r="C4" t="s">
        <v>597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595</v>
      </c>
    </row>
    <row r="8" spans="1:3">
      <c r="B8" s="4" t="s">
        <v>444</v>
      </c>
      <c r="C8" s="4" t="s">
        <v>601</v>
      </c>
    </row>
    <row r="9" spans="1:3">
      <c r="B9" t="s">
        <v>210</v>
      </c>
    </row>
    <row r="10" spans="1:3" ht="13">
      <c r="C10" s="16" t="s">
        <v>598</v>
      </c>
    </row>
    <row r="11" spans="1:3">
      <c r="C11" s="4" t="s">
        <v>599</v>
      </c>
    </row>
    <row r="12" spans="1:3">
      <c r="C12" s="4" t="s">
        <v>600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755</v>
      </c>
      <c r="C2" t="s">
        <v>916</v>
      </c>
    </row>
    <row r="3" spans="1:3">
      <c r="B3" t="s">
        <v>268</v>
      </c>
      <c r="C3" t="s">
        <v>919</v>
      </c>
    </row>
    <row r="4" spans="1:3">
      <c r="B4" t="s">
        <v>760</v>
      </c>
      <c r="C4" t="s">
        <v>920</v>
      </c>
    </row>
    <row r="5" spans="1:3">
      <c r="B5" t="s">
        <v>210</v>
      </c>
    </row>
    <row r="6" spans="1:3" ht="13">
      <c r="C6" s="125" t="s">
        <v>921</v>
      </c>
    </row>
    <row r="7" spans="1:3">
      <c r="C7" t="s">
        <v>922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3C53-2264-4EB1-99AD-068D10083089}">
  <dimension ref="A1:C17"/>
  <sheetViews>
    <sheetView zoomScale="175" zoomScaleNormal="175" workbookViewId="0"/>
  </sheetViews>
  <sheetFormatPr defaultRowHeight="12.5"/>
  <cols>
    <col min="1" max="1" width="5" bestFit="1" customWidth="1"/>
    <col min="2" max="2" width="12.26953125" customWidth="1"/>
    <col min="3" max="3" width="14.81640625" customWidth="1"/>
  </cols>
  <sheetData>
    <row r="1" spans="1:3">
      <c r="A1" s="5" t="s">
        <v>8</v>
      </c>
    </row>
    <row r="2" spans="1:3">
      <c r="B2" s="73" t="s">
        <v>755</v>
      </c>
      <c r="C2" s="73" t="s">
        <v>822</v>
      </c>
    </row>
    <row r="3" spans="1:3">
      <c r="B3" s="73" t="s">
        <v>5</v>
      </c>
      <c r="C3" s="73" t="s">
        <v>1107</v>
      </c>
    </row>
    <row r="4" spans="1:3">
      <c r="B4" s="73" t="s">
        <v>210</v>
      </c>
    </row>
    <row r="6" spans="1:3" ht="13">
      <c r="C6" s="16" t="s">
        <v>1105</v>
      </c>
    </row>
    <row r="7" spans="1:3">
      <c r="C7" s="73" t="s">
        <v>1106</v>
      </c>
    </row>
    <row r="10" spans="1:3" ht="13">
      <c r="C10" s="16" t="s">
        <v>1108</v>
      </c>
    </row>
    <row r="11" spans="1:3">
      <c r="C11" s="73" t="s">
        <v>1112</v>
      </c>
    </row>
    <row r="13" spans="1:3" ht="13">
      <c r="C13" s="16" t="s">
        <v>1109</v>
      </c>
    </row>
    <row r="16" spans="1:3" ht="13">
      <c r="C16" s="16" t="s">
        <v>1110</v>
      </c>
    </row>
    <row r="17" spans="3:3">
      <c r="C17" s="73" t="s">
        <v>1111</v>
      </c>
    </row>
  </sheetData>
  <hyperlinks>
    <hyperlink ref="A1" location="Main!A1" display="Main" xr:uid="{BCFE456C-F1A7-4092-9A37-6662173AA70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1640625" defaultRowHeight="12.5"/>
  <cols>
    <col min="1" max="1" width="5" bestFit="1" customWidth="1"/>
    <col min="2" max="2" width="5.81640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3" t="s">
        <v>874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1640625" defaultRowHeight="12.5"/>
  <cols>
    <col min="1" max="1" width="5" bestFit="1" customWidth="1"/>
    <col min="2" max="2" width="12" bestFit="1" customWidth="1"/>
    <col min="3" max="3" width="10.1796875" bestFit="1" customWidth="1"/>
    <col min="4" max="10" width="12" customWidth="1"/>
    <col min="11" max="12" width="10.26953125" style="71" customWidth="1"/>
  </cols>
  <sheetData>
    <row r="1" spans="1:12">
      <c r="A1" s="70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 ht="13">
      <c r="C4" s="16" t="s">
        <v>496</v>
      </c>
    </row>
    <row r="5" spans="1:12">
      <c r="C5" s="4" t="s">
        <v>497</v>
      </c>
    </row>
    <row r="7" spans="1:12" ht="13">
      <c r="C7" s="16" t="s">
        <v>419</v>
      </c>
    </row>
    <row r="8" spans="1:12">
      <c r="C8" t="s">
        <v>420</v>
      </c>
    </row>
    <row r="9" spans="1:12">
      <c r="C9" t="s">
        <v>449</v>
      </c>
    </row>
    <row r="12" spans="1:12">
      <c r="B12" s="4" t="s">
        <v>322</v>
      </c>
      <c r="D12" s="30" t="s">
        <v>105</v>
      </c>
      <c r="E12" s="30" t="s">
        <v>488</v>
      </c>
      <c r="F12" s="30" t="s">
        <v>493</v>
      </c>
      <c r="G12" s="30" t="s">
        <v>489</v>
      </c>
      <c r="H12" s="30" t="s">
        <v>490</v>
      </c>
      <c r="I12" s="30" t="s">
        <v>492</v>
      </c>
      <c r="J12" s="30" t="s">
        <v>491</v>
      </c>
      <c r="K12" s="30" t="s">
        <v>494</v>
      </c>
      <c r="L12" s="30" t="s">
        <v>495</v>
      </c>
    </row>
    <row r="13" spans="1:12">
      <c r="B13" s="4"/>
      <c r="C13" s="72">
        <f t="shared" ref="C13:C24" si="0">C14+7</f>
        <v>40151</v>
      </c>
    </row>
    <row r="14" spans="1:12">
      <c r="B14" s="4"/>
      <c r="C14" s="72">
        <f t="shared" si="0"/>
        <v>40144</v>
      </c>
    </row>
    <row r="15" spans="1:12">
      <c r="B15" s="4"/>
      <c r="C15" s="72">
        <f t="shared" si="0"/>
        <v>40137</v>
      </c>
    </row>
    <row r="16" spans="1:12">
      <c r="B16" s="4"/>
      <c r="C16" s="72">
        <f t="shared" si="0"/>
        <v>40130</v>
      </c>
    </row>
    <row r="17" spans="2:12">
      <c r="B17" s="4"/>
      <c r="C17" s="72">
        <f t="shared" si="0"/>
        <v>40123</v>
      </c>
    </row>
    <row r="18" spans="2:12">
      <c r="B18" s="4"/>
      <c r="C18" s="72">
        <f t="shared" si="0"/>
        <v>40116</v>
      </c>
    </row>
    <row r="19" spans="2:12">
      <c r="B19" s="4"/>
      <c r="C19" s="72">
        <f t="shared" si="0"/>
        <v>40109</v>
      </c>
      <c r="D19" s="37">
        <v>264541</v>
      </c>
      <c r="E19" s="37">
        <v>259754</v>
      </c>
      <c r="F19" s="37">
        <f>1911713+7341</f>
        <v>1919054</v>
      </c>
      <c r="G19" s="37">
        <v>1234272</v>
      </c>
      <c r="H19" s="37">
        <v>542200</v>
      </c>
      <c r="I19" s="37">
        <v>388439</v>
      </c>
      <c r="J19" s="37">
        <v>300593</v>
      </c>
      <c r="K19" s="59">
        <v>56784</v>
      </c>
      <c r="L19" s="59">
        <f>SUM(D19:K19)</f>
        <v>4965637</v>
      </c>
    </row>
    <row r="20" spans="2:12">
      <c r="B20" s="4"/>
      <c r="C20" s="72">
        <f t="shared" si="0"/>
        <v>40102</v>
      </c>
      <c r="D20" s="37">
        <v>257895</v>
      </c>
      <c r="E20" s="37">
        <v>254143</v>
      </c>
      <c r="F20" s="37">
        <f>1847003+7234</f>
        <v>1854237</v>
      </c>
      <c r="G20" s="37">
        <v>1201641</v>
      </c>
      <c r="H20" s="37">
        <v>524453</v>
      </c>
      <c r="I20" s="37">
        <v>374173</v>
      </c>
      <c r="J20" s="37">
        <v>289187</v>
      </c>
      <c r="K20" s="59">
        <v>55575</v>
      </c>
      <c r="L20" s="59">
        <f t="shared" ref="L20:L26" si="1">SUM(D20:K20)</f>
        <v>4811304</v>
      </c>
    </row>
    <row r="21" spans="2:12">
      <c r="B21" s="4"/>
      <c r="C21" s="72">
        <f t="shared" si="0"/>
        <v>40095</v>
      </c>
      <c r="D21" s="37">
        <v>268125</v>
      </c>
      <c r="E21" s="37">
        <v>264951</v>
      </c>
      <c r="F21" s="37">
        <f>1919989+7409</f>
        <v>1927398</v>
      </c>
      <c r="G21" s="37">
        <v>1255623</v>
      </c>
      <c r="H21" s="37">
        <v>539816</v>
      </c>
      <c r="I21" s="37">
        <v>392268</v>
      </c>
      <c r="J21" s="37">
        <v>305485</v>
      </c>
      <c r="K21" s="59">
        <v>58919</v>
      </c>
      <c r="L21" s="59">
        <f t="shared" si="1"/>
        <v>5012585</v>
      </c>
    </row>
    <row r="22" spans="2:12">
      <c r="B22" s="4"/>
      <c r="C22" s="72">
        <f t="shared" si="0"/>
        <v>40088</v>
      </c>
      <c r="D22" s="37">
        <v>282165</v>
      </c>
      <c r="E22" s="37">
        <v>276199</v>
      </c>
      <c r="F22" s="37">
        <f>2001454+7624</f>
        <v>2009078</v>
      </c>
      <c r="G22" s="37">
        <v>1311075</v>
      </c>
      <c r="H22" s="37">
        <v>562927</v>
      </c>
      <c r="I22" s="37">
        <v>409841</v>
      </c>
      <c r="J22" s="37">
        <v>320878</v>
      </c>
      <c r="K22" s="59">
        <v>61715</v>
      </c>
      <c r="L22" s="59">
        <f t="shared" si="1"/>
        <v>5233878</v>
      </c>
    </row>
    <row r="23" spans="2:12">
      <c r="B23" s="4"/>
      <c r="C23" s="72">
        <f t="shared" si="0"/>
        <v>40081</v>
      </c>
      <c r="D23" s="37">
        <v>270801</v>
      </c>
      <c r="E23" s="37">
        <v>264711</v>
      </c>
      <c r="F23" s="37">
        <f>1902259+7405</f>
        <v>1909664</v>
      </c>
      <c r="G23" s="37">
        <v>1256450</v>
      </c>
      <c r="H23" s="37">
        <v>542271</v>
      </c>
      <c r="I23" s="37">
        <v>390436</v>
      </c>
      <c r="J23" s="37">
        <v>303956</v>
      </c>
      <c r="K23" s="59">
        <v>58411</v>
      </c>
      <c r="L23" s="59">
        <f t="shared" si="1"/>
        <v>4996700</v>
      </c>
    </row>
    <row r="24" spans="2:12">
      <c r="B24" s="4"/>
      <c r="C24" s="72">
        <f t="shared" si="0"/>
        <v>40074</v>
      </c>
      <c r="D24" s="37">
        <v>275754</v>
      </c>
      <c r="E24" s="37">
        <v>267620</v>
      </c>
      <c r="F24" s="37">
        <f>1917081+7299</f>
        <v>1924380</v>
      </c>
      <c r="G24" s="37">
        <v>1273950</v>
      </c>
      <c r="H24" s="37">
        <v>544488</v>
      </c>
      <c r="I24" s="37">
        <v>393494</v>
      </c>
      <c r="J24" s="37">
        <v>304228</v>
      </c>
      <c r="K24" s="59">
        <v>59176</v>
      </c>
      <c r="L24" s="59">
        <f t="shared" si="1"/>
        <v>5043090</v>
      </c>
    </row>
    <row r="25" spans="2:12">
      <c r="B25" s="4"/>
      <c r="C25" s="72">
        <f>C26+7</f>
        <v>40067</v>
      </c>
      <c r="D25" s="37">
        <v>254453</v>
      </c>
      <c r="E25" s="37">
        <v>246575</v>
      </c>
      <c r="F25" s="37">
        <f>1789356+7305</f>
        <v>1796661</v>
      </c>
      <c r="G25" s="37">
        <v>1178898</v>
      </c>
      <c r="H25" s="37">
        <v>502323</v>
      </c>
      <c r="I25" s="37">
        <v>363576</v>
      </c>
      <c r="J25" s="37">
        <v>289942</v>
      </c>
      <c r="K25" s="59">
        <v>55572</v>
      </c>
      <c r="L25" s="59">
        <f t="shared" si="1"/>
        <v>4688000</v>
      </c>
    </row>
    <row r="26" spans="2:12">
      <c r="C26" s="72">
        <v>40060</v>
      </c>
      <c r="D26" s="37">
        <v>291613</v>
      </c>
      <c r="E26" s="37">
        <v>282178</v>
      </c>
      <c r="F26" s="37">
        <f>2009399+7982</f>
        <v>2017381</v>
      </c>
      <c r="G26" s="37">
        <v>1344473</v>
      </c>
      <c r="H26" s="37">
        <v>569945</v>
      </c>
      <c r="I26" s="37">
        <v>410389</v>
      </c>
      <c r="J26" s="37">
        <v>329232</v>
      </c>
      <c r="K26" s="59">
        <v>63709</v>
      </c>
      <c r="L26" s="59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796875" defaultRowHeight="12.5"/>
  <cols>
    <col min="1" max="1" width="5" style="1" bestFit="1" customWidth="1"/>
    <col min="2" max="2" width="13.7265625" style="1" customWidth="1"/>
    <col min="3" max="12" width="7.26953125" style="1" customWidth="1"/>
    <col min="13" max="16384" width="9.179687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441</v>
      </c>
    </row>
    <row r="4" spans="1:12">
      <c r="B4" s="1" t="s">
        <v>268</v>
      </c>
      <c r="C4" s="1" t="s">
        <v>442</v>
      </c>
    </row>
    <row r="5" spans="1:12">
      <c r="B5" s="1" t="s">
        <v>6</v>
      </c>
      <c r="C5" s="1" t="s">
        <v>443</v>
      </c>
    </row>
    <row r="6" spans="1:12">
      <c r="B6" s="1" t="s">
        <v>207</v>
      </c>
      <c r="C6" s="1" t="s">
        <v>445</v>
      </c>
    </row>
    <row r="8" spans="1:12">
      <c r="B8" s="1" t="s">
        <v>444</v>
      </c>
      <c r="C8" s="19">
        <v>2002</v>
      </c>
      <c r="D8" s="20" t="s">
        <v>55</v>
      </c>
      <c r="E8" s="21" t="s">
        <v>56</v>
      </c>
      <c r="F8" s="21" t="s">
        <v>57</v>
      </c>
      <c r="G8" s="21" t="s">
        <v>58</v>
      </c>
      <c r="H8" s="22" t="s">
        <v>59</v>
      </c>
      <c r="I8" s="22" t="s">
        <v>60</v>
      </c>
      <c r="J8" s="22" t="s">
        <v>61</v>
      </c>
      <c r="K8" s="22" t="s">
        <v>166</v>
      </c>
      <c r="L8" s="22" t="s">
        <v>167</v>
      </c>
    </row>
    <row r="9" spans="1:12">
      <c r="B9" s="1" t="s">
        <v>257</v>
      </c>
      <c r="C9" s="18">
        <v>1090</v>
      </c>
      <c r="D9" s="18">
        <v>1414</v>
      </c>
      <c r="E9" s="18">
        <v>1854</v>
      </c>
      <c r="F9" s="18">
        <v>2107.6999999999998</v>
      </c>
      <c r="G9" s="18">
        <v>2318.4699999999998</v>
      </c>
      <c r="H9" s="18">
        <v>2550.317</v>
      </c>
      <c r="I9" s="18">
        <v>2754.3423600000001</v>
      </c>
      <c r="J9" s="18">
        <v>2974.6897488000004</v>
      </c>
      <c r="K9" s="18">
        <v>3212.6649287040009</v>
      </c>
      <c r="L9" s="18">
        <v>3469.6781230003212</v>
      </c>
    </row>
    <row r="10" spans="1:12">
      <c r="B10" s="1" t="s">
        <v>258</v>
      </c>
      <c r="C10" s="18">
        <v>415</v>
      </c>
      <c r="D10" s="18">
        <v>611</v>
      </c>
      <c r="E10" s="18">
        <v>768</v>
      </c>
      <c r="F10" s="18">
        <v>928.4</v>
      </c>
      <c r="G10" s="18">
        <v>1021.24</v>
      </c>
      <c r="H10" s="18">
        <v>1123.364</v>
      </c>
      <c r="I10" s="18">
        <v>1213.2331200000001</v>
      </c>
      <c r="J10" s="18">
        <v>1310.2917696000002</v>
      </c>
      <c r="K10" s="18">
        <v>1415.1151111680003</v>
      </c>
      <c r="L10" s="18">
        <v>1528.3243200614404</v>
      </c>
    </row>
    <row r="14" spans="1:12">
      <c r="C14" s="15" t="s">
        <v>447</v>
      </c>
      <c r="D14" s="15" t="s">
        <v>448</v>
      </c>
    </row>
    <row r="15" spans="1:12">
      <c r="B15" s="12">
        <v>39759</v>
      </c>
      <c r="C15" s="15">
        <v>247362</v>
      </c>
      <c r="D15" s="15">
        <v>659474</v>
      </c>
    </row>
    <row r="16" spans="1:12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3" width="10.7265625" style="1" customWidth="1"/>
    <col min="4" max="16384" width="9.179687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4" t="s">
        <v>6</v>
      </c>
      <c r="C16" s="14" t="s">
        <v>638</v>
      </c>
    </row>
    <row r="17" spans="2:5">
      <c r="B17" s="14"/>
      <c r="C17" s="14" t="s">
        <v>639</v>
      </c>
    </row>
    <row r="18" spans="2:5">
      <c r="B18" s="14"/>
      <c r="C18" s="14" t="s">
        <v>640</v>
      </c>
    </row>
    <row r="19" spans="2:5">
      <c r="B19" s="14"/>
      <c r="C19" s="14" t="s">
        <v>641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 ht="13">
      <c r="C26" s="10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2">
        <f>C32+7</f>
        <v>39766</v>
      </c>
      <c r="D31" s="2"/>
      <c r="E31" s="2"/>
    </row>
    <row r="32" spans="2:5">
      <c r="C32" s="12">
        <v>39759</v>
      </c>
      <c r="D32" s="2">
        <v>70921</v>
      </c>
      <c r="E32" s="2">
        <v>198960</v>
      </c>
    </row>
    <row r="33" spans="3:5">
      <c r="C33" s="12">
        <f>C32-7</f>
        <v>39752</v>
      </c>
      <c r="D33" s="2"/>
      <c r="E33" s="2"/>
    </row>
    <row r="34" spans="3:5">
      <c r="C34" s="12">
        <f>C33-7</f>
        <v>39745</v>
      </c>
      <c r="D34" s="2"/>
      <c r="E34" s="2"/>
    </row>
    <row r="35" spans="3:5">
      <c r="C35" s="12">
        <f>C34-7</f>
        <v>39738</v>
      </c>
      <c r="D35" s="2"/>
      <c r="E35" s="2"/>
    </row>
    <row r="36" spans="3:5">
      <c r="C36" s="12">
        <v>39360</v>
      </c>
      <c r="D36" s="13">
        <v>37141</v>
      </c>
      <c r="E36" s="13">
        <v>94650</v>
      </c>
    </row>
    <row r="37" spans="3:5">
      <c r="C37" s="12">
        <v>39353</v>
      </c>
      <c r="D37" s="13">
        <v>36584</v>
      </c>
      <c r="E37" s="13">
        <v>89911</v>
      </c>
    </row>
    <row r="38" spans="3:5">
      <c r="C38" s="12">
        <v>39346</v>
      </c>
      <c r="D38" s="13">
        <v>36273</v>
      </c>
      <c r="E38" s="13">
        <v>88447</v>
      </c>
    </row>
    <row r="39" spans="3:5">
      <c r="C39" s="12">
        <v>39339</v>
      </c>
      <c r="D39" s="13"/>
      <c r="E39" s="13"/>
    </row>
    <row r="40" spans="3:5">
      <c r="C40" s="12">
        <v>39332</v>
      </c>
      <c r="D40" s="13"/>
      <c r="E40" s="13"/>
    </row>
    <row r="41" spans="3:5">
      <c r="C41" s="12">
        <v>39325</v>
      </c>
      <c r="D41" s="13"/>
      <c r="E41" s="13"/>
    </row>
    <row r="42" spans="3:5">
      <c r="C42" s="12">
        <v>39318</v>
      </c>
      <c r="D42" s="13"/>
      <c r="E42" s="13"/>
    </row>
    <row r="43" spans="3:5">
      <c r="C43" s="12">
        <v>39311</v>
      </c>
      <c r="D43" s="13"/>
      <c r="E43" s="13"/>
    </row>
    <row r="44" spans="3:5">
      <c r="C44" s="12">
        <v>39304</v>
      </c>
      <c r="D44" s="13"/>
      <c r="E44" s="13"/>
    </row>
    <row r="45" spans="3:5">
      <c r="C45" s="12">
        <v>39297</v>
      </c>
      <c r="D45" s="13"/>
      <c r="E45" s="13"/>
    </row>
    <row r="46" spans="3:5">
      <c r="C46" s="12">
        <v>39290</v>
      </c>
      <c r="D46" s="13"/>
      <c r="E46" s="13"/>
    </row>
    <row r="47" spans="3:5">
      <c r="C47" s="12">
        <v>39283</v>
      </c>
      <c r="D47" s="13"/>
      <c r="E47" s="13"/>
    </row>
    <row r="48" spans="3:5">
      <c r="C48" s="12">
        <v>39276</v>
      </c>
      <c r="D48" s="13"/>
      <c r="E48" s="13"/>
    </row>
    <row r="49" spans="3:5">
      <c r="C49" s="12">
        <v>39269</v>
      </c>
      <c r="D49" s="13"/>
      <c r="E49" s="13"/>
    </row>
    <row r="50" spans="3:5">
      <c r="C50" s="12">
        <v>39262</v>
      </c>
      <c r="D50" s="13"/>
      <c r="E50" s="13"/>
    </row>
    <row r="51" spans="3:5">
      <c r="C51" s="12">
        <v>39255</v>
      </c>
      <c r="D51" s="13"/>
      <c r="E51" s="13"/>
    </row>
    <row r="52" spans="3:5">
      <c r="C52" s="12">
        <v>39248</v>
      </c>
      <c r="D52" s="13"/>
      <c r="E52" s="13"/>
    </row>
    <row r="53" spans="3:5">
      <c r="C53" s="12">
        <v>39241</v>
      </c>
      <c r="D53" s="13"/>
      <c r="E53" s="13"/>
    </row>
    <row r="54" spans="3:5">
      <c r="C54" s="12">
        <v>39234</v>
      </c>
      <c r="D54" s="13"/>
      <c r="E54" s="13"/>
    </row>
    <row r="55" spans="3:5">
      <c r="C55" s="12">
        <v>39227</v>
      </c>
      <c r="D55" s="13"/>
      <c r="E55" s="13"/>
    </row>
    <row r="56" spans="3:5">
      <c r="C56" s="12">
        <v>39220</v>
      </c>
      <c r="D56" s="13"/>
      <c r="E56" s="13"/>
    </row>
    <row r="57" spans="3:5">
      <c r="C57" s="12">
        <v>39213</v>
      </c>
      <c r="D57" s="13"/>
      <c r="E57" s="13"/>
    </row>
    <row r="58" spans="3:5">
      <c r="C58" s="12">
        <v>39206</v>
      </c>
      <c r="D58" s="13"/>
      <c r="E58" s="13"/>
    </row>
    <row r="59" spans="3:5">
      <c r="C59" s="12">
        <v>39199</v>
      </c>
      <c r="D59" s="13"/>
      <c r="E59" s="13"/>
    </row>
    <row r="60" spans="3:5">
      <c r="C60" s="12">
        <v>39192</v>
      </c>
      <c r="D60" s="13">
        <v>21590</v>
      </c>
      <c r="E60" s="13">
        <v>43676</v>
      </c>
    </row>
    <row r="61" spans="3:5">
      <c r="C61" s="12">
        <v>39185</v>
      </c>
      <c r="D61" s="13">
        <v>20981</v>
      </c>
      <c r="E61" s="13">
        <v>42146</v>
      </c>
    </row>
    <row r="62" spans="3:5">
      <c r="C62" s="12">
        <v>39178</v>
      </c>
      <c r="D62" s="13">
        <v>21119</v>
      </c>
      <c r="E62" s="13">
        <v>41949</v>
      </c>
    </row>
    <row r="63" spans="3:5">
      <c r="C63" s="12">
        <v>39171</v>
      </c>
      <c r="D63" s="13"/>
      <c r="E63" s="2"/>
    </row>
    <row r="64" spans="3:5">
      <c r="C64" s="12">
        <v>39164</v>
      </c>
      <c r="D64" s="13"/>
      <c r="E64" s="2"/>
    </row>
    <row r="65" spans="3:5">
      <c r="C65" s="12">
        <v>39157</v>
      </c>
      <c r="D65" s="13"/>
      <c r="E65" s="2"/>
    </row>
    <row r="66" spans="3:5">
      <c r="C66" s="12">
        <v>39150</v>
      </c>
      <c r="D66" s="13"/>
      <c r="E66" s="2"/>
    </row>
    <row r="67" spans="3:5">
      <c r="C67" s="12">
        <v>39143</v>
      </c>
      <c r="D67" s="13"/>
      <c r="E67" s="2"/>
    </row>
    <row r="68" spans="3:5">
      <c r="C68" s="12">
        <v>39136</v>
      </c>
      <c r="D68" s="13"/>
      <c r="E68" s="2"/>
    </row>
    <row r="69" spans="3:5">
      <c r="C69" s="12">
        <v>39129</v>
      </c>
      <c r="D69" s="13"/>
      <c r="E69" s="2"/>
    </row>
    <row r="70" spans="3:5">
      <c r="C70" s="12">
        <v>39122</v>
      </c>
      <c r="D70" s="13"/>
      <c r="E70" s="2"/>
    </row>
    <row r="71" spans="3:5">
      <c r="C71" s="12">
        <v>39115</v>
      </c>
      <c r="D71" s="13"/>
      <c r="E71" s="2"/>
    </row>
    <row r="72" spans="3:5">
      <c r="C72" s="12">
        <v>39108</v>
      </c>
      <c r="D72" s="13"/>
      <c r="E72" s="2"/>
    </row>
    <row r="73" spans="3:5">
      <c r="C73" s="12">
        <v>39101</v>
      </c>
      <c r="D73" s="13"/>
      <c r="E73" s="13"/>
    </row>
    <row r="74" spans="3:5">
      <c r="C74" s="12">
        <v>39094</v>
      </c>
      <c r="D74" s="13">
        <v>16007</v>
      </c>
      <c r="E74" s="13">
        <v>22641</v>
      </c>
    </row>
    <row r="75" spans="3:5">
      <c r="C75" s="12">
        <v>39087</v>
      </c>
      <c r="D75" s="13">
        <v>12984</v>
      </c>
      <c r="E75" s="13">
        <v>18705</v>
      </c>
    </row>
    <row r="76" spans="3:5">
      <c r="C76" s="12">
        <v>39080</v>
      </c>
      <c r="D76" s="13">
        <v>11492</v>
      </c>
      <c r="E76" s="13">
        <v>15624</v>
      </c>
    </row>
    <row r="77" spans="3:5">
      <c r="C77" s="12">
        <v>39073</v>
      </c>
      <c r="D77" s="13">
        <v>13343</v>
      </c>
      <c r="E77" s="13">
        <v>16352</v>
      </c>
    </row>
    <row r="78" spans="3:5">
      <c r="C78" s="12">
        <v>39066</v>
      </c>
      <c r="D78" s="13">
        <v>12660</v>
      </c>
      <c r="E78" s="13">
        <v>15185</v>
      </c>
    </row>
    <row r="79" spans="3:5">
      <c r="C79" s="12">
        <v>39059</v>
      </c>
      <c r="E79" s="13">
        <v>13285</v>
      </c>
    </row>
    <row r="80" spans="3:5">
      <c r="C80" s="12">
        <v>39052</v>
      </c>
      <c r="E80" s="13">
        <v>10771</v>
      </c>
    </row>
    <row r="81" spans="3:5">
      <c r="C81" s="12">
        <v>39045</v>
      </c>
      <c r="E81" s="13">
        <v>6765</v>
      </c>
    </row>
    <row r="82" spans="3:5">
      <c r="C82" s="12">
        <v>39038</v>
      </c>
      <c r="E82" s="13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432</v>
      </c>
    </row>
    <row r="4" spans="1:3">
      <c r="B4" s="14" t="s">
        <v>207</v>
      </c>
      <c r="C4" s="14" t="s">
        <v>343</v>
      </c>
    </row>
    <row r="5" spans="1:3">
      <c r="B5" s="14" t="s">
        <v>366</v>
      </c>
      <c r="C5" s="14" t="s">
        <v>651</v>
      </c>
    </row>
    <row r="6" spans="1:3">
      <c r="B6" s="1" t="s">
        <v>210</v>
      </c>
    </row>
    <row r="7" spans="1:3" ht="13">
      <c r="C7" s="10" t="s">
        <v>433</v>
      </c>
    </row>
    <row r="8" spans="1:3">
      <c r="C8" s="1" t="s">
        <v>434</v>
      </c>
    </row>
    <row r="10" spans="1:3" ht="13">
      <c r="C10" s="10" t="s">
        <v>671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796875" defaultRowHeight="12.5"/>
  <cols>
    <col min="1" max="1" width="5" style="1" bestFit="1" customWidth="1"/>
    <col min="2" max="2" width="14.453125" style="1" customWidth="1"/>
    <col min="3" max="4" width="10.26953125" style="1" bestFit="1" customWidth="1"/>
    <col min="5" max="5" width="11.7265625" style="1" bestFit="1" customWidth="1"/>
    <col min="6" max="6" width="11" style="1" customWidth="1"/>
    <col min="7" max="7" width="12.453125" style="1" customWidth="1"/>
    <col min="8" max="8" width="11.1796875" style="1" customWidth="1"/>
    <col min="9" max="16384" width="9.179687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4" t="s">
        <v>666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5" t="s">
        <v>667</v>
      </c>
    </row>
    <row r="6" spans="1:11">
      <c r="B6" s="1" t="s">
        <v>210</v>
      </c>
    </row>
    <row r="7" spans="1:11" ht="13">
      <c r="C7" s="10" t="s">
        <v>665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4" t="s">
        <v>668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 ht="13">
      <c r="C18" s="10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6"/>
  <sheetViews>
    <sheetView zoomScale="145" zoomScaleNormal="145" workbookViewId="0">
      <selection activeCell="J3" sqref="J3"/>
    </sheetView>
  </sheetViews>
  <sheetFormatPr defaultColWidth="8.81640625" defaultRowHeight="12.5"/>
  <cols>
    <col min="1" max="1" width="2" customWidth="1"/>
    <col min="2" max="2" width="26.7265625" customWidth="1"/>
    <col min="3" max="3" width="30.453125" customWidth="1"/>
    <col min="4" max="4" width="16.453125" customWidth="1"/>
    <col min="5" max="5" width="12.7265625" style="48" customWidth="1"/>
    <col min="6" max="6" width="14.1796875" customWidth="1"/>
    <col min="7" max="7" width="13.81640625" customWidth="1"/>
    <col min="8" max="8" width="4.7265625" customWidth="1"/>
    <col min="9" max="9" width="8" customWidth="1"/>
    <col min="10" max="10" width="8.453125" style="49" customWidth="1"/>
    <col min="11" max="11" width="7.26953125" customWidth="1"/>
  </cols>
  <sheetData>
    <row r="1" spans="1:13" ht="11.25" customHeight="1">
      <c r="A1" s="4"/>
    </row>
    <row r="2" spans="1:13">
      <c r="B2" s="50" t="s">
        <v>2</v>
      </c>
      <c r="C2" s="51" t="s">
        <v>3</v>
      </c>
      <c r="D2" s="51" t="s">
        <v>185</v>
      </c>
      <c r="E2" s="51" t="s">
        <v>4</v>
      </c>
      <c r="F2" s="51" t="s">
        <v>236</v>
      </c>
      <c r="G2" s="52" t="s">
        <v>6</v>
      </c>
      <c r="I2" t="s">
        <v>192</v>
      </c>
      <c r="J2" s="53">
        <v>90.8</v>
      </c>
      <c r="M2" s="4"/>
    </row>
    <row r="3" spans="1:13">
      <c r="B3" s="54" t="s">
        <v>311</v>
      </c>
      <c r="C3" s="48" t="s">
        <v>12</v>
      </c>
      <c r="D3" s="75" t="s">
        <v>765</v>
      </c>
      <c r="E3" s="55">
        <v>1</v>
      </c>
      <c r="F3" s="56">
        <v>39006</v>
      </c>
      <c r="G3" s="58">
        <v>2022</v>
      </c>
      <c r="I3" t="s">
        <v>326</v>
      </c>
      <c r="J3" s="59">
        <v>2544</v>
      </c>
      <c r="K3" s="60" t="s">
        <v>947</v>
      </c>
    </row>
    <row r="4" spans="1:13">
      <c r="B4" s="54" t="s">
        <v>286</v>
      </c>
      <c r="C4" s="48" t="s">
        <v>12</v>
      </c>
      <c r="D4" s="75" t="s">
        <v>765</v>
      </c>
      <c r="E4" s="55" t="s">
        <v>300</v>
      </c>
      <c r="F4" s="118">
        <v>39171</v>
      </c>
      <c r="G4" s="58" t="s">
        <v>206</v>
      </c>
      <c r="I4" t="s">
        <v>327</v>
      </c>
      <c r="J4" s="37">
        <f>J2*J3</f>
        <v>230995.19999999998</v>
      </c>
    </row>
    <row r="5" spans="1:13">
      <c r="B5" s="54" t="s">
        <v>758</v>
      </c>
      <c r="C5" s="75" t="s">
        <v>759</v>
      </c>
      <c r="D5" s="57" t="s">
        <v>695</v>
      </c>
      <c r="E5" s="55">
        <v>1</v>
      </c>
      <c r="F5" s="118">
        <v>41886</v>
      </c>
      <c r="G5" s="61" t="s">
        <v>271</v>
      </c>
      <c r="I5" t="s">
        <v>328</v>
      </c>
      <c r="J5" s="37">
        <v>15168</v>
      </c>
      <c r="K5" s="60" t="s">
        <v>947</v>
      </c>
    </row>
    <row r="6" spans="1:13">
      <c r="B6" s="74" t="s">
        <v>770</v>
      </c>
      <c r="C6" s="57" t="s">
        <v>570</v>
      </c>
      <c r="D6" s="57" t="s">
        <v>571</v>
      </c>
      <c r="E6" s="63" t="s">
        <v>572</v>
      </c>
      <c r="F6" s="56">
        <v>36031</v>
      </c>
      <c r="G6" s="61" t="s">
        <v>573</v>
      </c>
      <c r="I6" t="s">
        <v>329</v>
      </c>
      <c r="J6" s="37">
        <v>38131</v>
      </c>
      <c r="K6" s="60" t="s">
        <v>947</v>
      </c>
    </row>
    <row r="7" spans="1:13">
      <c r="B7" s="62" t="s">
        <v>602</v>
      </c>
      <c r="C7" s="57" t="s">
        <v>570</v>
      </c>
      <c r="D7" s="57" t="s">
        <v>571</v>
      </c>
      <c r="E7" s="63" t="s">
        <v>572</v>
      </c>
      <c r="F7" s="118">
        <v>39927</v>
      </c>
      <c r="G7" s="130" t="s">
        <v>573</v>
      </c>
      <c r="I7" t="s">
        <v>330</v>
      </c>
      <c r="J7" s="37">
        <f>J4-J5+J6</f>
        <v>253958.19999999998</v>
      </c>
    </row>
    <row r="8" spans="1:13">
      <c r="B8" s="54" t="s">
        <v>18</v>
      </c>
      <c r="C8" s="48" t="s">
        <v>221</v>
      </c>
      <c r="D8" s="48" t="s">
        <v>220</v>
      </c>
      <c r="E8" s="55" t="s">
        <v>168</v>
      </c>
      <c r="F8" s="48">
        <v>2006</v>
      </c>
      <c r="G8" s="130" t="s">
        <v>943</v>
      </c>
    </row>
    <row r="9" spans="1:13">
      <c r="B9" s="54" t="s">
        <v>968</v>
      </c>
      <c r="C9" s="48" t="s">
        <v>14</v>
      </c>
      <c r="D9" s="48" t="s">
        <v>220</v>
      </c>
      <c r="E9" s="55" t="s">
        <v>123</v>
      </c>
      <c r="F9" s="65">
        <v>38869</v>
      </c>
      <c r="G9" s="58" t="s">
        <v>446</v>
      </c>
    </row>
    <row r="10" spans="1:13">
      <c r="B10" s="74" t="s">
        <v>819</v>
      </c>
      <c r="C10" s="75" t="s">
        <v>820</v>
      </c>
      <c r="D10" s="75" t="s">
        <v>820</v>
      </c>
      <c r="E10" s="119" t="s">
        <v>168</v>
      </c>
      <c r="F10" s="56">
        <v>31377</v>
      </c>
      <c r="G10" s="58"/>
      <c r="I10" t="s">
        <v>923</v>
      </c>
    </row>
    <row r="11" spans="1:13">
      <c r="B11" s="124" t="s">
        <v>837</v>
      </c>
      <c r="C11" s="75" t="s">
        <v>823</v>
      </c>
      <c r="D11" s="75" t="s">
        <v>838</v>
      </c>
      <c r="E11" s="119" t="s">
        <v>839</v>
      </c>
      <c r="F11" s="56">
        <v>41992</v>
      </c>
      <c r="G11" s="58">
        <v>2024</v>
      </c>
      <c r="I11" s="73" t="s">
        <v>1098</v>
      </c>
    </row>
    <row r="12" spans="1:13">
      <c r="B12" s="124" t="s">
        <v>840</v>
      </c>
      <c r="C12" s="75" t="s">
        <v>823</v>
      </c>
      <c r="D12" s="75" t="s">
        <v>841</v>
      </c>
      <c r="E12" s="119" t="s">
        <v>842</v>
      </c>
      <c r="F12" s="56">
        <v>42048</v>
      </c>
      <c r="G12" s="58">
        <v>2025</v>
      </c>
      <c r="I12" s="73" t="s">
        <v>792</v>
      </c>
    </row>
    <row r="13" spans="1:13">
      <c r="B13" s="74" t="s">
        <v>941</v>
      </c>
      <c r="C13" s="75" t="s">
        <v>804</v>
      </c>
      <c r="D13" s="75" t="s">
        <v>805</v>
      </c>
      <c r="E13" s="55">
        <v>1</v>
      </c>
      <c r="F13" s="48"/>
      <c r="G13" s="58"/>
      <c r="I13" s="73" t="s">
        <v>991</v>
      </c>
    </row>
    <row r="14" spans="1:13">
      <c r="B14" s="74" t="s">
        <v>843</v>
      </c>
      <c r="C14" s="75" t="s">
        <v>844</v>
      </c>
      <c r="D14" s="48"/>
      <c r="E14" s="55">
        <v>1</v>
      </c>
      <c r="F14" s="56">
        <v>42353</v>
      </c>
      <c r="G14" s="58">
        <v>2026</v>
      </c>
      <c r="I14" s="73" t="s">
        <v>1055</v>
      </c>
    </row>
    <row r="15" spans="1:13">
      <c r="B15" s="74" t="s">
        <v>845</v>
      </c>
      <c r="C15" s="75" t="s">
        <v>846</v>
      </c>
      <c r="D15" s="48"/>
      <c r="E15" s="119" t="s">
        <v>847</v>
      </c>
      <c r="F15" s="56">
        <v>43924</v>
      </c>
      <c r="G15" s="130" t="s">
        <v>943</v>
      </c>
    </row>
    <row r="16" spans="1:13">
      <c r="B16" s="124" t="s">
        <v>903</v>
      </c>
      <c r="C16" s="75" t="s">
        <v>904</v>
      </c>
      <c r="D16" s="75" t="s">
        <v>908</v>
      </c>
      <c r="E16" s="119" t="s">
        <v>905</v>
      </c>
      <c r="F16" s="56"/>
      <c r="G16" s="130" t="s">
        <v>943</v>
      </c>
    </row>
    <row r="17" spans="2:9">
      <c r="B17" s="74" t="s">
        <v>970</v>
      </c>
      <c r="C17" s="75" t="s">
        <v>594</v>
      </c>
      <c r="D17" s="75" t="s">
        <v>673</v>
      </c>
      <c r="E17" s="55">
        <v>1</v>
      </c>
      <c r="F17" s="48"/>
      <c r="G17" s="58"/>
    </row>
    <row r="18" spans="2:9">
      <c r="B18" s="124" t="s">
        <v>942</v>
      </c>
      <c r="C18" s="75" t="s">
        <v>1076</v>
      </c>
      <c r="D18" s="75" t="s">
        <v>1074</v>
      </c>
      <c r="E18" s="119" t="s">
        <v>168</v>
      </c>
      <c r="F18" s="56">
        <v>44421</v>
      </c>
      <c r="G18" s="58">
        <v>2035</v>
      </c>
    </row>
    <row r="19" spans="2:9">
      <c r="B19" s="74" t="s">
        <v>969</v>
      </c>
      <c r="C19" s="75"/>
      <c r="D19" s="75"/>
      <c r="E19" s="55"/>
      <c r="F19" s="56"/>
      <c r="G19" s="58"/>
    </row>
    <row r="20" spans="2:9">
      <c r="B20" s="74" t="s">
        <v>1064</v>
      </c>
      <c r="C20" s="75" t="s">
        <v>1065</v>
      </c>
      <c r="D20" s="75" t="s">
        <v>1066</v>
      </c>
      <c r="E20" s="55">
        <v>1</v>
      </c>
      <c r="F20" s="56"/>
      <c r="G20" s="58"/>
    </row>
    <row r="21" spans="2:9">
      <c r="B21" s="124" t="s">
        <v>1063</v>
      </c>
      <c r="C21" s="75" t="s">
        <v>868</v>
      </c>
      <c r="D21" s="75" t="s">
        <v>1082</v>
      </c>
      <c r="E21" s="55">
        <v>1</v>
      </c>
      <c r="F21" s="134">
        <v>45377</v>
      </c>
      <c r="G21" s="58"/>
      <c r="I21" s="4"/>
    </row>
    <row r="22" spans="2:9">
      <c r="B22" s="64" t="s">
        <v>16</v>
      </c>
      <c r="C22" s="48" t="s">
        <v>17</v>
      </c>
      <c r="D22" s="48" t="s">
        <v>220</v>
      </c>
      <c r="E22" s="55">
        <v>1</v>
      </c>
      <c r="F22" s="48"/>
      <c r="G22" s="130" t="s">
        <v>943</v>
      </c>
    </row>
    <row r="23" spans="2:9">
      <c r="B23" s="54" t="s">
        <v>337</v>
      </c>
      <c r="C23" s="48" t="s">
        <v>208</v>
      </c>
      <c r="D23" s="48" t="s">
        <v>217</v>
      </c>
      <c r="E23" s="55">
        <v>1</v>
      </c>
      <c r="F23" s="65">
        <v>39356</v>
      </c>
      <c r="G23" s="58"/>
    </row>
    <row r="24" spans="2:9">
      <c r="B24" s="50"/>
      <c r="C24" s="51"/>
      <c r="D24" s="51"/>
      <c r="E24" s="51"/>
      <c r="F24" s="51" t="s">
        <v>7</v>
      </c>
      <c r="G24" s="52" t="s">
        <v>205</v>
      </c>
    </row>
    <row r="25" spans="2:9">
      <c r="B25" s="74" t="s">
        <v>979</v>
      </c>
      <c r="C25" s="75" t="s">
        <v>980</v>
      </c>
      <c r="D25" s="75" t="s">
        <v>695</v>
      </c>
      <c r="E25" s="119" t="s">
        <v>981</v>
      </c>
      <c r="F25" s="48"/>
      <c r="G25" s="58"/>
    </row>
    <row r="26" spans="2:9">
      <c r="B26" s="74" t="s">
        <v>986</v>
      </c>
      <c r="C26" s="75" t="s">
        <v>987</v>
      </c>
      <c r="D26" s="75" t="s">
        <v>988</v>
      </c>
      <c r="E26" s="55"/>
      <c r="F26" s="48"/>
      <c r="G26" s="58"/>
    </row>
    <row r="27" spans="2:9">
      <c r="B27" s="74" t="s">
        <v>826</v>
      </c>
      <c r="C27" s="75" t="s">
        <v>823</v>
      </c>
      <c r="D27" s="75" t="s">
        <v>827</v>
      </c>
      <c r="E27" s="63">
        <v>1</v>
      </c>
      <c r="F27" s="75" t="s">
        <v>341</v>
      </c>
      <c r="G27" s="61"/>
    </row>
    <row r="28" spans="2:9">
      <c r="B28" s="74" t="s">
        <v>1131</v>
      </c>
      <c r="C28" s="75" t="s">
        <v>823</v>
      </c>
      <c r="D28" s="75" t="s">
        <v>830</v>
      </c>
      <c r="E28" s="75" t="s">
        <v>831</v>
      </c>
      <c r="F28" s="75" t="s">
        <v>341</v>
      </c>
      <c r="G28" s="58"/>
    </row>
    <row r="29" spans="2:9">
      <c r="B29" s="74" t="s">
        <v>1114</v>
      </c>
      <c r="C29" s="75" t="s">
        <v>823</v>
      </c>
      <c r="D29" s="75" t="s">
        <v>982</v>
      </c>
      <c r="E29" s="75"/>
      <c r="F29" s="75"/>
      <c r="G29" s="58"/>
    </row>
    <row r="30" spans="2:9">
      <c r="B30" s="74" t="s">
        <v>1126</v>
      </c>
      <c r="C30" s="75" t="s">
        <v>823</v>
      </c>
      <c r="D30" s="75" t="s">
        <v>1127</v>
      </c>
      <c r="E30" s="75" t="s">
        <v>1128</v>
      </c>
      <c r="F30" s="75" t="s">
        <v>341</v>
      </c>
      <c r="G30" s="58"/>
    </row>
    <row r="31" spans="2:9">
      <c r="B31" s="74" t="s">
        <v>832</v>
      </c>
      <c r="C31" s="75" t="s">
        <v>833</v>
      </c>
      <c r="D31" s="75" t="s">
        <v>834</v>
      </c>
      <c r="E31" s="119" t="s">
        <v>1119</v>
      </c>
      <c r="F31" s="75" t="s">
        <v>341</v>
      </c>
      <c r="G31" s="58"/>
    </row>
    <row r="32" spans="2:9">
      <c r="B32" s="74" t="s">
        <v>835</v>
      </c>
      <c r="C32" s="75"/>
      <c r="D32" s="75" t="s">
        <v>836</v>
      </c>
      <c r="E32" s="119">
        <v>1</v>
      </c>
      <c r="F32" s="75" t="s">
        <v>341</v>
      </c>
      <c r="G32" s="58"/>
    </row>
    <row r="33" spans="2:9">
      <c r="B33" s="124" t="s">
        <v>916</v>
      </c>
      <c r="C33" s="75" t="s">
        <v>917</v>
      </c>
      <c r="D33" s="75" t="s">
        <v>220</v>
      </c>
      <c r="E33" s="119" t="s">
        <v>918</v>
      </c>
      <c r="F33" s="75" t="s">
        <v>341</v>
      </c>
      <c r="G33" s="58"/>
    </row>
    <row r="34" spans="2:9">
      <c r="B34" s="74" t="s">
        <v>848</v>
      </c>
      <c r="C34" s="75" t="s">
        <v>983</v>
      </c>
      <c r="D34" s="75" t="s">
        <v>849</v>
      </c>
      <c r="E34" s="119" t="s">
        <v>850</v>
      </c>
      <c r="F34" s="75" t="s">
        <v>341</v>
      </c>
      <c r="G34" s="58"/>
    </row>
    <row r="35" spans="2:9">
      <c r="B35" s="74" t="s">
        <v>851</v>
      </c>
      <c r="C35" s="75" t="s">
        <v>853</v>
      </c>
      <c r="D35" s="75" t="s">
        <v>852</v>
      </c>
      <c r="E35" s="119">
        <v>1</v>
      </c>
      <c r="F35" s="75" t="s">
        <v>341</v>
      </c>
      <c r="G35" s="58"/>
    </row>
    <row r="36" spans="2:9">
      <c r="B36" s="74" t="s">
        <v>859</v>
      </c>
      <c r="C36" s="75"/>
      <c r="D36" s="75" t="s">
        <v>860</v>
      </c>
      <c r="E36" s="119" t="s">
        <v>861</v>
      </c>
      <c r="F36" s="75" t="s">
        <v>341</v>
      </c>
      <c r="G36" s="58"/>
    </row>
    <row r="37" spans="2:9">
      <c r="B37" s="74" t="s">
        <v>862</v>
      </c>
      <c r="C37" s="75" t="s">
        <v>823</v>
      </c>
      <c r="D37" s="75" t="s">
        <v>863</v>
      </c>
      <c r="E37" s="119">
        <v>1</v>
      </c>
      <c r="F37" s="75" t="s">
        <v>341</v>
      </c>
      <c r="G37" s="58"/>
    </row>
    <row r="38" spans="2:9">
      <c r="B38" s="74" t="s">
        <v>864</v>
      </c>
      <c r="C38" s="75" t="s">
        <v>823</v>
      </c>
      <c r="D38" s="75" t="s">
        <v>865</v>
      </c>
      <c r="E38" s="119">
        <v>1</v>
      </c>
      <c r="F38" s="75" t="s">
        <v>341</v>
      </c>
      <c r="G38" s="58"/>
    </row>
    <row r="39" spans="2:9">
      <c r="B39" s="74" t="s">
        <v>866</v>
      </c>
      <c r="C39" s="75" t="s">
        <v>868</v>
      </c>
      <c r="D39" s="75" t="s">
        <v>867</v>
      </c>
      <c r="E39" s="119">
        <v>1</v>
      </c>
      <c r="F39" s="75" t="s">
        <v>341</v>
      </c>
      <c r="G39" s="58"/>
    </row>
    <row r="40" spans="2:9">
      <c r="B40" s="74" t="s">
        <v>1123</v>
      </c>
      <c r="C40" s="75" t="s">
        <v>1124</v>
      </c>
      <c r="D40" s="75" t="s">
        <v>1125</v>
      </c>
      <c r="E40" s="119">
        <v>1</v>
      </c>
      <c r="F40" s="75" t="s">
        <v>341</v>
      </c>
      <c r="G40" s="58"/>
    </row>
    <row r="41" spans="2:9">
      <c r="B41" s="74" t="s">
        <v>1120</v>
      </c>
      <c r="C41" s="75"/>
      <c r="D41" s="75" t="s">
        <v>1121</v>
      </c>
      <c r="E41" s="119" t="s">
        <v>1122</v>
      </c>
      <c r="F41" s="75" t="s">
        <v>341</v>
      </c>
      <c r="G41" s="58"/>
    </row>
    <row r="42" spans="2:9">
      <c r="B42" s="74" t="s">
        <v>1117</v>
      </c>
      <c r="C42" s="75" t="s">
        <v>823</v>
      </c>
      <c r="D42" s="75" t="s">
        <v>1118</v>
      </c>
      <c r="E42" s="119">
        <v>1</v>
      </c>
      <c r="F42" s="75" t="s">
        <v>341</v>
      </c>
      <c r="G42" s="58"/>
    </row>
    <row r="43" spans="2:9">
      <c r="B43" s="74" t="s">
        <v>869</v>
      </c>
      <c r="C43" s="75" t="s">
        <v>870</v>
      </c>
      <c r="D43" s="75" t="s">
        <v>872</v>
      </c>
      <c r="E43" s="119" t="s">
        <v>871</v>
      </c>
      <c r="F43" s="75" t="s">
        <v>341</v>
      </c>
      <c r="G43" s="58"/>
    </row>
    <row r="44" spans="2:9">
      <c r="B44" s="74" t="s">
        <v>985</v>
      </c>
      <c r="C44" s="75" t="s">
        <v>984</v>
      </c>
      <c r="D44" s="75"/>
      <c r="E44" s="119"/>
      <c r="F44" s="75" t="s">
        <v>333</v>
      </c>
      <c r="G44" s="58"/>
    </row>
    <row r="45" spans="2:9">
      <c r="B45" s="124" t="s">
        <v>822</v>
      </c>
      <c r="C45" s="75" t="s">
        <v>823</v>
      </c>
      <c r="D45" s="75" t="s">
        <v>824</v>
      </c>
      <c r="E45" s="55">
        <v>1</v>
      </c>
      <c r="F45" s="75" t="s">
        <v>341</v>
      </c>
      <c r="G45" s="58"/>
      <c r="I45" s="4"/>
    </row>
    <row r="46" spans="2:9">
      <c r="B46" s="74" t="s">
        <v>1067</v>
      </c>
      <c r="C46" s="75" t="s">
        <v>1068</v>
      </c>
      <c r="D46" s="75" t="s">
        <v>1069</v>
      </c>
      <c r="E46" s="119" t="s">
        <v>1070</v>
      </c>
      <c r="F46" s="75"/>
      <c r="G46" s="58"/>
    </row>
    <row r="47" spans="2:9">
      <c r="B47" s="74" t="s">
        <v>1129</v>
      </c>
      <c r="C47" s="75" t="s">
        <v>823</v>
      </c>
      <c r="D47" s="75" t="s">
        <v>1130</v>
      </c>
      <c r="E47" s="119" t="s">
        <v>1128</v>
      </c>
      <c r="F47" s="75" t="s">
        <v>341</v>
      </c>
      <c r="G47" s="58"/>
    </row>
    <row r="48" spans="2:9">
      <c r="B48" s="74" t="s">
        <v>1113</v>
      </c>
      <c r="C48" s="75" t="s">
        <v>823</v>
      </c>
      <c r="D48" s="75" t="s">
        <v>873</v>
      </c>
      <c r="E48" s="119">
        <v>1</v>
      </c>
      <c r="F48" s="75" t="s">
        <v>341</v>
      </c>
      <c r="G48" s="58"/>
    </row>
    <row r="49" spans="2:7">
      <c r="B49" s="74" t="s">
        <v>875</v>
      </c>
      <c r="C49" s="75" t="s">
        <v>870</v>
      </c>
      <c r="D49" s="75" t="s">
        <v>877</v>
      </c>
      <c r="E49" s="119" t="s">
        <v>876</v>
      </c>
      <c r="F49" s="75" t="s">
        <v>341</v>
      </c>
      <c r="G49" s="58"/>
    </row>
    <row r="50" spans="2:7">
      <c r="B50" s="121" t="s">
        <v>978</v>
      </c>
      <c r="C50" s="122" t="s">
        <v>881</v>
      </c>
      <c r="D50" s="122" t="s">
        <v>882</v>
      </c>
      <c r="E50" s="123">
        <v>1</v>
      </c>
      <c r="F50" s="122" t="s">
        <v>341</v>
      </c>
      <c r="G50" s="68"/>
    </row>
    <row r="52" spans="2:7" ht="13">
      <c r="E52" s="69"/>
    </row>
    <row r="53" spans="2:7" ht="13">
      <c r="B53" s="47"/>
      <c r="E53" s="69" t="s">
        <v>803</v>
      </c>
    </row>
    <row r="54" spans="2:7" ht="13">
      <c r="B54" s="47"/>
      <c r="E54" s="69" t="s">
        <v>915</v>
      </c>
    </row>
    <row r="55" spans="2:7" ht="13">
      <c r="B55" s="47"/>
      <c r="E55" s="120" t="s">
        <v>914</v>
      </c>
    </row>
    <row r="56" spans="2:7" ht="13">
      <c r="B56" s="47"/>
      <c r="E56" s="120" t="s">
        <v>912</v>
      </c>
    </row>
    <row r="57" spans="2:7" ht="13">
      <c r="B57" s="47"/>
      <c r="E57" s="69" t="s">
        <v>911</v>
      </c>
    </row>
    <row r="58" spans="2:7" ht="13">
      <c r="E58" s="69" t="s">
        <v>885</v>
      </c>
    </row>
    <row r="59" spans="2:7" ht="13">
      <c r="B59" s="4"/>
      <c r="E59" s="69" t="s">
        <v>884</v>
      </c>
    </row>
    <row r="60" spans="2:7" ht="13">
      <c r="E60" s="120" t="s">
        <v>883</v>
      </c>
    </row>
    <row r="61" spans="2:7" ht="13">
      <c r="E61" s="120" t="s">
        <v>880</v>
      </c>
    </row>
    <row r="62" spans="2:7" ht="13">
      <c r="E62" s="69" t="s">
        <v>879</v>
      </c>
    </row>
    <row r="63" spans="2:7" ht="13">
      <c r="E63" s="69" t="s">
        <v>878</v>
      </c>
    </row>
    <row r="64" spans="2:7" ht="13">
      <c r="E64" s="120" t="s">
        <v>1057</v>
      </c>
    </row>
    <row r="65" spans="5:5" ht="13">
      <c r="E65" s="120" t="s">
        <v>1048</v>
      </c>
    </row>
    <row r="66" spans="5:5" ht="13">
      <c r="E66" s="120" t="s">
        <v>1047</v>
      </c>
    </row>
    <row r="67" spans="5:5" ht="13">
      <c r="E67" s="120" t="s">
        <v>1046</v>
      </c>
    </row>
    <row r="68" spans="5:5" ht="13">
      <c r="E68" s="120" t="s">
        <v>1045</v>
      </c>
    </row>
    <row r="69" spans="5:5" ht="13">
      <c r="E69" s="120"/>
    </row>
    <row r="70" spans="5:5" ht="13">
      <c r="E70" s="120"/>
    </row>
    <row r="71" spans="5:5" ht="13">
      <c r="E71" s="69" t="s">
        <v>977</v>
      </c>
    </row>
    <row r="72" spans="5:5">
      <c r="E72" s="76" t="s">
        <v>1058</v>
      </c>
    </row>
    <row r="73" spans="5:5">
      <c r="E73" s="76" t="s">
        <v>1059</v>
      </c>
    </row>
    <row r="74" spans="5:5">
      <c r="E74" s="76" t="s">
        <v>1060</v>
      </c>
    </row>
    <row r="75" spans="5:5">
      <c r="E75" s="76" t="s">
        <v>1061</v>
      </c>
    </row>
    <row r="76" spans="5:5">
      <c r="E76" s="76" t="s">
        <v>1062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3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  <hyperlink ref="B18" location="Welireg!A1" display="Welireg (belzutifan)" xr:uid="{B8C6240B-F03B-4D20-A836-C34278C62617}"/>
    <hyperlink ref="B21" location="Winrevair!A1" display="Winrevair (sotatercept)" xr:uid="{7CFBA007-FE65-4565-87A0-6F339987F354}"/>
    <hyperlink ref="B45" location="'0482'!A1" display="MK-0482" xr:uid="{AC8556CC-C7C0-4339-A8C9-24EB8F832C2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1640625" defaultRowHeight="12.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 ht="13">
      <c r="C11" s="10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 ht="13">
      <c r="C8" s="16" t="s">
        <v>408</v>
      </c>
    </row>
    <row r="12" spans="1:3" ht="13">
      <c r="C12" s="16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796875" defaultRowHeight="12.5"/>
  <cols>
    <col min="1" max="1" width="5" style="1" bestFit="1" customWidth="1"/>
    <col min="2" max="2" width="15.1796875" style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 ht="13">
      <c r="C10" s="10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 ht="13">
      <c r="C15" s="10" t="s">
        <v>369</v>
      </c>
    </row>
    <row r="16" spans="1:3" ht="13">
      <c r="C16" s="10"/>
    </row>
    <row r="19" spans="3:3" ht="13">
      <c r="C19" s="10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414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453</v>
      </c>
    </row>
    <row r="7" spans="1:3">
      <c r="B7" s="1" t="s">
        <v>184</v>
      </c>
      <c r="C7" s="14" t="s">
        <v>670</v>
      </c>
    </row>
    <row r="8" spans="1:3">
      <c r="B8" s="1" t="s">
        <v>5</v>
      </c>
      <c r="C8" s="1" t="s">
        <v>456</v>
      </c>
    </row>
    <row r="9" spans="1:3">
      <c r="B9" s="1" t="s">
        <v>415</v>
      </c>
      <c r="C9" s="1" t="s">
        <v>416</v>
      </c>
    </row>
    <row r="10" spans="1:3" ht="13">
      <c r="B10" s="14" t="s">
        <v>366</v>
      </c>
      <c r="C10" s="17" t="s">
        <v>478</v>
      </c>
    </row>
    <row r="11" spans="1:3">
      <c r="B11" s="1" t="s">
        <v>210</v>
      </c>
    </row>
    <row r="12" spans="1:3" ht="13">
      <c r="C12" s="10" t="s">
        <v>475</v>
      </c>
    </row>
    <row r="13" spans="1:3">
      <c r="C13" s="14" t="s">
        <v>476</v>
      </c>
    </row>
    <row r="14" spans="1:3">
      <c r="C14" s="14" t="s">
        <v>477</v>
      </c>
    </row>
    <row r="16" spans="1:3" ht="13">
      <c r="C16" s="10" t="s">
        <v>451</v>
      </c>
    </row>
    <row r="17" spans="3:3">
      <c r="C17" s="1" t="s">
        <v>454</v>
      </c>
    </row>
    <row r="18" spans="3:3">
      <c r="C18" s="1" t="s">
        <v>458</v>
      </c>
    </row>
    <row r="19" spans="3:3">
      <c r="C19" s="1" t="s">
        <v>459</v>
      </c>
    </row>
    <row r="20" spans="3:3">
      <c r="C20" s="1" t="s">
        <v>460</v>
      </c>
    </row>
    <row r="21" spans="3:3">
      <c r="C21" s="1" t="s">
        <v>461</v>
      </c>
    </row>
    <row r="22" spans="3:3">
      <c r="C22" s="1" t="s">
        <v>455</v>
      </c>
    </row>
    <row r="23" spans="3:3">
      <c r="C23" s="3" t="s">
        <v>452</v>
      </c>
    </row>
    <row r="24" spans="3:3">
      <c r="C24" s="3" t="s">
        <v>462</v>
      </c>
    </row>
    <row r="26" spans="3:3" ht="13">
      <c r="C26" s="10" t="s">
        <v>457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A2" s="3"/>
      <c r="B2" s="1" t="s">
        <v>425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 ht="13">
      <c r="C10" s="10" t="s">
        <v>272</v>
      </c>
    </row>
    <row r="11" spans="1:3">
      <c r="C11" s="1" t="s">
        <v>273</v>
      </c>
    </row>
    <row r="13" spans="1:3" ht="13">
      <c r="C13" s="10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5" t="s">
        <v>8</v>
      </c>
    </row>
    <row r="2" spans="1:3">
      <c r="B2" t="s">
        <v>179</v>
      </c>
      <c r="C2" t="s">
        <v>654</v>
      </c>
    </row>
    <row r="3" spans="1:3">
      <c r="B3" t="s">
        <v>178</v>
      </c>
      <c r="C3" t="s">
        <v>653</v>
      </c>
    </row>
    <row r="4" spans="1:3">
      <c r="B4" t="s">
        <v>210</v>
      </c>
    </row>
    <row r="5" spans="1:3" ht="13">
      <c r="C5" s="16" t="s">
        <v>655</v>
      </c>
    </row>
    <row r="7" spans="1:3" ht="13">
      <c r="C7" s="16" t="s">
        <v>656</v>
      </c>
    </row>
    <row r="8" spans="1:3">
      <c r="C8" t="s">
        <v>657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  <col min="37" max="37" width="9.726562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696</v>
      </c>
    </row>
    <row r="3" spans="1:47">
      <c r="B3" s="4" t="s">
        <v>178</v>
      </c>
      <c r="C3" s="4" t="s">
        <v>697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698</v>
      </c>
    </row>
    <row r="6" spans="1:47">
      <c r="B6" s="4" t="s">
        <v>5</v>
      </c>
      <c r="C6" s="4" t="s">
        <v>702</v>
      </c>
    </row>
    <row r="7" spans="1:47">
      <c r="B7" s="4" t="s">
        <v>313</v>
      </c>
      <c r="C7" s="4" t="s">
        <v>700</v>
      </c>
    </row>
    <row r="8" spans="1:47">
      <c r="B8" s="4" t="s">
        <v>196</v>
      </c>
      <c r="C8" s="4" t="s">
        <v>701</v>
      </c>
    </row>
    <row r="9" spans="1:47">
      <c r="B9" s="4" t="s">
        <v>5</v>
      </c>
    </row>
    <row r="15" spans="1:47">
      <c r="B15" s="36"/>
      <c r="C15" s="36">
        <v>40909</v>
      </c>
      <c r="D15" s="36">
        <v>40940</v>
      </c>
      <c r="E15" s="36">
        <v>40969</v>
      </c>
      <c r="F15" s="36">
        <v>41000</v>
      </c>
      <c r="G15" s="36">
        <v>41030</v>
      </c>
      <c r="H15" s="36">
        <v>41061</v>
      </c>
      <c r="I15" s="36">
        <v>41091</v>
      </c>
      <c r="J15" s="36">
        <v>41122</v>
      </c>
      <c r="K15" s="36">
        <v>41153</v>
      </c>
      <c r="L15" s="36">
        <v>41183</v>
      </c>
      <c r="M15" s="36">
        <v>41214</v>
      </c>
      <c r="N15" s="36">
        <v>41244</v>
      </c>
      <c r="O15" s="36">
        <v>41275</v>
      </c>
      <c r="P15" s="36">
        <v>41306</v>
      </c>
      <c r="Q15" s="36">
        <v>41334</v>
      </c>
      <c r="R15" s="36">
        <v>41365</v>
      </c>
      <c r="S15" s="36">
        <v>41395</v>
      </c>
      <c r="T15" s="36">
        <v>41426</v>
      </c>
      <c r="U15" s="36">
        <v>41456</v>
      </c>
      <c r="V15" s="36">
        <v>41487</v>
      </c>
      <c r="W15" s="36">
        <v>41518</v>
      </c>
      <c r="X15" s="36">
        <v>41548</v>
      </c>
      <c r="Y15" s="36">
        <v>41579</v>
      </c>
      <c r="Z15" s="36">
        <v>41609</v>
      </c>
      <c r="AA15" s="36">
        <v>41640</v>
      </c>
      <c r="AB15" s="36">
        <v>41671</v>
      </c>
      <c r="AC15" s="36">
        <v>41699</v>
      </c>
      <c r="AD15" s="36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699</v>
      </c>
      <c r="C16" s="37">
        <v>702.51499999999999</v>
      </c>
      <c r="D16" s="37">
        <v>689.05700000000002</v>
      </c>
      <c r="E16" s="37">
        <v>772.70500000000004</v>
      </c>
      <c r="F16" s="37">
        <v>594.803</v>
      </c>
      <c r="G16" s="37">
        <v>576.25800000000004</v>
      </c>
      <c r="H16" s="37">
        <v>671.95399999999995</v>
      </c>
      <c r="I16" s="37">
        <v>536.56100000000004</v>
      </c>
      <c r="J16" s="37">
        <v>499.66500000000002</v>
      </c>
      <c r="K16" s="37">
        <v>581.94899999999996</v>
      </c>
      <c r="L16" s="37">
        <v>531.52800000000002</v>
      </c>
      <c r="M16" s="37">
        <v>500.17200000000003</v>
      </c>
      <c r="N16" s="37">
        <v>593.91999999999996</v>
      </c>
      <c r="O16" s="37">
        <v>546.22400000000005</v>
      </c>
      <c r="P16" s="37">
        <v>499.22</v>
      </c>
      <c r="Q16" s="37">
        <v>560.48800000000006</v>
      </c>
      <c r="R16" s="37">
        <v>437.61900000000003</v>
      </c>
      <c r="S16" s="37">
        <v>411.07400000000001</v>
      </c>
      <c r="T16" s="37">
        <v>510.24400000000003</v>
      </c>
      <c r="U16" s="37">
        <v>429.048</v>
      </c>
      <c r="V16" s="37">
        <v>430.69099999999997</v>
      </c>
      <c r="W16" s="37">
        <v>532.06299999999999</v>
      </c>
      <c r="X16" s="37">
        <v>412.27300000000002</v>
      </c>
      <c r="Y16" s="37">
        <v>439.8</v>
      </c>
      <c r="Z16" s="37">
        <v>540.63099999999997</v>
      </c>
      <c r="AA16" s="37">
        <v>470.38600000000002</v>
      </c>
      <c r="AB16" s="37">
        <v>424.96600000000001</v>
      </c>
      <c r="AC16" s="37">
        <v>419.596</v>
      </c>
      <c r="AI16" s="37">
        <f>SUM(C16:N16)</f>
        <v>7251.0869999999995</v>
      </c>
      <c r="AJ16" s="37">
        <f>SUM(O16:Z16)</f>
        <v>5749.3750000000009</v>
      </c>
      <c r="AK16" s="37">
        <f>SUM(AA16:AC16)*4</f>
        <v>5259.7920000000004</v>
      </c>
      <c r="AL16" s="37">
        <f>+AK16*0.95</f>
        <v>4996.8024000000005</v>
      </c>
      <c r="AM16" s="37">
        <f t="shared" ref="AM16:AU16" si="1">+AL16*0.95</f>
        <v>4746.9622800000006</v>
      </c>
      <c r="AN16" s="37">
        <f t="shared" si="1"/>
        <v>4509.6141660000003</v>
      </c>
      <c r="AO16" s="37">
        <f t="shared" si="1"/>
        <v>4284.1334576999998</v>
      </c>
      <c r="AP16" s="37">
        <f t="shared" si="1"/>
        <v>4069.9267848149998</v>
      </c>
      <c r="AQ16" s="37">
        <f t="shared" si="1"/>
        <v>3866.4304455742495</v>
      </c>
      <c r="AR16" s="37">
        <f t="shared" si="1"/>
        <v>3673.1089232955369</v>
      </c>
      <c r="AS16" s="37">
        <f t="shared" si="1"/>
        <v>3489.4534771307599</v>
      </c>
      <c r="AT16" s="37">
        <f t="shared" si="1"/>
        <v>3314.9808032742217</v>
      </c>
      <c r="AU16" s="37">
        <f t="shared" si="1"/>
        <v>3149.2317631105107</v>
      </c>
    </row>
    <row r="17" spans="35:47">
      <c r="AJ17" s="38">
        <f t="shared" ref="AJ17:AU17" si="2">AJ16/AI16-1</f>
        <v>-0.20710163869224008</v>
      </c>
      <c r="AK17" s="38">
        <f t="shared" si="2"/>
        <v>-8.5154125448418383E-2</v>
      </c>
      <c r="AL17" s="38">
        <f t="shared" si="2"/>
        <v>-4.9999999999999933E-2</v>
      </c>
      <c r="AM17" s="38">
        <f t="shared" si="2"/>
        <v>-4.9999999999999933E-2</v>
      </c>
      <c r="AN17" s="38">
        <f t="shared" si="2"/>
        <v>-5.0000000000000044E-2</v>
      </c>
      <c r="AO17" s="38">
        <f t="shared" si="2"/>
        <v>-5.0000000000000155E-2</v>
      </c>
      <c r="AP17" s="38">
        <f t="shared" si="2"/>
        <v>-5.0000000000000044E-2</v>
      </c>
      <c r="AQ17" s="38">
        <f t="shared" si="2"/>
        <v>-5.0000000000000044E-2</v>
      </c>
      <c r="AR17" s="38">
        <f t="shared" si="2"/>
        <v>-5.0000000000000044E-2</v>
      </c>
      <c r="AS17" s="38">
        <f t="shared" si="2"/>
        <v>-5.0000000000000044E-2</v>
      </c>
      <c r="AT17" s="38">
        <f t="shared" si="2"/>
        <v>-5.0000000000000044E-2</v>
      </c>
      <c r="AU17" s="38">
        <f t="shared" si="2"/>
        <v>-4.9999999999999933E-2</v>
      </c>
    </row>
    <row r="19" spans="35:47">
      <c r="AI19" s="37">
        <f>AI16-500</f>
        <v>6751.0869999999995</v>
      </c>
      <c r="AJ19" s="37">
        <f t="shared" ref="AJ19:AU19" si="3">AJ16-500</f>
        <v>5249.3750000000009</v>
      </c>
      <c r="AK19" s="37">
        <f t="shared" si="3"/>
        <v>4759.7920000000004</v>
      </c>
      <c r="AL19" s="37">
        <f t="shared" si="3"/>
        <v>4496.8024000000005</v>
      </c>
      <c r="AM19" s="37">
        <f t="shared" si="3"/>
        <v>4246.9622800000006</v>
      </c>
      <c r="AN19" s="37">
        <f t="shared" si="3"/>
        <v>4009.6141660000003</v>
      </c>
      <c r="AO19" s="37">
        <f t="shared" si="3"/>
        <v>3784.1334576999998</v>
      </c>
      <c r="AP19" s="37">
        <f t="shared" si="3"/>
        <v>3569.9267848149998</v>
      </c>
      <c r="AQ19" s="37">
        <f t="shared" si="3"/>
        <v>3366.4304455742495</v>
      </c>
      <c r="AR19" s="37">
        <f t="shared" si="3"/>
        <v>3173.1089232955369</v>
      </c>
      <c r="AS19" s="37">
        <f t="shared" si="3"/>
        <v>2989.4534771307599</v>
      </c>
      <c r="AT19" s="37">
        <f t="shared" si="3"/>
        <v>2814.9808032742217</v>
      </c>
      <c r="AU19" s="37">
        <f t="shared" si="3"/>
        <v>2649.2317631105107</v>
      </c>
    </row>
    <row r="20" spans="35:47">
      <c r="AI20" s="37">
        <f>+AI19*0.65</f>
        <v>4388.2065499999999</v>
      </c>
      <c r="AJ20" s="37">
        <f t="shared" ref="AJ20:AU20" si="4">+AJ19*0.65</f>
        <v>3412.0937500000009</v>
      </c>
      <c r="AK20" s="37">
        <f t="shared" si="4"/>
        <v>3093.8648000000003</v>
      </c>
      <c r="AL20" s="37">
        <f t="shared" si="4"/>
        <v>2922.9215600000002</v>
      </c>
      <c r="AM20" s="37">
        <f t="shared" si="4"/>
        <v>2760.5254820000005</v>
      </c>
      <c r="AN20" s="37">
        <f t="shared" si="4"/>
        <v>2606.2492079000003</v>
      </c>
      <c r="AO20" s="37">
        <f t="shared" si="4"/>
        <v>2459.6867475049999</v>
      </c>
      <c r="AP20" s="37">
        <f t="shared" si="4"/>
        <v>2320.4524101297498</v>
      </c>
      <c r="AQ20" s="37">
        <f t="shared" si="4"/>
        <v>2188.1797896232624</v>
      </c>
      <c r="AR20" s="37">
        <f t="shared" si="4"/>
        <v>2062.5208001420992</v>
      </c>
      <c r="AS20" s="37">
        <f t="shared" si="4"/>
        <v>1943.1447601349939</v>
      </c>
      <c r="AT20" s="37">
        <f t="shared" si="4"/>
        <v>1829.7375221282441</v>
      </c>
      <c r="AU20" s="37">
        <f t="shared" si="4"/>
        <v>1722.0006460218319</v>
      </c>
    </row>
    <row r="22" spans="35:47">
      <c r="AK22" s="37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796875" defaultRowHeight="12.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4" t="s">
        <v>301</v>
      </c>
    </row>
    <row r="6" spans="1:3">
      <c r="C6" s="14" t="s">
        <v>302</v>
      </c>
    </row>
    <row r="7" spans="1:3">
      <c r="B7" s="1" t="s">
        <v>210</v>
      </c>
    </row>
    <row r="8" spans="1:3" ht="13">
      <c r="C8" s="10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tabSelected="1" zoomScale="160" zoomScaleNormal="160" workbookViewId="0">
      <pane xSplit="2" ySplit="2" topLeftCell="DK27" activePane="bottomRight" state="frozen"/>
      <selection pane="topRight"/>
      <selection pane="bottomLeft"/>
      <selection pane="bottomRight" activeCell="DY91" sqref="DY91"/>
    </sheetView>
  </sheetViews>
  <sheetFormatPr defaultColWidth="9.1796875" defaultRowHeight="12.75" customHeight="1"/>
  <cols>
    <col min="1" max="1" width="5" style="73" bestFit="1" customWidth="1"/>
    <col min="2" max="2" width="28.26953125" style="73" bestFit="1" customWidth="1"/>
    <col min="3" max="34" width="6.1796875" style="60" customWidth="1"/>
    <col min="35" max="38" width="6.81640625" style="60" customWidth="1"/>
    <col min="39" max="39" width="7.26953125" style="60" customWidth="1"/>
    <col min="40" max="43" width="7" style="60" customWidth="1"/>
    <col min="44" max="54" width="6.7265625" style="60" customWidth="1"/>
    <col min="55" max="70" width="7.453125" style="60" customWidth="1"/>
    <col min="71" max="74" width="7.1796875" style="60" customWidth="1"/>
    <col min="75" max="85" width="6.81640625" style="60" customWidth="1"/>
    <col min="86" max="86" width="7.26953125" style="60" customWidth="1"/>
    <col min="87" max="102" width="7.81640625" style="60" customWidth="1"/>
    <col min="103" max="104" width="6.453125" style="60" customWidth="1"/>
    <col min="105" max="105" width="4.26953125" style="73" customWidth="1"/>
    <col min="106" max="106" width="7.1796875" style="60" bestFit="1" customWidth="1" collapsed="1"/>
    <col min="107" max="107" width="7.453125" style="60" bestFit="1" customWidth="1" collapsed="1"/>
    <col min="108" max="108" width="9.453125" style="60" bestFit="1" customWidth="1"/>
    <col min="109" max="109" width="7.7265625" style="60" customWidth="1"/>
    <col min="110" max="110" width="7.453125" style="60" bestFit="1" customWidth="1"/>
    <col min="111" max="113" width="7.453125" style="60" customWidth="1"/>
    <col min="114" max="125" width="7.26953125" style="60" customWidth="1"/>
    <col min="126" max="130" width="7.7265625" style="60" customWidth="1"/>
    <col min="131" max="131" width="8.26953125" style="60" customWidth="1"/>
    <col min="132" max="132" width="8.26953125" style="73" customWidth="1"/>
    <col min="133" max="133" width="8.26953125" style="112" customWidth="1"/>
    <col min="134" max="140" width="8.26953125" style="73" customWidth="1"/>
    <col min="141" max="191" width="9.26953125" style="73" bestFit="1" customWidth="1"/>
    <col min="192" max="16384" width="9.1796875" style="73"/>
  </cols>
  <sheetData>
    <row r="1" spans="1:140" s="81" customFormat="1" ht="12.75" customHeight="1">
      <c r="A1" s="80" t="s">
        <v>8</v>
      </c>
      <c r="C1" s="82"/>
      <c r="D1" s="82"/>
      <c r="E1" s="82"/>
      <c r="F1" s="82"/>
      <c r="G1" s="83"/>
      <c r="H1" s="84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5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73"/>
      <c r="DB1" s="82"/>
      <c r="DC1" s="84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C1" s="85"/>
    </row>
    <row r="2" spans="1:140" s="81" customFormat="1" ht="12.75" customHeight="1">
      <c r="B2" s="87"/>
      <c r="C2" s="88" t="s">
        <v>246</v>
      </c>
      <c r="D2" s="88" t="s">
        <v>247</v>
      </c>
      <c r="E2" s="88" t="s">
        <v>248</v>
      </c>
      <c r="F2" s="88" t="s">
        <v>249</v>
      </c>
      <c r="G2" s="88" t="s">
        <v>250</v>
      </c>
      <c r="H2" s="88" t="s">
        <v>251</v>
      </c>
      <c r="I2" s="88" t="s">
        <v>252</v>
      </c>
      <c r="J2" s="88" t="s">
        <v>253</v>
      </c>
      <c r="K2" s="88" t="s">
        <v>254</v>
      </c>
      <c r="L2" s="88" t="s">
        <v>255</v>
      </c>
      <c r="M2" s="88" t="s">
        <v>256</v>
      </c>
      <c r="N2" s="88" t="s">
        <v>245</v>
      </c>
      <c r="O2" s="88" t="s">
        <v>244</v>
      </c>
      <c r="P2" s="88" t="s">
        <v>243</v>
      </c>
      <c r="Q2" s="88" t="s">
        <v>242</v>
      </c>
      <c r="R2" s="88" t="s">
        <v>241</v>
      </c>
      <c r="S2" s="88" t="s">
        <v>240</v>
      </c>
      <c r="T2" s="88" t="s">
        <v>239</v>
      </c>
      <c r="U2" s="88" t="s">
        <v>238</v>
      </c>
      <c r="V2" s="88" t="s">
        <v>237</v>
      </c>
      <c r="W2" s="88" t="s">
        <v>199</v>
      </c>
      <c r="X2" s="88" t="s">
        <v>202</v>
      </c>
      <c r="Y2" s="88" t="s">
        <v>263</v>
      </c>
      <c r="Z2" s="88" t="s">
        <v>264</v>
      </c>
      <c r="AA2" s="88" t="s">
        <v>347</v>
      </c>
      <c r="AB2" s="88" t="s">
        <v>348</v>
      </c>
      <c r="AC2" s="88" t="s">
        <v>349</v>
      </c>
      <c r="AD2" s="88" t="s">
        <v>372</v>
      </c>
      <c r="AE2" s="88" t="s">
        <v>373</v>
      </c>
      <c r="AF2" s="88" t="s">
        <v>374</v>
      </c>
      <c r="AG2" s="88" t="s">
        <v>375</v>
      </c>
      <c r="AH2" s="88" t="s">
        <v>376</v>
      </c>
      <c r="AI2" s="88" t="s">
        <v>463</v>
      </c>
      <c r="AJ2" s="88" t="s">
        <v>466</v>
      </c>
      <c r="AK2" s="88" t="s">
        <v>467</v>
      </c>
      <c r="AL2" s="88" t="s">
        <v>468</v>
      </c>
      <c r="AM2" s="88" t="s">
        <v>481</v>
      </c>
      <c r="AN2" s="88" t="s">
        <v>482</v>
      </c>
      <c r="AO2" s="88" t="s">
        <v>483</v>
      </c>
      <c r="AP2" s="88" t="s">
        <v>484</v>
      </c>
      <c r="AQ2" s="88" t="s">
        <v>647</v>
      </c>
      <c r="AR2" s="88" t="s">
        <v>648</v>
      </c>
      <c r="AS2" s="88" t="s">
        <v>649</v>
      </c>
      <c r="AT2" s="88" t="s">
        <v>650</v>
      </c>
      <c r="AU2" s="88" t="s">
        <v>683</v>
      </c>
      <c r="AV2" s="88" t="s">
        <v>684</v>
      </c>
      <c r="AW2" s="88" t="s">
        <v>685</v>
      </c>
      <c r="AX2" s="88" t="s">
        <v>686</v>
      </c>
      <c r="AY2" s="88" t="s">
        <v>687</v>
      </c>
      <c r="AZ2" s="88" t="s">
        <v>688</v>
      </c>
      <c r="BA2" s="88" t="s">
        <v>680</v>
      </c>
      <c r="BB2" s="88" t="s">
        <v>689</v>
      </c>
      <c r="BC2" s="88" t="s">
        <v>681</v>
      </c>
      <c r="BD2" s="88" t="s">
        <v>690</v>
      </c>
      <c r="BE2" s="88" t="s">
        <v>691</v>
      </c>
      <c r="BF2" s="88" t="s">
        <v>692</v>
      </c>
      <c r="BG2" s="88" t="s">
        <v>703</v>
      </c>
      <c r="BH2" s="88" t="s">
        <v>704</v>
      </c>
      <c r="BI2" s="88" t="s">
        <v>705</v>
      </c>
      <c r="BJ2" s="88" t="s">
        <v>706</v>
      </c>
      <c r="BK2" s="88" t="s">
        <v>707</v>
      </c>
      <c r="BL2" s="88" t="s">
        <v>708</v>
      </c>
      <c r="BM2" s="88" t="s">
        <v>709</v>
      </c>
      <c r="BN2" s="88" t="s">
        <v>710</v>
      </c>
      <c r="BO2" s="88" t="s">
        <v>711</v>
      </c>
      <c r="BP2" s="88" t="s">
        <v>712</v>
      </c>
      <c r="BQ2" s="88" t="s">
        <v>713</v>
      </c>
      <c r="BR2" s="88" t="s">
        <v>714</v>
      </c>
      <c r="BS2" s="88" t="s">
        <v>715</v>
      </c>
      <c r="BT2" s="88" t="s">
        <v>716</v>
      </c>
      <c r="BU2" s="88" t="s">
        <v>717</v>
      </c>
      <c r="BV2" s="88" t="s">
        <v>718</v>
      </c>
      <c r="BW2" s="88" t="s">
        <v>719</v>
      </c>
      <c r="BX2" s="88" t="s">
        <v>720</v>
      </c>
      <c r="BY2" s="88" t="s">
        <v>721</v>
      </c>
      <c r="BZ2" s="88" t="s">
        <v>722</v>
      </c>
      <c r="CA2" s="88" t="s">
        <v>723</v>
      </c>
      <c r="CB2" s="88" t="s">
        <v>724</v>
      </c>
      <c r="CC2" s="88" t="s">
        <v>725</v>
      </c>
      <c r="CD2" s="88" t="s">
        <v>726</v>
      </c>
      <c r="CE2" s="88" t="s">
        <v>727</v>
      </c>
      <c r="CF2" s="88" t="s">
        <v>728</v>
      </c>
      <c r="CG2" s="88" t="s">
        <v>729</v>
      </c>
      <c r="CH2" s="88" t="s">
        <v>730</v>
      </c>
      <c r="CI2" s="88" t="s">
        <v>731</v>
      </c>
      <c r="CJ2" s="88" t="s">
        <v>732</v>
      </c>
      <c r="CK2" s="88" t="s">
        <v>733</v>
      </c>
      <c r="CL2" s="88" t="s">
        <v>734</v>
      </c>
      <c r="CM2" s="88" t="s">
        <v>735</v>
      </c>
      <c r="CN2" s="88" t="s">
        <v>736</v>
      </c>
      <c r="CO2" s="88" t="s">
        <v>737</v>
      </c>
      <c r="CP2" s="88" t="s">
        <v>738</v>
      </c>
      <c r="CQ2" s="88" t="s">
        <v>945</v>
      </c>
      <c r="CR2" s="88" t="s">
        <v>946</v>
      </c>
      <c r="CS2" s="88" t="s">
        <v>947</v>
      </c>
      <c r="CT2" s="88" t="s">
        <v>948</v>
      </c>
      <c r="CU2" s="88" t="s">
        <v>971</v>
      </c>
      <c r="CV2" s="88" t="s">
        <v>972</v>
      </c>
      <c r="CW2" s="88" t="s">
        <v>973</v>
      </c>
      <c r="CX2" s="88" t="s">
        <v>974</v>
      </c>
      <c r="CY2" s="88"/>
      <c r="CZ2" s="88"/>
      <c r="DA2" s="88"/>
      <c r="DB2" s="89">
        <f t="shared" ref="DB2:DG2" si="0">DC2-1</f>
        <v>2001</v>
      </c>
      <c r="DC2" s="89">
        <f t="shared" si="0"/>
        <v>2002</v>
      </c>
      <c r="DD2" s="89">
        <f t="shared" si="0"/>
        <v>2003</v>
      </c>
      <c r="DE2" s="89">
        <f t="shared" si="0"/>
        <v>2004</v>
      </c>
      <c r="DF2" s="89">
        <f t="shared" si="0"/>
        <v>2005</v>
      </c>
      <c r="DG2" s="89">
        <f t="shared" si="0"/>
        <v>2006</v>
      </c>
      <c r="DH2" s="89">
        <f>DI2-1</f>
        <v>2007</v>
      </c>
      <c r="DI2" s="89">
        <v>2008</v>
      </c>
      <c r="DJ2" s="89">
        <f t="shared" ref="DJ2:DO2" si="1">DI2+1</f>
        <v>2009</v>
      </c>
      <c r="DK2" s="89">
        <f t="shared" si="1"/>
        <v>2010</v>
      </c>
      <c r="DL2" s="89">
        <f t="shared" si="1"/>
        <v>2011</v>
      </c>
      <c r="DM2" s="89">
        <f t="shared" si="1"/>
        <v>2012</v>
      </c>
      <c r="DN2" s="89">
        <f t="shared" si="1"/>
        <v>2013</v>
      </c>
      <c r="DO2" s="89">
        <f t="shared" si="1"/>
        <v>2014</v>
      </c>
      <c r="DP2" s="89">
        <f>DO2+1</f>
        <v>2015</v>
      </c>
      <c r="DQ2" s="89">
        <f>DP2+1</f>
        <v>2016</v>
      </c>
      <c r="DR2" s="89">
        <f>DQ2+1</f>
        <v>2017</v>
      </c>
      <c r="DS2" s="89">
        <f>DR2+1</f>
        <v>2018</v>
      </c>
      <c r="DT2" s="89">
        <f t="shared" ref="DT2:EA2" si="2">DS2+1</f>
        <v>2019</v>
      </c>
      <c r="DU2" s="89">
        <f t="shared" si="2"/>
        <v>2020</v>
      </c>
      <c r="DV2" s="89">
        <f t="shared" si="2"/>
        <v>2021</v>
      </c>
      <c r="DW2" s="89">
        <f t="shared" si="2"/>
        <v>2022</v>
      </c>
      <c r="DX2" s="89">
        <f t="shared" si="2"/>
        <v>2023</v>
      </c>
      <c r="DY2" s="89">
        <f t="shared" si="2"/>
        <v>2024</v>
      </c>
      <c r="DZ2" s="89">
        <f t="shared" si="2"/>
        <v>2025</v>
      </c>
      <c r="EA2" s="89">
        <f t="shared" si="2"/>
        <v>2026</v>
      </c>
      <c r="EB2" s="126">
        <f>EA2+1</f>
        <v>2027</v>
      </c>
      <c r="EC2" s="126">
        <f t="shared" ref="EC2:EE2" si="3">EB2+1</f>
        <v>2028</v>
      </c>
      <c r="ED2" s="126">
        <f t="shared" si="3"/>
        <v>2029</v>
      </c>
      <c r="EE2" s="126">
        <f t="shared" si="3"/>
        <v>2030</v>
      </c>
      <c r="EF2" s="126">
        <f>EE2+1</f>
        <v>2031</v>
      </c>
      <c r="EG2" s="126">
        <f t="shared" ref="EG2:EJ2" si="4">EF2+1</f>
        <v>2032</v>
      </c>
      <c r="EH2" s="126">
        <f t="shared" si="4"/>
        <v>2033</v>
      </c>
      <c r="EI2" s="126">
        <f t="shared" si="4"/>
        <v>2034</v>
      </c>
      <c r="EJ2" s="126">
        <f t="shared" si="4"/>
        <v>2035</v>
      </c>
    </row>
    <row r="3" spans="1:140" s="90" customFormat="1" ht="12.75" customHeight="1">
      <c r="B3" s="44" t="s">
        <v>740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>
        <v>4</v>
      </c>
      <c r="BF3" s="91">
        <v>50</v>
      </c>
      <c r="BG3" s="91">
        <v>83</v>
      </c>
      <c r="BH3" s="91">
        <v>110</v>
      </c>
      <c r="BI3" s="91">
        <v>159</v>
      </c>
      <c r="BJ3" s="91">
        <v>214</v>
      </c>
      <c r="BK3" s="91">
        <v>249</v>
      </c>
      <c r="BL3" s="91">
        <v>314</v>
      </c>
      <c r="BM3" s="91">
        <v>356</v>
      </c>
      <c r="BN3" s="91">
        <v>483</v>
      </c>
      <c r="BO3" s="91">
        <v>584</v>
      </c>
      <c r="BP3" s="91">
        <v>881</v>
      </c>
      <c r="BQ3" s="91">
        <v>1047</v>
      </c>
      <c r="BR3" s="91">
        <v>1297</v>
      </c>
      <c r="BS3" s="91">
        <v>1464</v>
      </c>
      <c r="BT3" s="91">
        <v>1667</v>
      </c>
      <c r="BU3" s="91">
        <v>1889</v>
      </c>
      <c r="BV3" s="91">
        <v>2151</v>
      </c>
      <c r="BW3" s="91">
        <v>2269</v>
      </c>
      <c r="BX3" s="91">
        <v>2634</v>
      </c>
      <c r="BY3" s="91">
        <v>3070</v>
      </c>
      <c r="BZ3" s="91">
        <v>3111</v>
      </c>
      <c r="CA3" s="91">
        <v>3284</v>
      </c>
      <c r="CB3" s="91">
        <v>3388</v>
      </c>
      <c r="CC3" s="91">
        <v>3715</v>
      </c>
      <c r="CD3" s="91">
        <v>3993</v>
      </c>
      <c r="CE3" s="91">
        <v>3899</v>
      </c>
      <c r="CF3" s="91">
        <v>4176</v>
      </c>
      <c r="CG3" s="91">
        <v>4534</v>
      </c>
      <c r="CH3" s="91">
        <v>4577</v>
      </c>
      <c r="CI3" s="91">
        <v>4809</v>
      </c>
      <c r="CJ3" s="91">
        <v>5252</v>
      </c>
      <c r="CK3" s="91">
        <v>5426</v>
      </c>
      <c r="CL3" s="91">
        <v>5450</v>
      </c>
      <c r="CM3" s="91">
        <v>5795</v>
      </c>
      <c r="CN3" s="91">
        <v>6271</v>
      </c>
      <c r="CO3" s="91">
        <v>6338</v>
      </c>
      <c r="CP3" s="91">
        <v>6608</v>
      </c>
      <c r="CQ3" s="91">
        <v>6947</v>
      </c>
      <c r="CR3" s="91">
        <v>7270</v>
      </c>
      <c r="CS3" s="91">
        <v>7429</v>
      </c>
      <c r="CT3" s="91">
        <v>7836</v>
      </c>
      <c r="CU3" s="91">
        <f>+CQ3*1.1</f>
        <v>7641.7000000000007</v>
      </c>
      <c r="CV3" s="91">
        <f>+CR3*1.1</f>
        <v>7997.0000000000009</v>
      </c>
      <c r="CW3" s="91">
        <f>+CS3*1.1</f>
        <v>8171.9000000000005</v>
      </c>
      <c r="CX3" s="91">
        <f>+CT3*1.1</f>
        <v>8619.6</v>
      </c>
      <c r="CY3" s="91"/>
      <c r="CZ3" s="91"/>
      <c r="DA3" s="91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>
        <f>SUM(BC3:BF3)</f>
        <v>54</v>
      </c>
      <c r="DP3" s="92">
        <f>SUM(BG3:BJ3)</f>
        <v>566</v>
      </c>
      <c r="DQ3" s="92">
        <f>SUM(BK3:BN3)</f>
        <v>1402</v>
      </c>
      <c r="DR3" s="92">
        <f>SUM(BO3:BR3)</f>
        <v>3809</v>
      </c>
      <c r="DS3" s="92">
        <f>SUM(BS3:BV3)</f>
        <v>7171</v>
      </c>
      <c r="DT3" s="92">
        <f t="shared" ref="DT3:DT5" si="5">SUM(BW3:BZ3)</f>
        <v>11084</v>
      </c>
      <c r="DU3" s="92">
        <f t="shared" ref="DU3:DU5" si="6">SUM(CA3:CD3)</f>
        <v>14380</v>
      </c>
      <c r="DV3" s="92">
        <f t="shared" ref="DV3:DV8" si="7">SUM(CE3:CH3)</f>
        <v>17186</v>
      </c>
      <c r="DW3" s="92">
        <f t="shared" ref="DW3:DW8" si="8">SUM(CI3:CL3)</f>
        <v>20937</v>
      </c>
      <c r="DX3" s="92">
        <f t="shared" ref="DX3:DX30" si="9">SUM(CM3:CP3)</f>
        <v>25012</v>
      </c>
      <c r="DY3" s="92">
        <f t="shared" ref="DY3:DY12" si="10">SUM(CQ3:CT3)</f>
        <v>29482</v>
      </c>
      <c r="DZ3" s="92">
        <f>SUM(CU3:CX3)</f>
        <v>32430.200000000004</v>
      </c>
      <c r="EA3" s="92">
        <f>DZ3*1.05</f>
        <v>34051.710000000006</v>
      </c>
      <c r="EB3" s="92">
        <f>EA3*1.05</f>
        <v>35754.295500000007</v>
      </c>
      <c r="EC3" s="92">
        <f>EB3*0.8</f>
        <v>28603.436400000006</v>
      </c>
      <c r="ED3" s="92">
        <f>EC3*0.7</f>
        <v>20022.405480000001</v>
      </c>
      <c r="EE3" s="92">
        <f>ED3*0.6</f>
        <v>12013.443288</v>
      </c>
      <c r="EF3" s="90">
        <f>EE3*0.7</f>
        <v>8409.410301599999</v>
      </c>
      <c r="EG3" s="90">
        <f>EF3*0.7</f>
        <v>5886.5872111199988</v>
      </c>
      <c r="EH3" s="90">
        <f t="shared" ref="EH3:EJ3" si="11">EG3*0.6</f>
        <v>3531.9523266719993</v>
      </c>
      <c r="EI3" s="90">
        <f t="shared" si="11"/>
        <v>2119.1713960031993</v>
      </c>
      <c r="EJ3" s="90">
        <f t="shared" si="11"/>
        <v>1271.5028376019195</v>
      </c>
    </row>
    <row r="4" spans="1:140" s="90" customFormat="1" ht="12.75" customHeight="1">
      <c r="B4" s="44" t="s">
        <v>741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>
        <v>5</v>
      </c>
      <c r="BR4" s="91">
        <v>16</v>
      </c>
      <c r="BS4" s="91">
        <v>33</v>
      </c>
      <c r="BT4" s="91">
        <v>44</v>
      </c>
      <c r="BU4" s="91">
        <v>49</v>
      </c>
      <c r="BV4" s="91">
        <v>62</v>
      </c>
      <c r="BW4" s="91">
        <v>79</v>
      </c>
      <c r="BX4" s="91">
        <v>111</v>
      </c>
      <c r="BY4" s="91">
        <v>123</v>
      </c>
      <c r="BZ4" s="91">
        <v>132</v>
      </c>
      <c r="CA4" s="91">
        <v>145</v>
      </c>
      <c r="CB4" s="91">
        <v>178</v>
      </c>
      <c r="CC4" s="91">
        <v>196</v>
      </c>
      <c r="CD4" s="91">
        <v>206</v>
      </c>
      <c r="CE4" s="91">
        <v>228</v>
      </c>
      <c r="CF4" s="91">
        <v>248</v>
      </c>
      <c r="CG4" s="91">
        <v>246</v>
      </c>
      <c r="CH4" s="91">
        <v>268</v>
      </c>
      <c r="CI4" s="91">
        <v>266</v>
      </c>
      <c r="CJ4" s="91">
        <v>275</v>
      </c>
      <c r="CK4" s="91">
        <v>284</v>
      </c>
      <c r="CL4" s="91">
        <v>292</v>
      </c>
      <c r="CM4" s="91">
        <v>275</v>
      </c>
      <c r="CN4" s="91">
        <v>310</v>
      </c>
      <c r="CO4" s="91">
        <v>299</v>
      </c>
      <c r="CP4" s="91">
        <v>315</v>
      </c>
      <c r="CQ4" s="91">
        <v>292</v>
      </c>
      <c r="CR4" s="91">
        <v>317</v>
      </c>
      <c r="CS4" s="91">
        <v>337</v>
      </c>
      <c r="CT4" s="91">
        <v>365</v>
      </c>
      <c r="CU4" s="91">
        <f t="shared" ref="CU4:CX5" si="12">+CQ4*1.01</f>
        <v>294.92</v>
      </c>
      <c r="CV4" s="91">
        <f t="shared" si="12"/>
        <v>320.17</v>
      </c>
      <c r="CW4" s="91">
        <f t="shared" si="12"/>
        <v>340.37</v>
      </c>
      <c r="CX4" s="91">
        <f t="shared" si="12"/>
        <v>368.65</v>
      </c>
      <c r="CY4" s="91"/>
      <c r="CZ4" s="91"/>
      <c r="DA4" s="91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>
        <f t="shared" ref="DR4:DR62" si="13">SUM(BO4:BR4)</f>
        <v>21</v>
      </c>
      <c r="DS4" s="92">
        <f t="shared" ref="DS4:DS62" si="14">SUM(BS4:BV4)</f>
        <v>188</v>
      </c>
      <c r="DT4" s="92">
        <f t="shared" si="5"/>
        <v>445</v>
      </c>
      <c r="DU4" s="92">
        <f t="shared" si="6"/>
        <v>725</v>
      </c>
      <c r="DV4" s="92">
        <f t="shared" si="7"/>
        <v>990</v>
      </c>
      <c r="DW4" s="92">
        <f t="shared" si="8"/>
        <v>1117</v>
      </c>
      <c r="DX4" s="92">
        <f>SUM(CM4:CP4)</f>
        <v>1199</v>
      </c>
      <c r="DY4" s="92">
        <f t="shared" si="10"/>
        <v>1311</v>
      </c>
      <c r="DZ4" s="92">
        <f>DY4*0.5</f>
        <v>655.5</v>
      </c>
      <c r="EA4" s="92">
        <f t="shared" ref="EA4:EJ4" si="15">DZ4*0.5</f>
        <v>327.75</v>
      </c>
      <c r="EB4" s="92">
        <f t="shared" si="15"/>
        <v>163.875</v>
      </c>
      <c r="EC4" s="92">
        <f t="shared" si="15"/>
        <v>81.9375</v>
      </c>
      <c r="ED4" s="92">
        <f t="shared" si="15"/>
        <v>40.96875</v>
      </c>
      <c r="EE4" s="92">
        <f t="shared" si="15"/>
        <v>20.484375</v>
      </c>
      <c r="EF4" s="92">
        <f t="shared" si="15"/>
        <v>10.2421875</v>
      </c>
      <c r="EG4" s="92">
        <f t="shared" si="15"/>
        <v>5.12109375</v>
      </c>
      <c r="EH4" s="92">
        <f t="shared" si="15"/>
        <v>2.560546875</v>
      </c>
      <c r="EI4" s="92">
        <f t="shared" si="15"/>
        <v>1.2802734375</v>
      </c>
      <c r="EJ4" s="92">
        <f t="shared" si="15"/>
        <v>0.64013671875</v>
      </c>
    </row>
    <row r="5" spans="1:140" s="90" customFormat="1" ht="12.75" customHeight="1">
      <c r="B5" s="44" t="s">
        <v>742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>
        <v>35</v>
      </c>
      <c r="BU5" s="91">
        <v>43</v>
      </c>
      <c r="BV5" s="91">
        <v>71</v>
      </c>
      <c r="BW5" s="91">
        <v>74</v>
      </c>
      <c r="BX5" s="91">
        <v>97</v>
      </c>
      <c r="BY5" s="91">
        <v>109</v>
      </c>
      <c r="BZ5" s="91">
        <v>124</v>
      </c>
      <c r="CA5" s="91">
        <v>128</v>
      </c>
      <c r="CB5" s="91">
        <v>151</v>
      </c>
      <c r="CC5" s="91">
        <v>142</v>
      </c>
      <c r="CD5" s="91">
        <v>158</v>
      </c>
      <c r="CE5" s="91">
        <v>130</v>
      </c>
      <c r="CF5" s="91">
        <v>181</v>
      </c>
      <c r="CG5" s="91">
        <v>188</v>
      </c>
      <c r="CH5" s="91">
        <v>206</v>
      </c>
      <c r="CI5" s="91">
        <v>227</v>
      </c>
      <c r="CJ5" s="91">
        <v>231</v>
      </c>
      <c r="CK5" s="91">
        <v>202</v>
      </c>
      <c r="CL5" s="91">
        <v>216</v>
      </c>
      <c r="CM5" s="91">
        <v>232</v>
      </c>
      <c r="CN5" s="91">
        <v>242</v>
      </c>
      <c r="CO5" s="91">
        <v>260</v>
      </c>
      <c r="CP5" s="91">
        <v>226</v>
      </c>
      <c r="CQ5" s="91">
        <v>255</v>
      </c>
      <c r="CR5" s="91">
        <v>249</v>
      </c>
      <c r="CS5" s="91">
        <v>251</v>
      </c>
      <c r="CT5" s="91">
        <v>255</v>
      </c>
      <c r="CU5" s="91">
        <f t="shared" si="12"/>
        <v>257.55</v>
      </c>
      <c r="CV5" s="91">
        <f t="shared" si="12"/>
        <v>251.49</v>
      </c>
      <c r="CW5" s="91">
        <f t="shared" si="12"/>
        <v>253.51</v>
      </c>
      <c r="CX5" s="91">
        <f t="shared" si="12"/>
        <v>257.55</v>
      </c>
      <c r="CY5" s="91"/>
      <c r="CZ5" s="91"/>
      <c r="DA5" s="91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>
        <f t="shared" si="14"/>
        <v>149</v>
      </c>
      <c r="DT5" s="92">
        <f t="shared" si="5"/>
        <v>404</v>
      </c>
      <c r="DU5" s="92">
        <f t="shared" si="6"/>
        <v>579</v>
      </c>
      <c r="DV5" s="92">
        <f t="shared" si="7"/>
        <v>705</v>
      </c>
      <c r="DW5" s="92">
        <f t="shared" si="8"/>
        <v>876</v>
      </c>
      <c r="DX5" s="92">
        <f t="shared" si="9"/>
        <v>960</v>
      </c>
      <c r="DY5" s="92">
        <f t="shared" si="10"/>
        <v>1010</v>
      </c>
      <c r="DZ5" s="92">
        <f>DY5*1.05</f>
        <v>1060.5</v>
      </c>
      <c r="EA5" s="92">
        <f>DZ5*0.5</f>
        <v>530.25</v>
      </c>
      <c r="EB5" s="92">
        <f t="shared" ref="EB5:EJ5" si="16">EA5*0.5</f>
        <v>265.125</v>
      </c>
      <c r="EC5" s="92">
        <f t="shared" si="16"/>
        <v>132.5625</v>
      </c>
      <c r="ED5" s="92">
        <f t="shared" si="16"/>
        <v>66.28125</v>
      </c>
      <c r="EE5" s="92">
        <f t="shared" si="16"/>
        <v>33.140625</v>
      </c>
      <c r="EF5" s="92">
        <f t="shared" si="16"/>
        <v>16.5703125</v>
      </c>
      <c r="EG5" s="92">
        <f t="shared" si="16"/>
        <v>8.28515625</v>
      </c>
      <c r="EH5" s="92">
        <f t="shared" si="16"/>
        <v>4.142578125</v>
      </c>
      <c r="EI5" s="92">
        <f t="shared" si="16"/>
        <v>2.0712890625</v>
      </c>
      <c r="EJ5" s="92">
        <f t="shared" si="16"/>
        <v>1.03564453125</v>
      </c>
    </row>
    <row r="6" spans="1:140" s="90" customFormat="1" ht="12.75" customHeight="1">
      <c r="B6" s="44" t="s">
        <v>743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>
        <v>17</v>
      </c>
      <c r="CI6" s="91">
        <v>52</v>
      </c>
      <c r="CJ6" s="91">
        <v>33</v>
      </c>
      <c r="CK6" s="91">
        <v>39</v>
      </c>
      <c r="CL6" s="91">
        <v>41</v>
      </c>
      <c r="CM6" s="91">
        <v>43</v>
      </c>
      <c r="CN6" s="91">
        <v>47</v>
      </c>
      <c r="CO6" s="91">
        <v>52</v>
      </c>
      <c r="CP6" s="91">
        <v>70</v>
      </c>
      <c r="CQ6" s="91">
        <v>71</v>
      </c>
      <c r="CR6" s="91">
        <v>90</v>
      </c>
      <c r="CS6" s="91">
        <v>100</v>
      </c>
      <c r="CT6" s="91">
        <v>110</v>
      </c>
      <c r="CU6" s="91">
        <f t="shared" ref="CU6:CX6" si="17">+CT6+5</f>
        <v>115</v>
      </c>
      <c r="CV6" s="91">
        <f t="shared" si="17"/>
        <v>120</v>
      </c>
      <c r="CW6" s="91">
        <f t="shared" si="17"/>
        <v>125</v>
      </c>
      <c r="CX6" s="91">
        <f t="shared" si="17"/>
        <v>130</v>
      </c>
      <c r="CY6" s="91"/>
      <c r="CZ6" s="91"/>
      <c r="DA6" s="91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>
        <f t="shared" si="7"/>
        <v>17</v>
      </c>
      <c r="DW6" s="92">
        <f t="shared" si="8"/>
        <v>165</v>
      </c>
      <c r="DX6" s="92">
        <f t="shared" si="9"/>
        <v>212</v>
      </c>
      <c r="DY6" s="92">
        <f t="shared" si="10"/>
        <v>371</v>
      </c>
      <c r="DZ6" s="92">
        <f>DY6*1.3</f>
        <v>482.3</v>
      </c>
      <c r="EA6" s="92">
        <f>DZ6*1.3</f>
        <v>626.99</v>
      </c>
      <c r="EB6" s="92">
        <f>EA6*1.3</f>
        <v>815.08699999999999</v>
      </c>
      <c r="EC6" s="85">
        <f>EB6*1.05</f>
        <v>855.84135000000003</v>
      </c>
      <c r="ED6" s="85">
        <f t="shared" ref="ED6:EJ6" si="18">EC6*1.05</f>
        <v>898.63341750000006</v>
      </c>
      <c r="EE6" s="85">
        <f t="shared" si="18"/>
        <v>943.56508837500007</v>
      </c>
      <c r="EF6" s="85">
        <f t="shared" si="18"/>
        <v>990.74334279375012</v>
      </c>
      <c r="EG6" s="85">
        <f t="shared" si="18"/>
        <v>1040.2805099334378</v>
      </c>
      <c r="EH6" s="85">
        <f t="shared" si="18"/>
        <v>1092.2945354301098</v>
      </c>
      <c r="EI6" s="85">
        <f t="shared" si="18"/>
        <v>1146.9092622016153</v>
      </c>
      <c r="EJ6" s="85">
        <f t="shared" si="18"/>
        <v>1204.2547253116961</v>
      </c>
    </row>
    <row r="7" spans="1:140" s="90" customFormat="1" ht="12.75" customHeight="1">
      <c r="B7" s="44" t="s">
        <v>932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>
        <v>18</v>
      </c>
      <c r="CJ7" s="91">
        <v>27</v>
      </c>
      <c r="CK7" s="91">
        <v>38</v>
      </c>
      <c r="CL7" s="91">
        <v>40</v>
      </c>
      <c r="CM7" s="91">
        <v>42</v>
      </c>
      <c r="CN7" s="91">
        <v>50</v>
      </c>
      <c r="CO7" s="91">
        <v>54</v>
      </c>
      <c r="CP7" s="91">
        <v>72</v>
      </c>
      <c r="CQ7" s="91">
        <v>85</v>
      </c>
      <c r="CR7" s="91">
        <v>126</v>
      </c>
      <c r="CS7" s="91">
        <v>139</v>
      </c>
      <c r="CT7" s="91">
        <v>160</v>
      </c>
      <c r="CU7" s="91">
        <f t="shared" ref="CU7" si="19">+CT7+3</f>
        <v>163</v>
      </c>
      <c r="CV7" s="91">
        <f t="shared" ref="CV7" si="20">+CU7+3</f>
        <v>166</v>
      </c>
      <c r="CW7" s="91">
        <f t="shared" ref="CW7" si="21">+CV7+3</f>
        <v>169</v>
      </c>
      <c r="CX7" s="91">
        <f t="shared" ref="CX7" si="22">+CW7+3</f>
        <v>172</v>
      </c>
      <c r="CY7" s="91"/>
      <c r="CZ7" s="91"/>
      <c r="DA7" s="91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>
        <f t="shared" si="8"/>
        <v>123</v>
      </c>
      <c r="DX7" s="92">
        <f t="shared" si="9"/>
        <v>218</v>
      </c>
      <c r="DY7" s="92">
        <f t="shared" si="10"/>
        <v>510</v>
      </c>
      <c r="DZ7" s="92">
        <f>DY7+50</f>
        <v>560</v>
      </c>
      <c r="EA7" s="92">
        <f>DZ7*1.03</f>
        <v>576.80000000000007</v>
      </c>
      <c r="EB7" s="92">
        <f t="shared" ref="EB7:EH7" si="23">EA7*1.03</f>
        <v>594.10400000000004</v>
      </c>
      <c r="EC7" s="92">
        <f t="shared" si="23"/>
        <v>611.92712000000006</v>
      </c>
      <c r="ED7" s="92">
        <f t="shared" si="23"/>
        <v>630.28493360000004</v>
      </c>
      <c r="EE7" s="92">
        <f t="shared" si="23"/>
        <v>649.19348160800007</v>
      </c>
      <c r="EF7" s="92">
        <f t="shared" si="23"/>
        <v>668.66928605624014</v>
      </c>
      <c r="EG7" s="92">
        <f t="shared" si="23"/>
        <v>688.72936463792735</v>
      </c>
      <c r="EH7" s="92">
        <f t="shared" si="23"/>
        <v>709.39124557706521</v>
      </c>
      <c r="EI7" s="90">
        <f>EH7*0.5</f>
        <v>354.6956227885326</v>
      </c>
      <c r="EJ7" s="90">
        <f>EI7*0.5</f>
        <v>177.3478113942663</v>
      </c>
    </row>
    <row r="8" spans="1:140" s="39" customFormat="1" ht="12.75" customHeight="1">
      <c r="B8" s="44" t="s">
        <v>739</v>
      </c>
      <c r="C8" s="40"/>
      <c r="D8" s="40"/>
      <c r="E8" s="40"/>
      <c r="F8" s="40"/>
      <c r="G8" s="40"/>
      <c r="H8" s="4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1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>
        <v>952</v>
      </c>
      <c r="CI8" s="92">
        <v>3247</v>
      </c>
      <c r="CJ8" s="92">
        <v>1177</v>
      </c>
      <c r="CK8" s="92">
        <v>436</v>
      </c>
      <c r="CL8" s="92">
        <v>825</v>
      </c>
      <c r="CM8" s="92">
        <v>392</v>
      </c>
      <c r="CN8" s="92">
        <v>203</v>
      </c>
      <c r="CO8" s="92">
        <v>640</v>
      </c>
      <c r="CP8" s="92">
        <v>193</v>
      </c>
      <c r="CQ8" s="92">
        <v>350</v>
      </c>
      <c r="CR8" s="92">
        <v>110</v>
      </c>
      <c r="CS8" s="92">
        <v>383</v>
      </c>
      <c r="CT8" s="92">
        <v>121</v>
      </c>
      <c r="CU8" s="92">
        <f t="shared" ref="CU8:CX8" si="24">+CT8*0.5</f>
        <v>60.5</v>
      </c>
      <c r="CV8" s="92">
        <f t="shared" si="24"/>
        <v>30.25</v>
      </c>
      <c r="CW8" s="92">
        <f t="shared" si="24"/>
        <v>15.125</v>
      </c>
      <c r="CX8" s="92">
        <f t="shared" si="24"/>
        <v>7.5625</v>
      </c>
      <c r="CY8" s="92"/>
      <c r="CZ8" s="92"/>
      <c r="DA8" s="93"/>
      <c r="DB8" s="40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>
        <f t="shared" si="7"/>
        <v>952</v>
      </c>
      <c r="DW8" s="92">
        <f t="shared" si="8"/>
        <v>5685</v>
      </c>
      <c r="DX8" s="92">
        <f t="shared" si="9"/>
        <v>1428</v>
      </c>
      <c r="DY8" s="92">
        <f t="shared" si="10"/>
        <v>964</v>
      </c>
      <c r="DZ8" s="92">
        <f t="shared" ref="DZ8:EJ8" si="25">DY8*0.5</f>
        <v>482</v>
      </c>
      <c r="EA8" s="92">
        <f t="shared" si="25"/>
        <v>241</v>
      </c>
      <c r="EB8" s="92">
        <f t="shared" si="25"/>
        <v>120.5</v>
      </c>
      <c r="EC8" s="92">
        <f t="shared" si="25"/>
        <v>60.25</v>
      </c>
      <c r="ED8" s="92">
        <f t="shared" si="25"/>
        <v>30.125</v>
      </c>
      <c r="EE8" s="92">
        <f t="shared" si="25"/>
        <v>15.0625</v>
      </c>
      <c r="EF8" s="92">
        <f t="shared" si="25"/>
        <v>7.53125</v>
      </c>
      <c r="EG8" s="92">
        <f t="shared" si="25"/>
        <v>3.765625</v>
      </c>
      <c r="EH8" s="92">
        <f t="shared" si="25"/>
        <v>1.8828125</v>
      </c>
      <c r="EI8" s="92">
        <f t="shared" si="25"/>
        <v>0.94140625</v>
      </c>
      <c r="EJ8" s="92">
        <f t="shared" si="25"/>
        <v>0.470703125</v>
      </c>
    </row>
    <row r="9" spans="1:140" s="39" customFormat="1" ht="12.75" customHeight="1">
      <c r="B9" s="44" t="s">
        <v>615</v>
      </c>
      <c r="C9" s="40"/>
      <c r="D9" s="40"/>
      <c r="E9" s="40"/>
      <c r="F9" s="40"/>
      <c r="G9" s="40"/>
      <c r="H9" s="40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>
        <v>10</v>
      </c>
      <c r="Y9" s="92">
        <v>70</v>
      </c>
      <c r="Z9" s="92">
        <v>155</v>
      </c>
      <c r="AA9" s="92">
        <v>365</v>
      </c>
      <c r="AB9" s="92">
        <v>358</v>
      </c>
      <c r="AC9" s="91">
        <v>418</v>
      </c>
      <c r="AD9" s="92">
        <v>450</v>
      </c>
      <c r="AE9" s="92">
        <v>390</v>
      </c>
      <c r="AF9" s="92">
        <v>326</v>
      </c>
      <c r="AG9" s="92">
        <v>401</v>
      </c>
      <c r="AH9" s="92">
        <f>AG9+10</f>
        <v>411</v>
      </c>
      <c r="AI9" s="127">
        <v>262</v>
      </c>
      <c r="AJ9" s="92">
        <v>268</v>
      </c>
      <c r="AK9" s="92">
        <v>311</v>
      </c>
      <c r="AL9" s="92">
        <v>277</v>
      </c>
      <c r="AM9" s="92">
        <v>233</v>
      </c>
      <c r="AN9" s="92">
        <v>219</v>
      </c>
      <c r="AO9" s="92">
        <v>316</v>
      </c>
      <c r="AP9" s="92">
        <v>221</v>
      </c>
      <c r="AQ9" s="92">
        <v>214</v>
      </c>
      <c r="AR9" s="92">
        <v>277</v>
      </c>
      <c r="AS9" s="92">
        <v>445</v>
      </c>
      <c r="AT9" s="92">
        <v>274</v>
      </c>
      <c r="AU9" s="92">
        <v>284</v>
      </c>
      <c r="AV9" s="92">
        <v>324</v>
      </c>
      <c r="AW9" s="92">
        <v>581</v>
      </c>
      <c r="AX9" s="92">
        <v>442</v>
      </c>
      <c r="AY9" s="92">
        <v>390</v>
      </c>
      <c r="AZ9" s="92">
        <v>383</v>
      </c>
      <c r="BA9" s="92">
        <v>665</v>
      </c>
      <c r="BB9" s="92">
        <v>394</v>
      </c>
      <c r="BC9" s="92">
        <v>383</v>
      </c>
      <c r="BD9" s="92">
        <v>409</v>
      </c>
      <c r="BE9" s="92">
        <v>590</v>
      </c>
      <c r="BF9" s="92">
        <v>356</v>
      </c>
      <c r="BG9" s="92">
        <v>359</v>
      </c>
      <c r="BH9" s="92">
        <v>427</v>
      </c>
      <c r="BI9" s="92">
        <v>625</v>
      </c>
      <c r="BJ9" s="92">
        <v>497</v>
      </c>
      <c r="BK9" s="92">
        <v>378</v>
      </c>
      <c r="BL9" s="92">
        <v>393</v>
      </c>
      <c r="BM9" s="92">
        <v>860</v>
      </c>
      <c r="BN9" s="92">
        <v>542</v>
      </c>
      <c r="BO9" s="92">
        <v>532</v>
      </c>
      <c r="BP9" s="92">
        <v>469</v>
      </c>
      <c r="BQ9" s="92">
        <v>675</v>
      </c>
      <c r="BR9" s="92">
        <v>633</v>
      </c>
      <c r="BS9" s="92">
        <v>660</v>
      </c>
      <c r="BT9" s="92">
        <v>608</v>
      </c>
      <c r="BU9" s="92">
        <v>1048</v>
      </c>
      <c r="BV9" s="92">
        <v>835</v>
      </c>
      <c r="BW9" s="92">
        <v>838</v>
      </c>
      <c r="BX9" s="92">
        <v>886</v>
      </c>
      <c r="BY9" s="92">
        <v>1320</v>
      </c>
      <c r="BZ9" s="92">
        <v>693</v>
      </c>
      <c r="CA9" s="92">
        <v>1097</v>
      </c>
      <c r="CB9" s="92">
        <v>656</v>
      </c>
      <c r="CC9" s="92">
        <v>1187</v>
      </c>
      <c r="CD9" s="92">
        <v>998</v>
      </c>
      <c r="CE9" s="92">
        <v>917</v>
      </c>
      <c r="CF9" s="92">
        <v>1234</v>
      </c>
      <c r="CG9" s="92">
        <v>1993</v>
      </c>
      <c r="CH9" s="92">
        <v>1528</v>
      </c>
      <c r="CI9" s="92">
        <v>1460</v>
      </c>
      <c r="CJ9" s="92">
        <v>1674</v>
      </c>
      <c r="CK9" s="92">
        <v>2294</v>
      </c>
      <c r="CL9" s="92">
        <v>1470</v>
      </c>
      <c r="CM9" s="92">
        <v>1972</v>
      </c>
      <c r="CN9" s="92">
        <v>2458</v>
      </c>
      <c r="CO9" s="92">
        <v>2585</v>
      </c>
      <c r="CP9" s="92">
        <v>1871</v>
      </c>
      <c r="CQ9" s="92">
        <v>2249</v>
      </c>
      <c r="CR9" s="92">
        <v>2478</v>
      </c>
      <c r="CS9" s="92">
        <v>2306</v>
      </c>
      <c r="CT9" s="92">
        <v>1550</v>
      </c>
      <c r="CU9" s="92">
        <f>+CQ9*1.03</f>
        <v>2316.4700000000003</v>
      </c>
      <c r="CV9" s="92">
        <f t="shared" ref="CV9:CX9" si="26">+CR9*1.03</f>
        <v>2552.34</v>
      </c>
      <c r="CW9" s="92">
        <f t="shared" si="26"/>
        <v>2375.1799999999998</v>
      </c>
      <c r="CX9" s="92">
        <f t="shared" si="26"/>
        <v>1596.5</v>
      </c>
      <c r="CY9" s="92"/>
      <c r="CZ9" s="92"/>
      <c r="DA9" s="93"/>
      <c r="DB9" s="40" t="s">
        <v>440</v>
      </c>
      <c r="DC9" s="92" t="s">
        <v>440</v>
      </c>
      <c r="DD9" s="92" t="s">
        <v>440</v>
      </c>
      <c r="DE9" s="92">
        <f>SUM(O9:R9)</f>
        <v>0</v>
      </c>
      <c r="DF9" s="92">
        <f>SUM(S9:V9)</f>
        <v>0</v>
      </c>
      <c r="DG9" s="92">
        <f>SUM(W9:Z9)</f>
        <v>235</v>
      </c>
      <c r="DH9" s="92">
        <f>SUM(AA9:AD9)</f>
        <v>1591</v>
      </c>
      <c r="DI9" s="92">
        <f>SUM(AE9:AH9)</f>
        <v>1528</v>
      </c>
      <c r="DJ9" s="92">
        <f>SUM(AI9:AL9)</f>
        <v>1118</v>
      </c>
      <c r="DK9" s="92">
        <f>SUM(AM9:AP9)</f>
        <v>989</v>
      </c>
      <c r="DL9" s="92">
        <f t="shared" ref="DL9:DL14" si="27">SUM(AQ9:AT9)</f>
        <v>1210</v>
      </c>
      <c r="DM9" s="92">
        <f t="shared" ref="DM9:DM70" si="28">SUM(AU9:AX9)</f>
        <v>1631</v>
      </c>
      <c r="DN9" s="92">
        <f t="shared" ref="DN9:DN23" si="29">SUM(AY9:BB9)</f>
        <v>1832</v>
      </c>
      <c r="DO9" s="92">
        <f t="shared" ref="DO9:DO23" si="30">SUM(BC9:BF9)</f>
        <v>1738</v>
      </c>
      <c r="DP9" s="92">
        <f t="shared" ref="DP9:DP62" si="31">SUM(BG9:BJ9)</f>
        <v>1908</v>
      </c>
      <c r="DQ9" s="92">
        <f t="shared" ref="DQ9:DQ62" si="32">SUM(BK9:BN9)</f>
        <v>2173</v>
      </c>
      <c r="DR9" s="92">
        <f t="shared" si="13"/>
        <v>2309</v>
      </c>
      <c r="DS9" s="92">
        <f t="shared" si="14"/>
        <v>3151</v>
      </c>
      <c r="DT9" s="92">
        <f>SUM(BW9:BZ9)</f>
        <v>3737</v>
      </c>
      <c r="DU9" s="92">
        <f>SUM(CA9:CD9)</f>
        <v>3938</v>
      </c>
      <c r="DV9" s="92">
        <f>SUM(CE9:CH9)</f>
        <v>5672</v>
      </c>
      <c r="DW9" s="92">
        <f>SUM(CI9:CL9)</f>
        <v>6898</v>
      </c>
      <c r="DX9" s="92">
        <f t="shared" si="9"/>
        <v>8886</v>
      </c>
      <c r="DY9" s="92">
        <f t="shared" si="10"/>
        <v>8583</v>
      </c>
      <c r="DZ9" s="92">
        <f t="shared" ref="DZ9:EJ9" si="33">DY9*1.01</f>
        <v>8668.83</v>
      </c>
      <c r="EA9" s="92">
        <f t="shared" si="33"/>
        <v>8755.5182999999997</v>
      </c>
      <c r="EB9" s="92">
        <f t="shared" si="33"/>
        <v>8843.0734830000001</v>
      </c>
      <c r="EC9" s="92">
        <f t="shared" si="33"/>
        <v>8931.5042178300009</v>
      </c>
      <c r="ED9" s="92">
        <f t="shared" si="33"/>
        <v>9020.8192600083003</v>
      </c>
      <c r="EE9" s="92">
        <f t="shared" si="33"/>
        <v>9111.0274526083831</v>
      </c>
      <c r="EF9" s="92">
        <f t="shared" si="33"/>
        <v>9202.1377271344663</v>
      </c>
      <c r="EG9" s="92">
        <f t="shared" si="33"/>
        <v>9294.1591044058114</v>
      </c>
      <c r="EH9" s="92">
        <f t="shared" si="33"/>
        <v>9387.1006954498698</v>
      </c>
      <c r="EI9" s="92">
        <f t="shared" si="33"/>
        <v>9480.9717024043694</v>
      </c>
      <c r="EJ9" s="92">
        <f t="shared" si="33"/>
        <v>9575.7814194284128</v>
      </c>
    </row>
    <row r="10" spans="1:140" s="39" customFormat="1" ht="12.75" customHeight="1">
      <c r="B10" s="44" t="s">
        <v>642</v>
      </c>
      <c r="C10" s="40"/>
      <c r="D10" s="40"/>
      <c r="E10" s="40"/>
      <c r="F10" s="40"/>
      <c r="G10" s="40"/>
      <c r="H10" s="40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>
        <v>42</v>
      </c>
      <c r="AA10" s="92">
        <v>87</v>
      </c>
      <c r="AB10" s="92">
        <v>144</v>
      </c>
      <c r="AC10" s="91">
        <v>185</v>
      </c>
      <c r="AD10" s="92">
        <v>200</v>
      </c>
      <c r="AE10" s="92">
        <v>272</v>
      </c>
      <c r="AF10" s="92">
        <v>334</v>
      </c>
      <c r="AG10" s="92">
        <v>379</v>
      </c>
      <c r="AH10" s="92"/>
      <c r="AI10" s="127">
        <v>411</v>
      </c>
      <c r="AJ10" s="92">
        <v>462</v>
      </c>
      <c r="AK10" s="92">
        <v>491</v>
      </c>
      <c r="AL10" s="92">
        <v>558</v>
      </c>
      <c r="AM10" s="92">
        <v>511</v>
      </c>
      <c r="AN10" s="92">
        <v>600</v>
      </c>
      <c r="AO10" s="92">
        <v>600</v>
      </c>
      <c r="AP10" s="92">
        <v>675</v>
      </c>
      <c r="AQ10" s="92">
        <v>739</v>
      </c>
      <c r="AR10" s="92">
        <v>779</v>
      </c>
      <c r="AS10" s="92">
        <v>846</v>
      </c>
      <c r="AT10" s="92">
        <v>960</v>
      </c>
      <c r="AU10" s="92">
        <v>919</v>
      </c>
      <c r="AV10" s="92">
        <v>1058</v>
      </c>
      <c r="AW10" s="92">
        <v>975</v>
      </c>
      <c r="AX10" s="92">
        <v>1134</v>
      </c>
      <c r="AY10" s="92">
        <v>884</v>
      </c>
      <c r="AZ10" s="92">
        <v>1072</v>
      </c>
      <c r="BA10" s="92">
        <v>927</v>
      </c>
      <c r="BB10" s="92">
        <v>1121</v>
      </c>
      <c r="BC10" s="92">
        <v>858</v>
      </c>
      <c r="BD10" s="92">
        <v>1058</v>
      </c>
      <c r="BE10" s="92">
        <v>933</v>
      </c>
      <c r="BF10" s="92">
        <v>1082</v>
      </c>
      <c r="BG10" s="92">
        <v>884</v>
      </c>
      <c r="BH10" s="92">
        <v>1044</v>
      </c>
      <c r="BI10" s="92">
        <v>1014</v>
      </c>
      <c r="BJ10" s="92">
        <v>921</v>
      </c>
      <c r="BK10" s="92">
        <v>906</v>
      </c>
      <c r="BL10" s="92">
        <v>1064</v>
      </c>
      <c r="BM10" s="92">
        <v>1006</v>
      </c>
      <c r="BN10" s="92">
        <v>932</v>
      </c>
      <c r="BO10" s="92">
        <v>839</v>
      </c>
      <c r="BP10" s="92">
        <v>948</v>
      </c>
      <c r="BQ10" s="92">
        <v>1012</v>
      </c>
      <c r="BR10" s="92">
        <v>938</v>
      </c>
      <c r="BS10" s="92">
        <v>880</v>
      </c>
      <c r="BT10" s="92">
        <v>949</v>
      </c>
      <c r="BU10" s="92">
        <v>927</v>
      </c>
      <c r="BV10" s="92">
        <v>930</v>
      </c>
      <c r="BW10" s="92">
        <v>824</v>
      </c>
      <c r="BX10" s="92">
        <v>908</v>
      </c>
      <c r="BY10" s="92">
        <v>807</v>
      </c>
      <c r="BZ10" s="92">
        <v>943</v>
      </c>
      <c r="CA10" s="92">
        <v>774</v>
      </c>
      <c r="CB10" s="92">
        <v>854</v>
      </c>
      <c r="CC10" s="92">
        <v>821</v>
      </c>
      <c r="CD10" s="92">
        <v>857</v>
      </c>
      <c r="CE10" s="92">
        <v>809</v>
      </c>
      <c r="CF10" s="92">
        <v>784</v>
      </c>
      <c r="CG10" s="92">
        <v>852</v>
      </c>
      <c r="CH10" s="92">
        <v>878</v>
      </c>
      <c r="CI10" s="92">
        <v>779</v>
      </c>
      <c r="CJ10" s="92">
        <v>756</v>
      </c>
      <c r="CK10" s="92">
        <v>717</v>
      </c>
      <c r="CL10" s="92">
        <v>561</v>
      </c>
      <c r="CM10" s="92">
        <v>551</v>
      </c>
      <c r="CN10" s="92">
        <v>511</v>
      </c>
      <c r="CO10" s="92">
        <v>581</v>
      </c>
      <c r="CP10" s="92">
        <v>547</v>
      </c>
      <c r="CQ10" s="92">
        <v>419</v>
      </c>
      <c r="CR10" s="92">
        <v>405</v>
      </c>
      <c r="CS10" s="92">
        <v>278</v>
      </c>
      <c r="CT10" s="92">
        <v>232</v>
      </c>
      <c r="CU10" s="92">
        <f t="shared" ref="CU10:CX10" si="34">+CT10-5</f>
        <v>227</v>
      </c>
      <c r="CV10" s="92">
        <f t="shared" si="34"/>
        <v>222</v>
      </c>
      <c r="CW10" s="92">
        <f t="shared" si="34"/>
        <v>217</v>
      </c>
      <c r="CX10" s="92">
        <f t="shared" si="34"/>
        <v>212</v>
      </c>
      <c r="CY10" s="92"/>
      <c r="CZ10" s="92"/>
      <c r="DA10" s="93"/>
      <c r="DB10" s="40" t="s">
        <v>440</v>
      </c>
      <c r="DC10" s="92" t="s">
        <v>440</v>
      </c>
      <c r="DD10" s="92" t="s">
        <v>440</v>
      </c>
      <c r="DE10" s="92">
        <f>SUM(O10:R10)</f>
        <v>0</v>
      </c>
      <c r="DF10" s="92">
        <f>SUM(S10:V10)</f>
        <v>0</v>
      </c>
      <c r="DG10" s="92">
        <f>SUM(W10:Z10)</f>
        <v>42</v>
      </c>
      <c r="DH10" s="92">
        <f>SUM(AA10:AD10)</f>
        <v>616</v>
      </c>
      <c r="DI10" s="92">
        <f>SUM(AE10:AH10)</f>
        <v>985</v>
      </c>
      <c r="DJ10" s="92">
        <f>SUM(AI10:AL10)</f>
        <v>1922</v>
      </c>
      <c r="DK10" s="92">
        <f t="shared" ref="DK10:DK17" si="35">SUM(AM10:AP10)</f>
        <v>2386</v>
      </c>
      <c r="DL10" s="92">
        <f t="shared" si="27"/>
        <v>3324</v>
      </c>
      <c r="DM10" s="92">
        <f t="shared" si="28"/>
        <v>4086</v>
      </c>
      <c r="DN10" s="92">
        <f t="shared" si="29"/>
        <v>4004</v>
      </c>
      <c r="DO10" s="92">
        <f t="shared" si="30"/>
        <v>3931</v>
      </c>
      <c r="DP10" s="92">
        <f t="shared" si="31"/>
        <v>3863</v>
      </c>
      <c r="DQ10" s="92">
        <f t="shared" si="32"/>
        <v>3908</v>
      </c>
      <c r="DR10" s="92">
        <f t="shared" si="13"/>
        <v>3737</v>
      </c>
      <c r="DS10" s="92">
        <f t="shared" si="14"/>
        <v>3686</v>
      </c>
      <c r="DT10" s="92">
        <f t="shared" ref="DT10:DT21" si="36">SUM(BW10:BZ10)</f>
        <v>3482</v>
      </c>
      <c r="DU10" s="92">
        <f t="shared" ref="DU10:DU21" si="37">SUM(CA10:CD10)</f>
        <v>3306</v>
      </c>
      <c r="DV10" s="92">
        <f t="shared" ref="DV10:DV21" si="38">SUM(CE10:CH10)</f>
        <v>3323</v>
      </c>
      <c r="DW10" s="92">
        <f t="shared" ref="DW10:DW21" si="39">SUM(CI10:CL10)</f>
        <v>2813</v>
      </c>
      <c r="DX10" s="92">
        <f t="shared" si="9"/>
        <v>2190</v>
      </c>
      <c r="DY10" s="92">
        <f t="shared" si="10"/>
        <v>1334</v>
      </c>
      <c r="DZ10" s="92">
        <f>+DY10*0.8</f>
        <v>1067.2</v>
      </c>
      <c r="EA10" s="92">
        <f>+DZ10*0.8</f>
        <v>853.7600000000001</v>
      </c>
      <c r="EB10" s="90">
        <f>EA10*0.2</f>
        <v>170.75200000000004</v>
      </c>
      <c r="EC10" s="90">
        <f t="shared" ref="EC10:EJ10" si="40">EB10*0.2</f>
        <v>34.150400000000012</v>
      </c>
      <c r="ED10" s="90">
        <f t="shared" si="40"/>
        <v>6.8300800000000024</v>
      </c>
      <c r="EE10" s="90">
        <f t="shared" si="40"/>
        <v>1.3660160000000006</v>
      </c>
      <c r="EF10" s="90">
        <f t="shared" si="40"/>
        <v>0.27320320000000015</v>
      </c>
      <c r="EG10" s="90">
        <f t="shared" si="40"/>
        <v>5.4640640000000032E-2</v>
      </c>
      <c r="EH10" s="90">
        <f t="shared" si="40"/>
        <v>1.0928128000000007E-2</v>
      </c>
      <c r="EI10" s="90">
        <f t="shared" si="40"/>
        <v>2.1856256000000016E-3</v>
      </c>
      <c r="EJ10" s="90">
        <f t="shared" si="40"/>
        <v>4.3712512000000035E-4</v>
      </c>
    </row>
    <row r="11" spans="1:140" s="39" customFormat="1" ht="12.75" customHeight="1">
      <c r="B11" s="44" t="s">
        <v>658</v>
      </c>
      <c r="C11" s="40"/>
      <c r="D11" s="40"/>
      <c r="E11" s="40"/>
      <c r="F11" s="40"/>
      <c r="G11" s="40"/>
      <c r="H11" s="40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>
        <v>24</v>
      </c>
      <c r="AC11" s="91">
        <v>19</v>
      </c>
      <c r="AD11" s="92">
        <v>30</v>
      </c>
      <c r="AE11" s="92">
        <v>58</v>
      </c>
      <c r="AF11" s="92">
        <v>72</v>
      </c>
      <c r="AG11" s="92">
        <v>101</v>
      </c>
      <c r="AH11" s="92"/>
      <c r="AI11" s="127">
        <v>128</v>
      </c>
      <c r="AJ11" s="92">
        <v>155</v>
      </c>
      <c r="AK11" s="92">
        <v>173</v>
      </c>
      <c r="AL11" s="92">
        <v>202</v>
      </c>
      <c r="AM11" s="92">
        <v>201</v>
      </c>
      <c r="AN11" s="92">
        <v>218</v>
      </c>
      <c r="AO11" s="92">
        <v>247</v>
      </c>
      <c r="AP11" s="92">
        <v>288</v>
      </c>
      <c r="AQ11" s="92">
        <v>305</v>
      </c>
      <c r="AR11" s="92">
        <v>321</v>
      </c>
      <c r="AS11" s="92">
        <v>350</v>
      </c>
      <c r="AT11" s="92">
        <v>386</v>
      </c>
      <c r="AU11" s="92">
        <v>392</v>
      </c>
      <c r="AV11" s="92">
        <v>411</v>
      </c>
      <c r="AW11" s="92">
        <v>405</v>
      </c>
      <c r="AX11" s="92">
        <v>452</v>
      </c>
      <c r="AY11" s="92">
        <v>409</v>
      </c>
      <c r="AZ11" s="92">
        <v>474</v>
      </c>
      <c r="BA11" s="92">
        <v>442</v>
      </c>
      <c r="BB11" s="92">
        <v>503</v>
      </c>
      <c r="BC11" s="92">
        <v>476</v>
      </c>
      <c r="BD11" s="92">
        <v>519</v>
      </c>
      <c r="BE11" s="92">
        <v>505</v>
      </c>
      <c r="BF11" s="92">
        <v>570</v>
      </c>
      <c r="BG11" s="92">
        <v>509</v>
      </c>
      <c r="BH11" s="92">
        <v>554</v>
      </c>
      <c r="BI11" s="92">
        <v>562</v>
      </c>
      <c r="BJ11" s="92">
        <v>526</v>
      </c>
      <c r="BK11" s="92">
        <v>506</v>
      </c>
      <c r="BL11" s="92">
        <v>569</v>
      </c>
      <c r="BM11" s="92">
        <v>548</v>
      </c>
      <c r="BN11" s="92">
        <v>577</v>
      </c>
      <c r="BO11" s="92">
        <v>496</v>
      </c>
      <c r="BP11" s="92">
        <v>563</v>
      </c>
      <c r="BQ11" s="92">
        <v>513</v>
      </c>
      <c r="BR11" s="92">
        <v>586</v>
      </c>
      <c r="BS11" s="92">
        <v>544</v>
      </c>
      <c r="BT11" s="92">
        <v>585</v>
      </c>
      <c r="BU11" s="92">
        <v>563</v>
      </c>
      <c r="BV11" s="92">
        <v>535</v>
      </c>
      <c r="BW11" s="92">
        <v>530</v>
      </c>
      <c r="BX11" s="92">
        <v>533</v>
      </c>
      <c r="BY11" s="92">
        <v>503</v>
      </c>
      <c r="BZ11" s="92">
        <v>475</v>
      </c>
      <c r="CA11" s="92">
        <v>503</v>
      </c>
      <c r="CB11" s="92">
        <v>490</v>
      </c>
      <c r="CC11" s="92">
        <v>506</v>
      </c>
      <c r="CD11" s="92">
        <v>472</v>
      </c>
      <c r="CE11" s="92">
        <v>486</v>
      </c>
      <c r="CF11" s="92">
        <v>477</v>
      </c>
      <c r="CG11" s="92">
        <v>487</v>
      </c>
      <c r="CH11" s="92">
        <v>514</v>
      </c>
      <c r="CI11" s="92">
        <v>454</v>
      </c>
      <c r="CJ11" s="92">
        <v>476</v>
      </c>
      <c r="CK11" s="92">
        <v>417</v>
      </c>
      <c r="CL11" s="92">
        <v>353</v>
      </c>
      <c r="CM11" s="92">
        <v>329</v>
      </c>
      <c r="CN11" s="92">
        <v>354</v>
      </c>
      <c r="CO11" s="92">
        <v>255</v>
      </c>
      <c r="CP11" s="92">
        <v>240</v>
      </c>
      <c r="CQ11" s="92">
        <v>251</v>
      </c>
      <c r="CR11" s="92">
        <v>224</v>
      </c>
      <c r="CS11" s="92">
        <v>204</v>
      </c>
      <c r="CT11" s="92">
        <v>255</v>
      </c>
      <c r="CU11" s="92">
        <f t="shared" ref="CU11:CX11" si="41">+CT11-5</f>
        <v>250</v>
      </c>
      <c r="CV11" s="92">
        <f t="shared" si="41"/>
        <v>245</v>
      </c>
      <c r="CW11" s="92">
        <f t="shared" si="41"/>
        <v>240</v>
      </c>
      <c r="CX11" s="92">
        <f t="shared" si="41"/>
        <v>235</v>
      </c>
      <c r="CY11" s="92"/>
      <c r="CZ11" s="92"/>
      <c r="DA11" s="93"/>
      <c r="DB11" s="40" t="s">
        <v>440</v>
      </c>
      <c r="DC11" s="92" t="s">
        <v>440</v>
      </c>
      <c r="DD11" s="92" t="s">
        <v>440</v>
      </c>
      <c r="DE11" s="92" t="s">
        <v>440</v>
      </c>
      <c r="DF11" s="92" t="s">
        <v>440</v>
      </c>
      <c r="DG11" s="92">
        <v>0</v>
      </c>
      <c r="DH11" s="92">
        <f>SUM(AA11:AD11)</f>
        <v>73</v>
      </c>
      <c r="DI11" s="92">
        <f>SUM(AE11:AH11)</f>
        <v>231</v>
      </c>
      <c r="DJ11" s="92">
        <f>SUM(AI11:AL11)</f>
        <v>658</v>
      </c>
      <c r="DK11" s="92">
        <f t="shared" si="35"/>
        <v>954</v>
      </c>
      <c r="DL11" s="92">
        <f t="shared" si="27"/>
        <v>1362</v>
      </c>
      <c r="DM11" s="92">
        <f t="shared" si="28"/>
        <v>1660</v>
      </c>
      <c r="DN11" s="92">
        <f t="shared" si="29"/>
        <v>1828</v>
      </c>
      <c r="DO11" s="92">
        <f t="shared" si="30"/>
        <v>2070</v>
      </c>
      <c r="DP11" s="92">
        <f t="shared" si="31"/>
        <v>2151</v>
      </c>
      <c r="DQ11" s="92">
        <f t="shared" si="32"/>
        <v>2200</v>
      </c>
      <c r="DR11" s="92">
        <f t="shared" si="13"/>
        <v>2158</v>
      </c>
      <c r="DS11" s="92">
        <f t="shared" si="14"/>
        <v>2227</v>
      </c>
      <c r="DT11" s="92">
        <f t="shared" si="36"/>
        <v>2041</v>
      </c>
      <c r="DU11" s="92">
        <f t="shared" si="37"/>
        <v>1971</v>
      </c>
      <c r="DV11" s="92">
        <f t="shared" si="38"/>
        <v>1964</v>
      </c>
      <c r="DW11" s="92">
        <f t="shared" si="39"/>
        <v>1700</v>
      </c>
      <c r="DX11" s="92">
        <f t="shared" si="9"/>
        <v>1178</v>
      </c>
      <c r="DY11" s="92">
        <f t="shared" si="10"/>
        <v>934</v>
      </c>
      <c r="DZ11" s="92">
        <f>+DY11*0.5</f>
        <v>467</v>
      </c>
      <c r="EA11" s="92">
        <f>+DZ11*0.5</f>
        <v>233.5</v>
      </c>
      <c r="EB11" s="90">
        <f t="shared" ref="EB11:EJ11" si="42">EA11*0.2</f>
        <v>46.7</v>
      </c>
      <c r="EC11" s="90">
        <f t="shared" si="42"/>
        <v>9.3400000000000016</v>
      </c>
      <c r="ED11" s="90">
        <f t="shared" si="42"/>
        <v>1.8680000000000003</v>
      </c>
      <c r="EE11" s="90">
        <f t="shared" si="42"/>
        <v>0.3736000000000001</v>
      </c>
      <c r="EF11" s="90">
        <f t="shared" si="42"/>
        <v>7.4720000000000023E-2</v>
      </c>
      <c r="EG11" s="90">
        <f t="shared" si="42"/>
        <v>1.4944000000000006E-2</v>
      </c>
      <c r="EH11" s="90">
        <f t="shared" si="42"/>
        <v>2.9888000000000015E-3</v>
      </c>
      <c r="EI11" s="90">
        <f t="shared" si="42"/>
        <v>5.9776000000000035E-4</v>
      </c>
      <c r="EJ11" s="90">
        <f t="shared" si="42"/>
        <v>1.1955200000000008E-4</v>
      </c>
    </row>
    <row r="12" spans="1:140" s="39" customFormat="1" ht="12.75" customHeight="1">
      <c r="B12" s="44" t="s">
        <v>616</v>
      </c>
      <c r="C12" s="40"/>
      <c r="D12" s="40"/>
      <c r="E12" s="40"/>
      <c r="F12" s="40"/>
      <c r="G12" s="40"/>
      <c r="H12" s="40"/>
      <c r="I12" s="92"/>
      <c r="J12" s="92"/>
      <c r="K12" s="92"/>
      <c r="L12" s="92"/>
      <c r="M12" s="92"/>
      <c r="N12" s="92"/>
      <c r="O12" s="92">
        <v>117</v>
      </c>
      <c r="P12" s="92">
        <v>135</v>
      </c>
      <c r="Q12" s="92">
        <v>167</v>
      </c>
      <c r="R12" s="92">
        <v>135</v>
      </c>
      <c r="S12" s="92">
        <v>133</v>
      </c>
      <c r="T12" s="92">
        <v>144</v>
      </c>
      <c r="U12" s="92">
        <v>186</v>
      </c>
      <c r="V12" s="92">
        <v>134</v>
      </c>
      <c r="W12" s="92">
        <v>161</v>
      </c>
      <c r="X12" s="92">
        <f>223-X9-X17-X44</f>
        <v>181</v>
      </c>
      <c r="Y12" s="92">
        <f>390-Y9-Y17-Y44</f>
        <v>248</v>
      </c>
      <c r="Z12" s="92">
        <f>482-Z9-Z17-Z44</f>
        <v>231</v>
      </c>
      <c r="AA12" s="92">
        <v>246</v>
      </c>
      <c r="AB12" s="92">
        <v>344</v>
      </c>
      <c r="AC12" s="91">
        <v>428</v>
      </c>
      <c r="AD12" s="92">
        <f>AC12</f>
        <v>428</v>
      </c>
      <c r="AE12" s="92">
        <v>226</v>
      </c>
      <c r="AF12" s="92">
        <v>318</v>
      </c>
      <c r="AG12" s="92">
        <v>430</v>
      </c>
      <c r="AH12" s="92">
        <f>AG12</f>
        <v>430</v>
      </c>
      <c r="AI12" s="127">
        <v>252</v>
      </c>
      <c r="AJ12" s="92">
        <v>322</v>
      </c>
      <c r="AK12" s="92">
        <v>462</v>
      </c>
      <c r="AL12" s="92">
        <v>333</v>
      </c>
      <c r="AM12" s="92">
        <v>319</v>
      </c>
      <c r="AN12" s="92">
        <v>340</v>
      </c>
      <c r="AO12" s="92">
        <v>434</v>
      </c>
      <c r="AP12" s="92">
        <v>285</v>
      </c>
      <c r="AQ12" s="92">
        <v>244</v>
      </c>
      <c r="AR12" s="92">
        <v>291</v>
      </c>
      <c r="AS12" s="92">
        <v>391</v>
      </c>
      <c r="AT12" s="92">
        <v>276</v>
      </c>
      <c r="AU12" s="92">
        <v>255</v>
      </c>
      <c r="AV12" s="92">
        <v>316</v>
      </c>
      <c r="AW12" s="92">
        <v>396</v>
      </c>
      <c r="AX12" s="92">
        <v>306</v>
      </c>
      <c r="AY12" s="92">
        <v>272</v>
      </c>
      <c r="AZ12" s="92">
        <v>339</v>
      </c>
      <c r="BA12" s="92">
        <v>421</v>
      </c>
      <c r="BB12" s="92">
        <v>273</v>
      </c>
      <c r="BC12" s="92">
        <v>280</v>
      </c>
      <c r="BD12" s="92">
        <v>326</v>
      </c>
      <c r="BE12" s="92">
        <v>421</v>
      </c>
      <c r="BF12" s="92">
        <v>366</v>
      </c>
      <c r="BG12" s="92">
        <v>348</v>
      </c>
      <c r="BH12" s="92">
        <v>358</v>
      </c>
      <c r="BI12" s="92">
        <v>390</v>
      </c>
      <c r="BJ12" s="92">
        <v>409</v>
      </c>
      <c r="BK12" s="92">
        <v>357</v>
      </c>
      <c r="BL12" s="92">
        <v>383</v>
      </c>
      <c r="BM12" s="92">
        <v>496</v>
      </c>
      <c r="BN12" s="92">
        <v>405</v>
      </c>
      <c r="BO12" s="92">
        <v>355</v>
      </c>
      <c r="BP12" s="92">
        <v>399</v>
      </c>
      <c r="BQ12" s="92">
        <v>519</v>
      </c>
      <c r="BR12" s="92">
        <v>403</v>
      </c>
      <c r="BS12" s="92">
        <v>392</v>
      </c>
      <c r="BT12" s="92">
        <v>426</v>
      </c>
      <c r="BU12" s="92">
        <v>525</v>
      </c>
      <c r="BV12" s="92">
        <v>455</v>
      </c>
      <c r="BW12" s="92">
        <v>496</v>
      </c>
      <c r="BX12" s="92">
        <v>675</v>
      </c>
      <c r="BY12" s="92">
        <v>623</v>
      </c>
      <c r="BZ12" s="92">
        <v>481</v>
      </c>
      <c r="CA12" s="92">
        <v>435</v>
      </c>
      <c r="CB12" s="92">
        <v>378</v>
      </c>
      <c r="CC12" s="92">
        <v>576</v>
      </c>
      <c r="CD12" s="92">
        <v>488</v>
      </c>
      <c r="CE12" s="92">
        <v>449</v>
      </c>
      <c r="CF12" s="92">
        <v>516</v>
      </c>
      <c r="CG12" s="92">
        <v>661</v>
      </c>
      <c r="CH12" s="92">
        <v>509</v>
      </c>
      <c r="CI12" s="92">
        <v>470</v>
      </c>
      <c r="CJ12" s="92">
        <v>578</v>
      </c>
      <c r="CK12" s="92">
        <v>668</v>
      </c>
      <c r="CL12" s="92">
        <v>526</v>
      </c>
      <c r="CM12" s="92">
        <v>528</v>
      </c>
      <c r="CN12" s="92">
        <v>582</v>
      </c>
      <c r="CO12" s="92">
        <v>713</v>
      </c>
      <c r="CP12" s="92">
        <v>545</v>
      </c>
      <c r="CQ12" s="92">
        <v>570</v>
      </c>
      <c r="CR12" s="92">
        <v>617</v>
      </c>
      <c r="CS12" s="92">
        <v>703</v>
      </c>
      <c r="CT12" s="92">
        <v>594</v>
      </c>
      <c r="CU12" s="92">
        <f t="shared" ref="CU12:CX12" si="43">+CQ12</f>
        <v>570</v>
      </c>
      <c r="CV12" s="92">
        <f t="shared" si="43"/>
        <v>617</v>
      </c>
      <c r="CW12" s="92">
        <f t="shared" si="43"/>
        <v>703</v>
      </c>
      <c r="CX12" s="92">
        <f t="shared" si="43"/>
        <v>594</v>
      </c>
      <c r="CY12" s="92"/>
      <c r="CZ12" s="92"/>
      <c r="DA12" s="46"/>
      <c r="DB12" s="40" t="s">
        <v>440</v>
      </c>
      <c r="DC12" s="92" t="s">
        <v>440</v>
      </c>
      <c r="DD12" s="92">
        <v>534</v>
      </c>
      <c r="DE12" s="92">
        <f>SUM(O12:R12)</f>
        <v>554</v>
      </c>
      <c r="DF12" s="92">
        <f>SUM(S12:V12)</f>
        <v>597</v>
      </c>
      <c r="DG12" s="92">
        <f>SUM(W12:Z12)</f>
        <v>821</v>
      </c>
      <c r="DH12" s="92">
        <f>SUM(AA12:AD12)</f>
        <v>1446</v>
      </c>
      <c r="DI12" s="92">
        <f>SUM(AE12:AH12)</f>
        <v>1404</v>
      </c>
      <c r="DJ12" s="92">
        <f>SUM(AI12:AL12)</f>
        <v>1369</v>
      </c>
      <c r="DK12" s="92">
        <f>SUM(AM12:AP12)</f>
        <v>1378</v>
      </c>
      <c r="DL12" s="92">
        <f t="shared" si="27"/>
        <v>1202</v>
      </c>
      <c r="DM12" s="92">
        <f t="shared" si="28"/>
        <v>1273</v>
      </c>
      <c r="DN12" s="92">
        <f t="shared" si="29"/>
        <v>1305</v>
      </c>
      <c r="DO12" s="92">
        <f t="shared" si="30"/>
        <v>1393</v>
      </c>
      <c r="DP12" s="92">
        <f t="shared" si="31"/>
        <v>1505</v>
      </c>
      <c r="DQ12" s="92">
        <f t="shared" si="32"/>
        <v>1641</v>
      </c>
      <c r="DR12" s="92">
        <f t="shared" si="13"/>
        <v>1676</v>
      </c>
      <c r="DS12" s="92">
        <f t="shared" si="14"/>
        <v>1798</v>
      </c>
      <c r="DT12" s="92">
        <f t="shared" si="36"/>
        <v>2275</v>
      </c>
      <c r="DU12" s="92">
        <f t="shared" si="37"/>
        <v>1877</v>
      </c>
      <c r="DV12" s="92">
        <f t="shared" si="38"/>
        <v>2135</v>
      </c>
      <c r="DW12" s="92">
        <f t="shared" si="39"/>
        <v>2242</v>
      </c>
      <c r="DX12" s="92">
        <f t="shared" si="9"/>
        <v>2368</v>
      </c>
      <c r="DY12" s="92">
        <f t="shared" si="10"/>
        <v>2484</v>
      </c>
      <c r="DZ12" s="92">
        <f t="shared" ref="DZ12:EA12" si="44">DY12*0.99</f>
        <v>2459.16</v>
      </c>
      <c r="EA12" s="92">
        <f t="shared" si="44"/>
        <v>2434.5683999999997</v>
      </c>
      <c r="EB12" s="92">
        <f t="shared" ref="EB12" si="45">EA12*0.99</f>
        <v>2410.2227159999998</v>
      </c>
      <c r="EC12" s="92">
        <f t="shared" ref="EC12" si="46">EB12*0.99</f>
        <v>2386.1204888399998</v>
      </c>
      <c r="ED12" s="92">
        <f t="shared" ref="ED12" si="47">EC12*0.99</f>
        <v>2362.2592839515996</v>
      </c>
      <c r="EE12" s="92">
        <f t="shared" ref="EE12" si="48">ED12*0.99</f>
        <v>2338.6366911120836</v>
      </c>
      <c r="EF12" s="92">
        <f t="shared" ref="EF12" si="49">EE12*0.99</f>
        <v>2315.2503242009625</v>
      </c>
      <c r="EG12" s="92">
        <f t="shared" ref="EG12" si="50">EF12*0.99</f>
        <v>2292.097820958953</v>
      </c>
      <c r="EH12" s="92">
        <f t="shared" ref="EH12" si="51">EG12*0.99</f>
        <v>2269.1768427493635</v>
      </c>
      <c r="EI12" s="92">
        <f t="shared" ref="EI12" si="52">EH12*0.99</f>
        <v>2246.4850743218699</v>
      </c>
      <c r="EJ12" s="92">
        <f t="shared" ref="EJ12" si="53">EI12*0.99</f>
        <v>2224.020223578651</v>
      </c>
    </row>
    <row r="13" spans="1:140" s="8" customFormat="1" ht="12.75" customHeight="1">
      <c r="B13" s="45" t="s">
        <v>675</v>
      </c>
      <c r="C13" s="9"/>
      <c r="D13" s="9"/>
      <c r="E13" s="9"/>
      <c r="F13" s="9"/>
      <c r="G13" s="7"/>
      <c r="H13" s="7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4"/>
      <c r="AJ13" s="92"/>
      <c r="AK13" s="92"/>
      <c r="AL13" s="92"/>
      <c r="AM13" s="92"/>
      <c r="AN13" s="92"/>
      <c r="AO13" s="92"/>
      <c r="AP13" s="92"/>
      <c r="AQ13" s="92">
        <v>41</v>
      </c>
      <c r="AR13" s="92">
        <v>47</v>
      </c>
      <c r="AS13" s="92">
        <v>52</v>
      </c>
      <c r="AT13" s="92">
        <v>60</v>
      </c>
      <c r="AU13" s="92">
        <v>58</v>
      </c>
      <c r="AV13" s="92">
        <v>60</v>
      </c>
      <c r="AW13" s="92">
        <v>68</v>
      </c>
      <c r="AX13" s="92">
        <v>75</v>
      </c>
      <c r="AY13" s="92">
        <v>63</v>
      </c>
      <c r="AZ13" s="92">
        <v>69</v>
      </c>
      <c r="BA13" s="92">
        <v>75</v>
      </c>
      <c r="BB13" s="92">
        <v>82</v>
      </c>
      <c r="BC13" s="92">
        <v>73</v>
      </c>
      <c r="BD13" s="92">
        <v>82</v>
      </c>
      <c r="BE13" s="92">
        <v>90</v>
      </c>
      <c r="BF13" s="92">
        <v>95</v>
      </c>
      <c r="BG13" s="92">
        <v>85</v>
      </c>
      <c r="BH13" s="92">
        <v>87</v>
      </c>
      <c r="BI13" s="92">
        <v>89</v>
      </c>
      <c r="BJ13" s="92">
        <v>92</v>
      </c>
      <c r="BK13" s="92">
        <v>90</v>
      </c>
      <c r="BL13" s="92">
        <v>113</v>
      </c>
      <c r="BM13" s="92">
        <v>139</v>
      </c>
      <c r="BN13" s="92">
        <v>139</v>
      </c>
      <c r="BO13" s="92">
        <v>148</v>
      </c>
      <c r="BP13" s="92">
        <v>163</v>
      </c>
      <c r="BQ13" s="92">
        <v>185</v>
      </c>
      <c r="BR13" s="92">
        <v>209</v>
      </c>
      <c r="BS13" s="92">
        <v>204</v>
      </c>
      <c r="BT13" s="92">
        <v>240</v>
      </c>
      <c r="BU13" s="92">
        <v>217</v>
      </c>
      <c r="BV13" s="92">
        <v>256</v>
      </c>
      <c r="BW13" s="92">
        <v>255</v>
      </c>
      <c r="BX13" s="92">
        <v>278</v>
      </c>
      <c r="BY13" s="92">
        <v>284</v>
      </c>
      <c r="BZ13" s="92">
        <v>313</v>
      </c>
      <c r="CA13" s="92">
        <v>299</v>
      </c>
      <c r="CB13" s="92">
        <v>224</v>
      </c>
      <c r="CC13" s="92">
        <v>320</v>
      </c>
      <c r="CD13" s="92">
        <v>355</v>
      </c>
      <c r="CE13" s="92">
        <v>340</v>
      </c>
      <c r="CF13" s="92">
        <v>387</v>
      </c>
      <c r="CG13" s="92">
        <v>369</v>
      </c>
      <c r="CH13" s="92">
        <v>436</v>
      </c>
      <c r="CI13" s="92">
        <v>395</v>
      </c>
      <c r="CJ13" s="92">
        <v>426</v>
      </c>
      <c r="CK13" s="92">
        <v>423</v>
      </c>
      <c r="CL13" s="92">
        <v>441</v>
      </c>
      <c r="CM13" s="92">
        <v>487</v>
      </c>
      <c r="CN13" s="92">
        <v>502</v>
      </c>
      <c r="CO13" s="92">
        <v>424</v>
      </c>
      <c r="CP13" s="92">
        <v>429</v>
      </c>
      <c r="CQ13" s="92">
        <v>440</v>
      </c>
      <c r="CR13" s="92">
        <v>455</v>
      </c>
      <c r="CS13" s="92">
        <v>420</v>
      </c>
      <c r="CT13" s="92">
        <v>449</v>
      </c>
      <c r="CU13" s="92">
        <f t="shared" ref="CU13:CX13" si="54">+CQ13*1.01</f>
        <v>444.4</v>
      </c>
      <c r="CV13" s="92">
        <f t="shared" si="54"/>
        <v>459.55</v>
      </c>
      <c r="CW13" s="92">
        <f t="shared" si="54"/>
        <v>424.2</v>
      </c>
      <c r="CX13" s="92">
        <f t="shared" si="54"/>
        <v>453.49</v>
      </c>
      <c r="CY13" s="92"/>
      <c r="CZ13" s="92"/>
      <c r="DA13" s="47"/>
      <c r="DB13" s="9"/>
      <c r="DC13" s="92"/>
      <c r="DD13" s="92"/>
      <c r="DE13" s="92"/>
      <c r="DF13" s="92"/>
      <c r="DG13" s="92"/>
      <c r="DH13" s="92"/>
      <c r="DI13" s="92"/>
      <c r="DJ13" s="92"/>
      <c r="DK13" s="92"/>
      <c r="DL13" s="92">
        <f t="shared" si="27"/>
        <v>200</v>
      </c>
      <c r="DM13" s="92">
        <f t="shared" si="28"/>
        <v>261</v>
      </c>
      <c r="DN13" s="92">
        <f t="shared" si="29"/>
        <v>289</v>
      </c>
      <c r="DO13" s="92">
        <f t="shared" si="30"/>
        <v>340</v>
      </c>
      <c r="DP13" s="92">
        <f t="shared" si="31"/>
        <v>353</v>
      </c>
      <c r="DQ13" s="92">
        <f t="shared" si="32"/>
        <v>481</v>
      </c>
      <c r="DR13" s="92">
        <f t="shared" si="13"/>
        <v>705</v>
      </c>
      <c r="DS13" s="92">
        <f t="shared" si="14"/>
        <v>917</v>
      </c>
      <c r="DT13" s="92">
        <f t="shared" si="36"/>
        <v>1130</v>
      </c>
      <c r="DU13" s="92">
        <f t="shared" si="37"/>
        <v>1198</v>
      </c>
      <c r="DV13" s="92">
        <f t="shared" si="38"/>
        <v>1532</v>
      </c>
      <c r="DW13" s="92">
        <f t="shared" si="39"/>
        <v>1685</v>
      </c>
      <c r="DX13" s="92">
        <f t="shared" si="9"/>
        <v>1842</v>
      </c>
      <c r="DY13" s="92">
        <f>DX13*1.02</f>
        <v>1878.8400000000001</v>
      </c>
      <c r="DZ13" s="92">
        <f>DY13*1.02</f>
        <v>1916.4168000000002</v>
      </c>
      <c r="EA13" s="92">
        <f>DZ13*0.5</f>
        <v>958.2084000000001</v>
      </c>
      <c r="EB13" s="92">
        <f>EA13*0.5</f>
        <v>479.10420000000005</v>
      </c>
      <c r="EC13" s="92">
        <f t="shared" ref="EC13:EJ13" si="55">EB13*0.5</f>
        <v>239.55210000000002</v>
      </c>
      <c r="ED13" s="92">
        <f t="shared" si="55"/>
        <v>119.77605000000001</v>
      </c>
      <c r="EE13" s="92">
        <f t="shared" si="55"/>
        <v>59.888025000000006</v>
      </c>
      <c r="EF13" s="92">
        <f t="shared" si="55"/>
        <v>29.944012500000003</v>
      </c>
      <c r="EG13" s="92">
        <f t="shared" si="55"/>
        <v>14.972006250000002</v>
      </c>
      <c r="EH13" s="92">
        <f t="shared" si="55"/>
        <v>7.4860031250000008</v>
      </c>
      <c r="EI13" s="92">
        <f t="shared" si="55"/>
        <v>3.7430015625000004</v>
      </c>
      <c r="EJ13" s="92">
        <f t="shared" si="55"/>
        <v>1.8715007812500002</v>
      </c>
    </row>
    <row r="14" spans="1:140" s="39" customFormat="1" ht="12.75" customHeight="1">
      <c r="B14" s="44" t="s">
        <v>564</v>
      </c>
      <c r="C14" s="40"/>
      <c r="D14" s="40"/>
      <c r="E14" s="40"/>
      <c r="F14" s="40"/>
      <c r="G14" s="40"/>
      <c r="H14" s="40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 t="s">
        <v>440</v>
      </c>
      <c r="AB14" s="92" t="s">
        <v>440</v>
      </c>
      <c r="AC14" s="92" t="s">
        <v>440</v>
      </c>
      <c r="AD14" s="92" t="s">
        <v>440</v>
      </c>
      <c r="AE14" s="92">
        <v>47</v>
      </c>
      <c r="AF14" s="92">
        <v>77</v>
      </c>
      <c r="AG14" s="92">
        <v>107</v>
      </c>
      <c r="AH14" s="92">
        <f>AG14+10</f>
        <v>117</v>
      </c>
      <c r="AI14" s="127">
        <v>148</v>
      </c>
      <c r="AJ14" s="92">
        <v>172</v>
      </c>
      <c r="AK14" s="92">
        <v>197</v>
      </c>
      <c r="AL14" s="92">
        <v>234</v>
      </c>
      <c r="AM14" s="92">
        <v>232</v>
      </c>
      <c r="AN14" s="92">
        <v>267</v>
      </c>
      <c r="AO14" s="92">
        <v>278</v>
      </c>
      <c r="AP14" s="92">
        <v>313</v>
      </c>
      <c r="AQ14" s="92">
        <v>292</v>
      </c>
      <c r="AR14" s="92">
        <v>337</v>
      </c>
      <c r="AS14" s="92">
        <v>343</v>
      </c>
      <c r="AT14" s="92">
        <v>387</v>
      </c>
      <c r="AU14" s="92">
        <v>337</v>
      </c>
      <c r="AV14" s="92">
        <v>398</v>
      </c>
      <c r="AW14" s="92">
        <v>399</v>
      </c>
      <c r="AX14" s="92">
        <v>381</v>
      </c>
      <c r="AY14" s="92">
        <v>362</v>
      </c>
      <c r="AZ14" s="92">
        <v>412</v>
      </c>
      <c r="BA14" s="92">
        <v>427</v>
      </c>
      <c r="BB14" s="92">
        <v>442</v>
      </c>
      <c r="BC14" s="92">
        <v>390</v>
      </c>
      <c r="BD14" s="92">
        <v>453</v>
      </c>
      <c r="BE14" s="92">
        <v>412</v>
      </c>
      <c r="BF14" s="92">
        <v>418</v>
      </c>
      <c r="BG14" s="92">
        <v>385</v>
      </c>
      <c r="BH14" s="92">
        <v>375</v>
      </c>
      <c r="BI14" s="92">
        <v>377</v>
      </c>
      <c r="BJ14" s="92">
        <v>374</v>
      </c>
      <c r="BK14" s="92">
        <v>340</v>
      </c>
      <c r="BL14" s="92">
        <v>338</v>
      </c>
      <c r="BM14" s="92">
        <v>372</v>
      </c>
      <c r="BN14" s="92">
        <v>337</v>
      </c>
      <c r="BO14" s="92">
        <v>305</v>
      </c>
      <c r="BP14" s="92">
        <v>282</v>
      </c>
      <c r="BQ14" s="92">
        <v>310</v>
      </c>
      <c r="BR14" s="92">
        <v>308</v>
      </c>
      <c r="BS14" s="92">
        <v>281</v>
      </c>
      <c r="BT14" s="92">
        <v>305</v>
      </c>
      <c r="BU14" s="92">
        <v>275</v>
      </c>
      <c r="BV14" s="92">
        <v>280</v>
      </c>
      <c r="BW14" s="92">
        <v>255</v>
      </c>
      <c r="BX14" s="92">
        <v>247</v>
      </c>
      <c r="BY14" s="92">
        <v>250</v>
      </c>
      <c r="BZ14" s="92">
        <v>223</v>
      </c>
      <c r="CA14" s="92">
        <v>245</v>
      </c>
      <c r="CB14" s="92">
        <v>196</v>
      </c>
      <c r="CC14" s="92">
        <v>205</v>
      </c>
      <c r="CD14" s="92">
        <v>211</v>
      </c>
      <c r="CE14" s="92">
        <v>209</v>
      </c>
      <c r="CF14" s="92">
        <v>192</v>
      </c>
      <c r="CG14" s="92">
        <v>189</v>
      </c>
      <c r="CH14" s="92">
        <v>178</v>
      </c>
      <c r="CI14" s="92">
        <v>158</v>
      </c>
      <c r="CJ14" s="92">
        <v>147</v>
      </c>
      <c r="CK14" s="92">
        <v>161</v>
      </c>
      <c r="CL14" s="92">
        <v>167</v>
      </c>
      <c r="CM14" s="92">
        <v>123</v>
      </c>
      <c r="CN14" s="92">
        <v>136</v>
      </c>
      <c r="CO14" s="92">
        <v>119</v>
      </c>
      <c r="CP14" s="92">
        <v>105</v>
      </c>
      <c r="CQ14" s="92">
        <v>111</v>
      </c>
      <c r="CR14" s="92">
        <v>89</v>
      </c>
      <c r="CS14" s="92">
        <v>102</v>
      </c>
      <c r="CT14" s="92">
        <v>92</v>
      </c>
      <c r="CU14" s="92">
        <f t="shared" ref="CU14:CX14" si="56">+CT14-5</f>
        <v>87</v>
      </c>
      <c r="CV14" s="92">
        <f t="shared" si="56"/>
        <v>82</v>
      </c>
      <c r="CW14" s="92">
        <f t="shared" si="56"/>
        <v>77</v>
      </c>
      <c r="CX14" s="92">
        <f t="shared" si="56"/>
        <v>72</v>
      </c>
      <c r="CY14" s="92"/>
      <c r="CZ14" s="92"/>
      <c r="DA14" s="46"/>
      <c r="DB14" s="40" t="s">
        <v>440</v>
      </c>
      <c r="DC14" s="92" t="s">
        <v>440</v>
      </c>
      <c r="DD14" s="92" t="s">
        <v>440</v>
      </c>
      <c r="DE14" s="92" t="s">
        <v>440</v>
      </c>
      <c r="DF14" s="92" t="s">
        <v>440</v>
      </c>
      <c r="DG14" s="92" t="s">
        <v>440</v>
      </c>
      <c r="DH14" s="92" t="s">
        <v>440</v>
      </c>
      <c r="DI14" s="92">
        <f>SUM(AE14:AH14)</f>
        <v>348</v>
      </c>
      <c r="DJ14" s="92">
        <f>SUM(AI14:AL14)</f>
        <v>751</v>
      </c>
      <c r="DK14" s="92">
        <f t="shared" si="35"/>
        <v>1090</v>
      </c>
      <c r="DL14" s="92">
        <f t="shared" si="27"/>
        <v>1359</v>
      </c>
      <c r="DM14" s="92">
        <f t="shared" si="28"/>
        <v>1515</v>
      </c>
      <c r="DN14" s="92">
        <f t="shared" si="29"/>
        <v>1643</v>
      </c>
      <c r="DO14" s="92">
        <f t="shared" si="30"/>
        <v>1673</v>
      </c>
      <c r="DP14" s="92">
        <f t="shared" si="31"/>
        <v>1511</v>
      </c>
      <c r="DQ14" s="92">
        <f t="shared" si="32"/>
        <v>1387</v>
      </c>
      <c r="DR14" s="92">
        <f t="shared" si="13"/>
        <v>1205</v>
      </c>
      <c r="DS14" s="92">
        <f t="shared" si="14"/>
        <v>1141</v>
      </c>
      <c r="DT14" s="92">
        <f t="shared" si="36"/>
        <v>975</v>
      </c>
      <c r="DU14" s="92">
        <f t="shared" si="37"/>
        <v>857</v>
      </c>
      <c r="DV14" s="92">
        <f t="shared" si="38"/>
        <v>768</v>
      </c>
      <c r="DW14" s="92">
        <f t="shared" si="39"/>
        <v>633</v>
      </c>
      <c r="DX14" s="92">
        <f t="shared" si="9"/>
        <v>483</v>
      </c>
      <c r="DY14" s="92">
        <f t="shared" ref="DY14:EA14" si="57">+DX14*0.5</f>
        <v>241.5</v>
      </c>
      <c r="DZ14" s="92">
        <f t="shared" si="57"/>
        <v>120.75</v>
      </c>
      <c r="EA14" s="92">
        <f t="shared" si="57"/>
        <v>60.375</v>
      </c>
      <c r="EB14" s="92">
        <f t="shared" ref="EB14" si="58">+EA14*0.5</f>
        <v>30.1875</v>
      </c>
      <c r="EC14" s="92">
        <f t="shared" ref="EC14" si="59">+EB14*0.5</f>
        <v>15.09375</v>
      </c>
      <c r="ED14" s="92">
        <f t="shared" ref="ED14" si="60">+EC14*0.5</f>
        <v>7.546875</v>
      </c>
      <c r="EE14" s="92">
        <f t="shared" ref="EE14" si="61">+ED14*0.5</f>
        <v>3.7734375</v>
      </c>
      <c r="EF14" s="92">
        <f t="shared" ref="EF14" si="62">+EE14*0.5</f>
        <v>1.88671875</v>
      </c>
      <c r="EG14" s="92">
        <f t="shared" ref="EG14" si="63">+EF14*0.5</f>
        <v>0.943359375</v>
      </c>
      <c r="EH14" s="92">
        <f t="shared" ref="EH14" si="64">+EG14*0.5</f>
        <v>0.4716796875</v>
      </c>
      <c r="EI14" s="92">
        <f t="shared" ref="EI14" si="65">+EH14*0.5</f>
        <v>0.23583984375</v>
      </c>
      <c r="EJ14" s="92">
        <f t="shared" ref="EJ14" si="66">+EI14*0.5</f>
        <v>0.117919921875</v>
      </c>
    </row>
    <row r="15" spans="1:140" s="39" customFormat="1" ht="12.75" customHeight="1">
      <c r="B15" s="44" t="s">
        <v>747</v>
      </c>
      <c r="C15" s="40"/>
      <c r="D15" s="40"/>
      <c r="E15" s="40"/>
      <c r="F15" s="40"/>
      <c r="G15" s="40"/>
      <c r="H15" s="40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>
        <v>42</v>
      </c>
      <c r="BP15" s="92">
        <v>52</v>
      </c>
      <c r="BQ15" s="92">
        <v>56</v>
      </c>
      <c r="BR15" s="92">
        <v>60</v>
      </c>
      <c r="BS15" s="92">
        <v>54</v>
      </c>
      <c r="BT15" s="92">
        <v>71</v>
      </c>
      <c r="BU15" s="92">
        <v>66</v>
      </c>
      <c r="BV15" s="92">
        <v>69</v>
      </c>
      <c r="BW15" s="92">
        <v>67</v>
      </c>
      <c r="BX15" s="92">
        <v>76</v>
      </c>
      <c r="BY15" s="92">
        <v>80</v>
      </c>
      <c r="BZ15" s="92">
        <v>83</v>
      </c>
      <c r="CA15" s="92">
        <v>79</v>
      </c>
      <c r="CB15" s="92">
        <v>84</v>
      </c>
      <c r="CC15" s="92">
        <v>81</v>
      </c>
      <c r="CD15" s="92">
        <v>83</v>
      </c>
      <c r="CE15" s="92">
        <v>79</v>
      </c>
      <c r="CF15" s="92">
        <v>78</v>
      </c>
      <c r="CG15" s="92">
        <v>81</v>
      </c>
      <c r="CH15" s="92">
        <v>80</v>
      </c>
      <c r="CI15" s="92">
        <v>69</v>
      </c>
      <c r="CJ15" s="92">
        <v>69</v>
      </c>
      <c r="CK15" s="92">
        <v>62</v>
      </c>
      <c r="CL15" s="92">
        <v>59</v>
      </c>
      <c r="CM15" s="92">
        <v>56</v>
      </c>
      <c r="CN15" s="92">
        <v>63</v>
      </c>
      <c r="CO15" s="92">
        <v>58</v>
      </c>
      <c r="CP15" s="92">
        <v>54</v>
      </c>
      <c r="CQ15" s="92">
        <v>46</v>
      </c>
      <c r="CR15" s="92">
        <v>53</v>
      </c>
      <c r="CS15" s="92">
        <v>78</v>
      </c>
      <c r="CT15" s="92">
        <v>45</v>
      </c>
      <c r="CU15" s="92">
        <f t="shared" ref="CU15:CX15" si="67">+CT15-2</f>
        <v>43</v>
      </c>
      <c r="CV15" s="92">
        <f t="shared" si="67"/>
        <v>41</v>
      </c>
      <c r="CW15" s="92">
        <f t="shared" si="67"/>
        <v>39</v>
      </c>
      <c r="CX15" s="92">
        <f t="shared" si="67"/>
        <v>37</v>
      </c>
      <c r="CY15" s="92"/>
      <c r="CZ15" s="92"/>
      <c r="DA15" s="46"/>
      <c r="DB15" s="40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>
        <f t="shared" si="13"/>
        <v>210</v>
      </c>
      <c r="DS15" s="92">
        <f t="shared" si="14"/>
        <v>260</v>
      </c>
      <c r="DT15" s="92">
        <f t="shared" si="36"/>
        <v>306</v>
      </c>
      <c r="DU15" s="92">
        <f t="shared" si="37"/>
        <v>327</v>
      </c>
      <c r="DV15" s="92">
        <f t="shared" si="38"/>
        <v>318</v>
      </c>
      <c r="DW15" s="92">
        <f t="shared" si="39"/>
        <v>259</v>
      </c>
      <c r="DX15" s="92">
        <f t="shared" si="9"/>
        <v>231</v>
      </c>
      <c r="DY15" s="92">
        <f>DX15*0.9</f>
        <v>207.9</v>
      </c>
      <c r="DZ15" s="92">
        <f t="shared" ref="DZ15:EE15" si="68">DY15*0.9</f>
        <v>187.11</v>
      </c>
      <c r="EA15" s="92">
        <f t="shared" si="68"/>
        <v>168.39900000000003</v>
      </c>
      <c r="EB15" s="92">
        <f t="shared" si="68"/>
        <v>151.55910000000003</v>
      </c>
      <c r="EC15" s="92">
        <f t="shared" si="68"/>
        <v>136.40319000000002</v>
      </c>
      <c r="ED15" s="92">
        <f t="shared" si="68"/>
        <v>122.76287100000002</v>
      </c>
      <c r="EE15" s="92">
        <f t="shared" si="68"/>
        <v>110.48658390000001</v>
      </c>
      <c r="EF15" s="92">
        <f t="shared" ref="EF15:EJ15" si="69">EE15*0.9</f>
        <v>99.437925510000014</v>
      </c>
      <c r="EG15" s="92">
        <f t="shared" si="69"/>
        <v>89.494132959000012</v>
      </c>
      <c r="EH15" s="92">
        <f t="shared" si="69"/>
        <v>80.544719663100011</v>
      </c>
      <c r="EI15" s="92">
        <f t="shared" si="69"/>
        <v>72.490247696790007</v>
      </c>
      <c r="EJ15" s="92">
        <f t="shared" si="69"/>
        <v>65.241222927111011</v>
      </c>
    </row>
    <row r="16" spans="1:140" s="39" customFormat="1" ht="12.75" customHeight="1">
      <c r="B16" s="44" t="s">
        <v>933</v>
      </c>
      <c r="C16" s="40"/>
      <c r="D16" s="40"/>
      <c r="E16" s="40"/>
      <c r="F16" s="40"/>
      <c r="G16" s="40"/>
      <c r="H16" s="40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>
        <v>5</v>
      </c>
      <c r="CJ16" s="92">
        <v>12</v>
      </c>
      <c r="CK16" s="92">
        <v>16</v>
      </c>
      <c r="CL16" s="92">
        <v>138</v>
      </c>
      <c r="CM16" s="92">
        <v>106</v>
      </c>
      <c r="CN16" s="92">
        <v>168</v>
      </c>
      <c r="CO16" s="92">
        <v>214</v>
      </c>
      <c r="CP16" s="92">
        <v>176</v>
      </c>
      <c r="CQ16" s="92">
        <v>219</v>
      </c>
      <c r="CR16" s="92">
        <v>189</v>
      </c>
      <c r="CS16" s="92">
        <v>239</v>
      </c>
      <c r="CT16" s="92">
        <v>161</v>
      </c>
      <c r="CU16" s="92">
        <f t="shared" ref="CU16:CX17" si="70">+CQ16*1.1</f>
        <v>240.9</v>
      </c>
      <c r="CV16" s="92">
        <f t="shared" si="70"/>
        <v>207.9</v>
      </c>
      <c r="CW16" s="92">
        <f t="shared" si="70"/>
        <v>262.90000000000003</v>
      </c>
      <c r="CX16" s="92">
        <f t="shared" si="70"/>
        <v>177.10000000000002</v>
      </c>
      <c r="CY16" s="92"/>
      <c r="CZ16" s="92"/>
      <c r="DA16" s="46"/>
      <c r="DB16" s="40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4" t="s">
        <v>967</v>
      </c>
      <c r="DW16" s="92">
        <f t="shared" si="39"/>
        <v>171</v>
      </c>
      <c r="DX16" s="92">
        <f t="shared" si="9"/>
        <v>664</v>
      </c>
      <c r="DY16" s="92">
        <f>DX16*1.3</f>
        <v>863.2</v>
      </c>
      <c r="DZ16" s="92">
        <f>DY16*1.2</f>
        <v>1035.8399999999999</v>
      </c>
      <c r="EA16" s="92">
        <f>DZ16*1.15</f>
        <v>1191.2159999999999</v>
      </c>
      <c r="EB16" s="90">
        <f>EA16*1.1</f>
        <v>1310.3376000000001</v>
      </c>
      <c r="EC16" s="85">
        <f>EB16*1.03</f>
        <v>1349.6477280000001</v>
      </c>
      <c r="ED16" s="85">
        <f t="shared" ref="ED16:EJ16" si="71">EC16*1.03</f>
        <v>1390.1371598400001</v>
      </c>
      <c r="EE16" s="85">
        <f t="shared" si="71"/>
        <v>1431.8412746352001</v>
      </c>
      <c r="EF16" s="85">
        <f t="shared" si="71"/>
        <v>1474.7965128742562</v>
      </c>
      <c r="EG16" s="85">
        <f t="shared" si="71"/>
        <v>1519.0404082604839</v>
      </c>
      <c r="EH16" s="85">
        <f t="shared" si="71"/>
        <v>1564.6116205082985</v>
      </c>
      <c r="EI16" s="85">
        <f t="shared" si="71"/>
        <v>1611.5499691235475</v>
      </c>
      <c r="EJ16" s="85">
        <f t="shared" si="71"/>
        <v>1659.8964681972539</v>
      </c>
    </row>
    <row r="17" spans="2:140" s="39" customFormat="1" ht="12.75" customHeight="1">
      <c r="B17" s="44" t="s">
        <v>18</v>
      </c>
      <c r="C17" s="40"/>
      <c r="D17" s="40"/>
      <c r="E17" s="40"/>
      <c r="F17" s="40"/>
      <c r="G17" s="40"/>
      <c r="H17" s="40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>
        <v>31</v>
      </c>
      <c r="Y17" s="92">
        <v>62</v>
      </c>
      <c r="Z17" s="92">
        <v>69</v>
      </c>
      <c r="AA17" s="92">
        <v>85</v>
      </c>
      <c r="AB17" s="92">
        <v>119</v>
      </c>
      <c r="AC17" s="91">
        <v>171</v>
      </c>
      <c r="AD17" s="92">
        <v>190</v>
      </c>
      <c r="AE17" s="92">
        <v>190</v>
      </c>
      <c r="AF17" s="92">
        <v>178</v>
      </c>
      <c r="AG17" s="92">
        <v>134</v>
      </c>
      <c r="AH17" s="92">
        <f>AG17+10</f>
        <v>144</v>
      </c>
      <c r="AI17" s="127">
        <v>134</v>
      </c>
      <c r="AJ17" s="92">
        <v>126</v>
      </c>
      <c r="AK17" s="92">
        <v>127</v>
      </c>
      <c r="AL17" s="92">
        <f>123+12</f>
        <v>135</v>
      </c>
      <c r="AM17" s="92">
        <v>93</v>
      </c>
      <c r="AN17" s="92">
        <v>139</v>
      </c>
      <c r="AO17" s="92">
        <v>119</v>
      </c>
      <c r="AP17" s="92">
        <v>169</v>
      </c>
      <c r="AQ17" s="92">
        <v>125</v>
      </c>
      <c r="AR17" s="92">
        <v>148</v>
      </c>
      <c r="AS17" s="92">
        <v>184</v>
      </c>
      <c r="AT17" s="92">
        <v>195</v>
      </c>
      <c r="AU17" s="92">
        <v>142</v>
      </c>
      <c r="AV17" s="92">
        <v>142</v>
      </c>
      <c r="AW17" s="92">
        <v>150</v>
      </c>
      <c r="AX17" s="92">
        <v>168</v>
      </c>
      <c r="AY17" s="92">
        <v>162</v>
      </c>
      <c r="AZ17" s="92">
        <v>144</v>
      </c>
      <c r="BA17" s="92">
        <v>201</v>
      </c>
      <c r="BB17" s="92">
        <v>129</v>
      </c>
      <c r="BC17" s="92">
        <v>169</v>
      </c>
      <c r="BD17" s="92">
        <v>147</v>
      </c>
      <c r="BE17" s="92">
        <v>174</v>
      </c>
      <c r="BF17" s="92">
        <v>169</v>
      </c>
      <c r="BG17" s="92">
        <v>192</v>
      </c>
      <c r="BH17" s="92">
        <v>89</v>
      </c>
      <c r="BI17" s="92">
        <v>160</v>
      </c>
      <c r="BJ17" s="92">
        <v>169</v>
      </c>
      <c r="BK17" s="92">
        <v>188</v>
      </c>
      <c r="BL17" s="92">
        <v>130</v>
      </c>
      <c r="BM17" s="92">
        <v>171</v>
      </c>
      <c r="BN17" s="92">
        <v>162</v>
      </c>
      <c r="BO17" s="92">
        <v>224</v>
      </c>
      <c r="BP17" s="92">
        <v>123</v>
      </c>
      <c r="BQ17" s="92">
        <v>179</v>
      </c>
      <c r="BR17" s="92">
        <v>160</v>
      </c>
      <c r="BS17" s="92">
        <v>193</v>
      </c>
      <c r="BT17" s="92">
        <v>156</v>
      </c>
      <c r="BU17" s="92">
        <v>191</v>
      </c>
      <c r="BV17" s="92">
        <v>188</v>
      </c>
      <c r="BW17" s="92">
        <v>211</v>
      </c>
      <c r="BX17" s="92">
        <v>172</v>
      </c>
      <c r="BY17" s="92">
        <v>180</v>
      </c>
      <c r="BZ17" s="92">
        <v>227</v>
      </c>
      <c r="CA17" s="92">
        <v>222</v>
      </c>
      <c r="CB17" s="92">
        <v>168</v>
      </c>
      <c r="CC17" s="92">
        <v>210</v>
      </c>
      <c r="CD17" s="92">
        <v>196</v>
      </c>
      <c r="CE17" s="92">
        <v>158</v>
      </c>
      <c r="CF17" s="92">
        <v>208</v>
      </c>
      <c r="CG17" s="92">
        <v>227</v>
      </c>
      <c r="CH17" s="92">
        <v>213</v>
      </c>
      <c r="CI17" s="92">
        <v>216</v>
      </c>
      <c r="CJ17" s="92">
        <v>173</v>
      </c>
      <c r="CK17" s="92">
        <v>256</v>
      </c>
      <c r="CL17" s="92">
        <v>139</v>
      </c>
      <c r="CM17" s="92">
        <v>297</v>
      </c>
      <c r="CN17" s="92">
        <v>131</v>
      </c>
      <c r="CO17" s="92">
        <v>156</v>
      </c>
      <c r="CP17" s="92">
        <v>185</v>
      </c>
      <c r="CQ17" s="92">
        <v>216</v>
      </c>
      <c r="CR17" s="92">
        <v>163</v>
      </c>
      <c r="CS17" s="92">
        <v>193</v>
      </c>
      <c r="CT17" s="92">
        <v>139</v>
      </c>
      <c r="CU17" s="92">
        <f t="shared" si="70"/>
        <v>237.60000000000002</v>
      </c>
      <c r="CV17" s="92">
        <f t="shared" si="70"/>
        <v>179.3</v>
      </c>
      <c r="CW17" s="92">
        <f t="shared" si="70"/>
        <v>212.3</v>
      </c>
      <c r="CX17" s="92">
        <f t="shared" si="70"/>
        <v>152.9</v>
      </c>
      <c r="CY17" s="92"/>
      <c r="CZ17" s="92"/>
      <c r="DA17" s="46"/>
      <c r="DB17" s="40" t="s">
        <v>440</v>
      </c>
      <c r="DC17" s="92" t="s">
        <v>440</v>
      </c>
      <c r="DD17" s="92" t="s">
        <v>440</v>
      </c>
      <c r="DE17" s="92">
        <f>SUM(O17:R17)</f>
        <v>0</v>
      </c>
      <c r="DF17" s="92">
        <f>SUM(S17:V17)</f>
        <v>0</v>
      </c>
      <c r="DG17" s="92">
        <f>SUM(W17:Z17)</f>
        <v>162</v>
      </c>
      <c r="DH17" s="92">
        <f>SUM(AA17:AD17)</f>
        <v>565</v>
      </c>
      <c r="DI17" s="92">
        <f>SUM(AE17:AH17)</f>
        <v>646</v>
      </c>
      <c r="DJ17" s="92">
        <f>SUM(AI17:AL17)</f>
        <v>522</v>
      </c>
      <c r="DK17" s="92">
        <f t="shared" si="35"/>
        <v>520</v>
      </c>
      <c r="DL17" s="92">
        <f t="shared" ref="DL17:DL86" si="72">SUM(AQ17:AT17)</f>
        <v>652</v>
      </c>
      <c r="DM17" s="92">
        <f t="shared" si="28"/>
        <v>602</v>
      </c>
      <c r="DN17" s="92">
        <f t="shared" si="29"/>
        <v>636</v>
      </c>
      <c r="DO17" s="92">
        <f t="shared" si="30"/>
        <v>659</v>
      </c>
      <c r="DP17" s="92">
        <f t="shared" si="31"/>
        <v>610</v>
      </c>
      <c r="DQ17" s="92">
        <f t="shared" si="32"/>
        <v>651</v>
      </c>
      <c r="DR17" s="92">
        <f t="shared" si="13"/>
        <v>686</v>
      </c>
      <c r="DS17" s="92">
        <f t="shared" si="14"/>
        <v>728</v>
      </c>
      <c r="DT17" s="92">
        <f t="shared" si="36"/>
        <v>790</v>
      </c>
      <c r="DU17" s="92">
        <f t="shared" si="37"/>
        <v>796</v>
      </c>
      <c r="DV17" s="92">
        <f t="shared" si="38"/>
        <v>806</v>
      </c>
      <c r="DW17" s="92">
        <f t="shared" si="39"/>
        <v>784</v>
      </c>
      <c r="DX17" s="92">
        <f t="shared" si="9"/>
        <v>769</v>
      </c>
      <c r="DY17" s="92">
        <f>DX17*1.02</f>
        <v>784.38</v>
      </c>
      <c r="DZ17" s="92">
        <f>DY17*1.02</f>
        <v>800.06759999999997</v>
      </c>
      <c r="EA17" s="92">
        <f>DZ17*1.02</f>
        <v>816.06895199999997</v>
      </c>
      <c r="EB17" s="92">
        <f t="shared" ref="EB17:EJ17" si="73">EA17*1.02</f>
        <v>832.39033103999998</v>
      </c>
      <c r="EC17" s="92">
        <f t="shared" si="73"/>
        <v>849.03813766079998</v>
      </c>
      <c r="ED17" s="92">
        <f t="shared" si="73"/>
        <v>866.018900414016</v>
      </c>
      <c r="EE17" s="92">
        <f t="shared" si="73"/>
        <v>883.33927842229639</v>
      </c>
      <c r="EF17" s="92">
        <f t="shared" si="73"/>
        <v>901.00606399074229</v>
      </c>
      <c r="EG17" s="92">
        <f t="shared" si="73"/>
        <v>919.02618527055711</v>
      </c>
      <c r="EH17" s="92">
        <f t="shared" si="73"/>
        <v>937.40670897596829</v>
      </c>
      <c r="EI17" s="92">
        <f t="shared" si="73"/>
        <v>956.1548431554877</v>
      </c>
      <c r="EJ17" s="92">
        <f t="shared" si="73"/>
        <v>975.27794001859752</v>
      </c>
    </row>
    <row r="18" spans="2:140" s="39" customFormat="1" ht="12.75" customHeight="1">
      <c r="B18" s="44" t="s">
        <v>678</v>
      </c>
      <c r="C18" s="40"/>
      <c r="D18" s="40"/>
      <c r="E18" s="40"/>
      <c r="F18" s="40"/>
      <c r="G18" s="40"/>
      <c r="H18" s="40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>
        <v>54</v>
      </c>
      <c r="AR18" s="92">
        <v>75</v>
      </c>
      <c r="AS18" s="92">
        <v>74</v>
      </c>
      <c r="AT18" s="92">
        <v>61</v>
      </c>
      <c r="AU18" s="92">
        <v>74</v>
      </c>
      <c r="AV18" s="92">
        <v>76</v>
      </c>
      <c r="AW18" s="92">
        <v>86</v>
      </c>
      <c r="AX18" s="92">
        <v>95</v>
      </c>
      <c r="AY18" s="92">
        <v>108</v>
      </c>
      <c r="AZ18" s="92">
        <v>120</v>
      </c>
      <c r="BA18" s="92">
        <v>126</v>
      </c>
      <c r="BB18" s="92">
        <v>146</v>
      </c>
      <c r="BC18" s="92">
        <v>157</v>
      </c>
      <c r="BD18" s="92">
        <v>174</v>
      </c>
      <c r="BE18" s="92">
        <v>170</v>
      </c>
      <c r="BF18" s="92">
        <v>188</v>
      </c>
      <c r="BG18" s="92">
        <v>158</v>
      </c>
      <c r="BH18" s="92">
        <v>169</v>
      </c>
      <c r="BI18" s="92">
        <v>178</v>
      </c>
      <c r="BJ18" s="92">
        <v>185</v>
      </c>
      <c r="BK18" s="92">
        <v>188</v>
      </c>
      <c r="BL18" s="92">
        <v>199</v>
      </c>
      <c r="BM18" s="92">
        <v>193</v>
      </c>
      <c r="BN18" s="92">
        <v>186</v>
      </c>
      <c r="BO18" s="92">
        <v>184</v>
      </c>
      <c r="BP18" s="92">
        <v>199</v>
      </c>
      <c r="BQ18" s="92">
        <v>219</v>
      </c>
      <c r="BR18" s="92">
        <v>217</v>
      </c>
      <c r="BS18" s="92">
        <v>231</v>
      </c>
      <c r="BT18" s="92">
        <v>233</v>
      </c>
      <c r="BU18" s="92">
        <v>210</v>
      </c>
      <c r="BV18" s="92">
        <v>220</v>
      </c>
      <c r="BW18" s="92">
        <v>208</v>
      </c>
      <c r="BX18" s="92">
        <v>214</v>
      </c>
      <c r="BY18" s="92">
        <v>203</v>
      </c>
      <c r="BZ18" s="92">
        <v>205</v>
      </c>
      <c r="CA18" s="92">
        <v>215</v>
      </c>
      <c r="CB18" s="92">
        <v>191</v>
      </c>
      <c r="CC18" s="92">
        <v>209</v>
      </c>
      <c r="CD18" s="92">
        <v>223</v>
      </c>
      <c r="CE18" s="92">
        <v>214</v>
      </c>
      <c r="CF18" s="92">
        <v>202</v>
      </c>
      <c r="CG18" s="92">
        <v>203</v>
      </c>
      <c r="CH18" s="92">
        <v>206</v>
      </c>
      <c r="CI18" s="92">
        <v>186</v>
      </c>
      <c r="CJ18" s="92">
        <v>181</v>
      </c>
      <c r="CK18" s="92">
        <v>173</v>
      </c>
      <c r="CL18" s="92">
        <v>166</v>
      </c>
      <c r="CM18" s="92">
        <v>180</v>
      </c>
      <c r="CN18" s="92">
        <v>180</v>
      </c>
      <c r="CO18" s="92">
        <v>179</v>
      </c>
      <c r="CP18" s="92">
        <v>171</v>
      </c>
      <c r="CQ18" s="92">
        <v>184</v>
      </c>
      <c r="CR18" s="92">
        <v>172</v>
      </c>
      <c r="CS18" s="92">
        <v>189</v>
      </c>
      <c r="CT18" s="92">
        <v>0</v>
      </c>
      <c r="CU18" s="92">
        <v>0</v>
      </c>
      <c r="CV18" s="92">
        <v>0</v>
      </c>
      <c r="CW18" s="92">
        <v>0</v>
      </c>
      <c r="CX18" s="92">
        <f t="shared" ref="CX18" si="74">+CT18*0.95</f>
        <v>0</v>
      </c>
      <c r="CY18" s="92"/>
      <c r="CZ18" s="92"/>
      <c r="DA18" s="46"/>
      <c r="DB18" s="40"/>
      <c r="DC18" s="91"/>
      <c r="DD18" s="92"/>
      <c r="DE18" s="92"/>
      <c r="DF18" s="92"/>
      <c r="DG18" s="92"/>
      <c r="DH18" s="92"/>
      <c r="DI18" s="92"/>
      <c r="DJ18" s="92"/>
      <c r="DK18" s="92"/>
      <c r="DL18" s="92">
        <f t="shared" si="72"/>
        <v>264</v>
      </c>
      <c r="DM18" s="92">
        <f t="shared" si="28"/>
        <v>331</v>
      </c>
      <c r="DN18" s="92">
        <f t="shared" si="29"/>
        <v>500</v>
      </c>
      <c r="DO18" s="92">
        <f t="shared" si="30"/>
        <v>689</v>
      </c>
      <c r="DP18" s="92">
        <f t="shared" si="31"/>
        <v>690</v>
      </c>
      <c r="DQ18" s="92">
        <f t="shared" si="32"/>
        <v>766</v>
      </c>
      <c r="DR18" s="92">
        <f t="shared" si="13"/>
        <v>819</v>
      </c>
      <c r="DS18" s="92">
        <f t="shared" si="14"/>
        <v>894</v>
      </c>
      <c r="DT18" s="92">
        <f t="shared" si="36"/>
        <v>830</v>
      </c>
      <c r="DU18" s="92">
        <f t="shared" si="37"/>
        <v>838</v>
      </c>
      <c r="DV18" s="92">
        <f t="shared" si="38"/>
        <v>825</v>
      </c>
      <c r="DW18" s="92">
        <f t="shared" si="39"/>
        <v>706</v>
      </c>
      <c r="DX18" s="92">
        <f t="shared" si="9"/>
        <v>710</v>
      </c>
      <c r="DY18" s="92">
        <f>DX18*0.9</f>
        <v>639</v>
      </c>
      <c r="DZ18" s="92">
        <f>+DY18*0.01</f>
        <v>6.3900000000000006</v>
      </c>
      <c r="EA18" s="92">
        <f t="shared" ref="EA18:EJ18" si="75">DZ18*0.9</f>
        <v>5.7510000000000003</v>
      </c>
      <c r="EB18" s="92">
        <f t="shared" si="75"/>
        <v>5.1759000000000004</v>
      </c>
      <c r="EC18" s="92">
        <f t="shared" si="75"/>
        <v>4.6583100000000002</v>
      </c>
      <c r="ED18" s="92">
        <f t="shared" si="75"/>
        <v>4.1924790000000005</v>
      </c>
      <c r="EE18" s="92">
        <f t="shared" si="75"/>
        <v>3.7732311000000007</v>
      </c>
      <c r="EF18" s="92">
        <f t="shared" si="75"/>
        <v>3.3959079900000009</v>
      </c>
      <c r="EG18" s="92">
        <f t="shared" si="75"/>
        <v>3.0563171910000007</v>
      </c>
      <c r="EH18" s="92">
        <f t="shared" si="75"/>
        <v>2.7506854719000007</v>
      </c>
      <c r="EI18" s="92">
        <f t="shared" si="75"/>
        <v>2.4756169247100006</v>
      </c>
      <c r="EJ18" s="92">
        <f t="shared" si="75"/>
        <v>2.2280552322390008</v>
      </c>
    </row>
    <row r="19" spans="2:140" s="39" customFormat="1" ht="12.75" customHeight="1">
      <c r="B19" s="44" t="s">
        <v>745</v>
      </c>
      <c r="C19" s="40"/>
      <c r="D19" s="40"/>
      <c r="E19" s="40"/>
      <c r="F19" s="40"/>
      <c r="G19" s="40"/>
      <c r="H19" s="40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>
        <v>32</v>
      </c>
      <c r="BX19" s="92">
        <v>38</v>
      </c>
      <c r="BY19" s="92">
        <v>45</v>
      </c>
      <c r="BZ19" s="92">
        <v>50</v>
      </c>
      <c r="CA19" s="92">
        <v>60</v>
      </c>
      <c r="CB19" s="92">
        <v>63</v>
      </c>
      <c r="CC19" s="92">
        <v>77</v>
      </c>
      <c r="CD19" s="92">
        <v>80</v>
      </c>
      <c r="CE19" s="92">
        <v>82</v>
      </c>
      <c r="CF19" s="92">
        <v>93</v>
      </c>
      <c r="CG19" s="92">
        <v>96</v>
      </c>
      <c r="CH19" s="92">
        <v>100</v>
      </c>
      <c r="CI19" s="92">
        <v>94</v>
      </c>
      <c r="CJ19" s="92">
        <v>103</v>
      </c>
      <c r="CK19" s="92">
        <v>114</v>
      </c>
      <c r="CL19" s="92">
        <v>118</v>
      </c>
      <c r="CM19" s="92">
        <v>129</v>
      </c>
      <c r="CN19" s="92">
        <v>143</v>
      </c>
      <c r="CO19" s="92">
        <v>157</v>
      </c>
      <c r="CP19" s="92">
        <v>175</v>
      </c>
      <c r="CQ19" s="92">
        <v>174</v>
      </c>
      <c r="CR19" s="92">
        <v>188</v>
      </c>
      <c r="CS19" s="92">
        <v>208</v>
      </c>
      <c r="CT19" s="92">
        <v>215</v>
      </c>
      <c r="CU19" s="92">
        <f>+CT19+10</f>
        <v>225</v>
      </c>
      <c r="CV19" s="92">
        <f>+CU19+10</f>
        <v>235</v>
      </c>
      <c r="CW19" s="92">
        <f>+CV19+10</f>
        <v>245</v>
      </c>
      <c r="CX19" s="92">
        <f>+CW19+10</f>
        <v>255</v>
      </c>
      <c r="CY19" s="92"/>
      <c r="CZ19" s="92"/>
      <c r="DA19" s="46"/>
      <c r="DB19" s="40"/>
      <c r="DC19" s="91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>
        <f t="shared" si="36"/>
        <v>165</v>
      </c>
      <c r="DU19" s="92">
        <f t="shared" si="37"/>
        <v>280</v>
      </c>
      <c r="DV19" s="92">
        <f t="shared" si="38"/>
        <v>371</v>
      </c>
      <c r="DW19" s="92">
        <f t="shared" si="39"/>
        <v>429</v>
      </c>
      <c r="DX19" s="92">
        <f t="shared" si="9"/>
        <v>604</v>
      </c>
      <c r="DY19" s="92">
        <f t="shared" ref="DY19:EJ19" si="76">DX19*0.9</f>
        <v>543.6</v>
      </c>
      <c r="DZ19" s="92">
        <f t="shared" si="76"/>
        <v>489.24</v>
      </c>
      <c r="EA19" s="92">
        <f t="shared" si="76"/>
        <v>440.31600000000003</v>
      </c>
      <c r="EB19" s="92">
        <f t="shared" si="76"/>
        <v>396.28440000000006</v>
      </c>
      <c r="EC19" s="92">
        <f t="shared" si="76"/>
        <v>356.65596000000005</v>
      </c>
      <c r="ED19" s="92">
        <f t="shared" si="76"/>
        <v>320.99036400000006</v>
      </c>
      <c r="EE19" s="92">
        <f t="shared" si="76"/>
        <v>288.89132760000007</v>
      </c>
      <c r="EF19" s="92">
        <f t="shared" si="76"/>
        <v>260.00219484000007</v>
      </c>
      <c r="EG19" s="92">
        <f t="shared" si="76"/>
        <v>234.00197535600006</v>
      </c>
      <c r="EH19" s="92">
        <f t="shared" si="76"/>
        <v>210.60177782040006</v>
      </c>
      <c r="EI19" s="92">
        <f t="shared" si="76"/>
        <v>189.54160003836006</v>
      </c>
      <c r="EJ19" s="92">
        <f t="shared" si="76"/>
        <v>170.58744003452406</v>
      </c>
    </row>
    <row r="20" spans="2:140" s="8" customFormat="1" ht="12.75" customHeight="1">
      <c r="B20" s="45" t="s">
        <v>746</v>
      </c>
      <c r="C20" s="9"/>
      <c r="D20" s="9"/>
      <c r="E20" s="9"/>
      <c r="F20" s="9"/>
      <c r="G20" s="7"/>
      <c r="H20" s="7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>
        <v>27</v>
      </c>
      <c r="CF20" s="92">
        <v>34</v>
      </c>
      <c r="CG20" s="92">
        <v>54</v>
      </c>
      <c r="CH20" s="92">
        <v>60</v>
      </c>
      <c r="CI20" s="92">
        <v>52</v>
      </c>
      <c r="CJ20" s="92">
        <v>66</v>
      </c>
      <c r="CK20" s="92">
        <v>77</v>
      </c>
      <c r="CL20" s="92">
        <v>67</v>
      </c>
      <c r="CM20" s="92">
        <v>65</v>
      </c>
      <c r="CN20" s="92">
        <v>76</v>
      </c>
      <c r="CO20" s="92">
        <v>74</v>
      </c>
      <c r="CP20" s="92">
        <v>87</v>
      </c>
      <c r="CQ20" s="92">
        <v>73</v>
      </c>
      <c r="CR20" s="92">
        <v>92</v>
      </c>
      <c r="CS20" s="92">
        <v>96</v>
      </c>
      <c r="CT20" s="92">
        <v>79</v>
      </c>
      <c r="CU20" s="92">
        <f t="shared" ref="CU20:CX20" si="77">+CT20+1</f>
        <v>80</v>
      </c>
      <c r="CV20" s="92">
        <f t="shared" si="77"/>
        <v>81</v>
      </c>
      <c r="CW20" s="92">
        <f t="shared" si="77"/>
        <v>82</v>
      </c>
      <c r="CX20" s="92">
        <f t="shared" si="77"/>
        <v>83</v>
      </c>
      <c r="CY20" s="92"/>
      <c r="CZ20" s="92"/>
      <c r="DA20" s="47"/>
      <c r="DB20" s="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>
        <f t="shared" si="38"/>
        <v>175</v>
      </c>
      <c r="DW20" s="92">
        <f t="shared" si="39"/>
        <v>262</v>
      </c>
      <c r="DX20" s="92">
        <f t="shared" si="9"/>
        <v>302</v>
      </c>
      <c r="DY20" s="92">
        <f t="shared" ref="DY20:EE20" si="78">DX20*0.9</f>
        <v>271.8</v>
      </c>
      <c r="DZ20" s="92">
        <f t="shared" si="78"/>
        <v>244.62</v>
      </c>
      <c r="EA20" s="92">
        <f t="shared" si="78"/>
        <v>220.15800000000002</v>
      </c>
      <c r="EB20" s="92">
        <f t="shared" si="78"/>
        <v>198.14220000000003</v>
      </c>
      <c r="EC20" s="92">
        <f t="shared" si="78"/>
        <v>178.32798000000003</v>
      </c>
      <c r="ED20" s="92">
        <f t="shared" si="78"/>
        <v>160.49518200000003</v>
      </c>
      <c r="EE20" s="92">
        <f t="shared" si="78"/>
        <v>144.44566380000003</v>
      </c>
      <c r="EF20" s="92">
        <f t="shared" ref="EF20:EJ20" si="79">EE20*0.9</f>
        <v>130.00109742000004</v>
      </c>
      <c r="EG20" s="92">
        <f t="shared" si="79"/>
        <v>117.00098767800003</v>
      </c>
      <c r="EH20" s="92">
        <f t="shared" si="79"/>
        <v>105.30088891020003</v>
      </c>
      <c r="EI20" s="92">
        <f t="shared" si="79"/>
        <v>94.770800019180029</v>
      </c>
      <c r="EJ20" s="92">
        <f t="shared" si="79"/>
        <v>85.293720017262032</v>
      </c>
    </row>
    <row r="21" spans="2:140" s="8" customFormat="1" ht="12.75" customHeight="1">
      <c r="B21" s="45" t="s">
        <v>750</v>
      </c>
      <c r="C21" s="9"/>
      <c r="D21" s="9"/>
      <c r="E21" s="9"/>
      <c r="F21" s="9"/>
      <c r="G21" s="7"/>
      <c r="H21" s="7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>
        <v>26</v>
      </c>
      <c r="BX21" s="92">
        <v>27</v>
      </c>
      <c r="BY21" s="92">
        <v>35</v>
      </c>
      <c r="BZ21" s="92">
        <v>32</v>
      </c>
      <c r="CA21" s="92">
        <v>37</v>
      </c>
      <c r="CB21" s="92">
        <v>32</v>
      </c>
      <c r="CC21" s="92">
        <v>43</v>
      </c>
      <c r="CD21" s="92">
        <v>19</v>
      </c>
      <c r="CE21" s="92">
        <v>-8</v>
      </c>
      <c r="CF21" s="92">
        <v>-1</v>
      </c>
      <c r="CG21" s="92">
        <v>-2</v>
      </c>
      <c r="CH21" s="92">
        <v>10</v>
      </c>
      <c r="CI21" s="92">
        <v>30</v>
      </c>
      <c r="CJ21" s="92">
        <v>46</v>
      </c>
      <c r="CK21" s="92">
        <v>43</v>
      </c>
      <c r="CL21" s="92">
        <v>49</v>
      </c>
      <c r="CM21" s="92">
        <v>50</v>
      </c>
      <c r="CN21" s="92">
        <v>54</v>
      </c>
      <c r="CO21" s="92">
        <v>53</v>
      </c>
      <c r="CP21" s="92">
        <v>61</v>
      </c>
      <c r="CQ21" s="92">
        <v>56</v>
      </c>
      <c r="CR21" s="92">
        <v>62</v>
      </c>
      <c r="CS21" s="92">
        <v>64</v>
      </c>
      <c r="CT21" s="92">
        <v>70</v>
      </c>
      <c r="CU21" s="92">
        <f t="shared" ref="CU21:CX21" si="80">+CT21+1</f>
        <v>71</v>
      </c>
      <c r="CV21" s="92">
        <f t="shared" si="80"/>
        <v>72</v>
      </c>
      <c r="CW21" s="92">
        <f t="shared" si="80"/>
        <v>73</v>
      </c>
      <c r="CX21" s="92">
        <f t="shared" si="80"/>
        <v>74</v>
      </c>
      <c r="CY21" s="92"/>
      <c r="CZ21" s="92"/>
      <c r="DA21" s="47"/>
      <c r="DB21" s="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>
        <f t="shared" si="36"/>
        <v>120</v>
      </c>
      <c r="DU21" s="92">
        <f t="shared" si="37"/>
        <v>131</v>
      </c>
      <c r="DV21" s="92">
        <f t="shared" si="38"/>
        <v>-1</v>
      </c>
      <c r="DW21" s="92">
        <f t="shared" si="39"/>
        <v>168</v>
      </c>
      <c r="DX21" s="92">
        <f t="shared" si="9"/>
        <v>218</v>
      </c>
      <c r="DY21" s="92">
        <f>DX21*0.9</f>
        <v>196.20000000000002</v>
      </c>
      <c r="DZ21" s="92">
        <f t="shared" ref="DZ21:EE21" si="81">DY21*0.9</f>
        <v>176.58</v>
      </c>
      <c r="EA21" s="92">
        <f t="shared" si="81"/>
        <v>158.92200000000003</v>
      </c>
      <c r="EB21" s="92">
        <f t="shared" si="81"/>
        <v>143.02980000000002</v>
      </c>
      <c r="EC21" s="92">
        <f t="shared" si="81"/>
        <v>128.72682000000003</v>
      </c>
      <c r="ED21" s="92">
        <f t="shared" si="81"/>
        <v>115.85413800000003</v>
      </c>
      <c r="EE21" s="92">
        <f t="shared" si="81"/>
        <v>104.26872420000004</v>
      </c>
      <c r="EF21" s="92">
        <f t="shared" ref="EF21:EJ21" si="82">EE21*0.9</f>
        <v>93.841851780000042</v>
      </c>
      <c r="EG21" s="92">
        <f t="shared" si="82"/>
        <v>84.457666602000046</v>
      </c>
      <c r="EH21" s="92">
        <f t="shared" si="82"/>
        <v>76.011899941800039</v>
      </c>
      <c r="EI21" s="92">
        <f t="shared" si="82"/>
        <v>68.410709947620035</v>
      </c>
      <c r="EJ21" s="92">
        <f t="shared" si="82"/>
        <v>61.569638952858035</v>
      </c>
    </row>
    <row r="22" spans="2:140" s="39" customFormat="1" ht="12.75" customHeight="1">
      <c r="B22" s="44" t="s">
        <v>614</v>
      </c>
      <c r="C22" s="40"/>
      <c r="D22" s="40"/>
      <c r="E22" s="40"/>
      <c r="F22" s="40"/>
      <c r="G22" s="40"/>
      <c r="H22" s="4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1"/>
      <c r="AD22" s="94" t="s">
        <v>526</v>
      </c>
      <c r="AE22" s="94" t="s">
        <v>518</v>
      </c>
      <c r="AF22" s="94" t="s">
        <v>509</v>
      </c>
      <c r="AG22" s="94" t="s">
        <v>500</v>
      </c>
      <c r="AH22" s="94" t="s">
        <v>525</v>
      </c>
      <c r="AI22" s="128" t="s">
        <v>517</v>
      </c>
      <c r="AJ22" s="94" t="s">
        <v>498</v>
      </c>
      <c r="AK22" s="94" t="s">
        <v>499</v>
      </c>
      <c r="AL22" s="92">
        <v>431</v>
      </c>
      <c r="AM22" s="92">
        <v>674</v>
      </c>
      <c r="AN22" s="92">
        <v>669</v>
      </c>
      <c r="AO22" s="92">
        <v>661</v>
      </c>
      <c r="AP22" s="92">
        <v>710</v>
      </c>
      <c r="AQ22" s="92">
        <v>753</v>
      </c>
      <c r="AR22" s="92">
        <v>842</v>
      </c>
      <c r="AS22" s="92">
        <v>561</v>
      </c>
      <c r="AT22" s="92">
        <v>511</v>
      </c>
      <c r="AU22" s="92">
        <v>519</v>
      </c>
      <c r="AV22" s="92">
        <v>518</v>
      </c>
      <c r="AW22" s="92">
        <v>490</v>
      </c>
      <c r="AX22" s="92">
        <v>549</v>
      </c>
      <c r="AY22" s="92">
        <v>549</v>
      </c>
      <c r="AZ22" s="92">
        <v>527</v>
      </c>
      <c r="BA22" s="92">
        <v>574</v>
      </c>
      <c r="BB22" s="92">
        <v>620</v>
      </c>
      <c r="BC22" s="92">
        <v>604</v>
      </c>
      <c r="BD22" s="92">
        <v>607</v>
      </c>
      <c r="BE22" s="92">
        <v>604</v>
      </c>
      <c r="BF22" s="92">
        <v>557</v>
      </c>
      <c r="BG22" s="92">
        <v>501</v>
      </c>
      <c r="BH22" s="92">
        <v>455</v>
      </c>
      <c r="BI22" s="92">
        <v>442</v>
      </c>
      <c r="BJ22" s="92">
        <v>396</v>
      </c>
      <c r="BK22" s="92">
        <v>349</v>
      </c>
      <c r="BL22" s="92">
        <v>339</v>
      </c>
      <c r="BM22" s="92">
        <v>311</v>
      </c>
      <c r="BN22" s="92">
        <v>269</v>
      </c>
      <c r="BO22" s="92">
        <v>229</v>
      </c>
      <c r="BP22" s="92">
        <v>208</v>
      </c>
      <c r="BQ22" s="92">
        <v>214</v>
      </c>
      <c r="BR22" s="92">
        <v>186</v>
      </c>
      <c r="BS22" s="92">
        <v>167</v>
      </c>
      <c r="BT22" s="92">
        <v>157</v>
      </c>
      <c r="BU22" s="92">
        <v>135</v>
      </c>
      <c r="BV22" s="92">
        <v>123</v>
      </c>
      <c r="BW22" s="92">
        <v>123</v>
      </c>
      <c r="BX22" s="92">
        <v>98</v>
      </c>
      <c r="BY22" s="92">
        <v>101</v>
      </c>
      <c r="BZ22" s="92">
        <v>89</v>
      </c>
      <c r="CA22" s="92">
        <v>88</v>
      </c>
      <c r="CB22" s="92">
        <v>73</v>
      </c>
      <c r="CC22" s="92">
        <v>82</v>
      </c>
      <c r="CD22" s="92">
        <v>88</v>
      </c>
      <c r="CE22" s="92">
        <v>85</v>
      </c>
      <c r="CF22" s="92">
        <v>75</v>
      </c>
      <c r="CG22" s="92">
        <v>73</v>
      </c>
      <c r="CH22" s="92">
        <v>67</v>
      </c>
      <c r="CI22" s="92">
        <v>61</v>
      </c>
      <c r="CJ22" s="92">
        <v>53</v>
      </c>
      <c r="CK22" s="92">
        <v>49</v>
      </c>
      <c r="CL22" s="92">
        <v>44</v>
      </c>
      <c r="CM22" s="92">
        <v>51</v>
      </c>
      <c r="CN22" s="92">
        <v>48</v>
      </c>
      <c r="CO22" s="92">
        <v>45</v>
      </c>
      <c r="CP22" s="92">
        <v>43</v>
      </c>
      <c r="CQ22" s="92">
        <v>39</v>
      </c>
      <c r="CR22" s="92">
        <v>35</v>
      </c>
      <c r="CS22" s="92">
        <v>41</v>
      </c>
      <c r="CT22" s="92"/>
      <c r="CU22" s="92"/>
      <c r="CV22" s="92"/>
      <c r="CW22" s="92"/>
      <c r="CX22" s="92"/>
      <c r="CY22" s="92"/>
      <c r="CZ22" s="92"/>
      <c r="DA22" s="93"/>
      <c r="DB22" s="40"/>
      <c r="DC22" s="92"/>
      <c r="DD22" s="92"/>
      <c r="DE22" s="92"/>
      <c r="DF22" s="92"/>
      <c r="DG22" s="92"/>
      <c r="DH22" s="92"/>
      <c r="DI22" s="94" t="s">
        <v>527</v>
      </c>
      <c r="DJ22" s="94" t="s">
        <v>528</v>
      </c>
      <c r="DK22" s="92">
        <f>SUM(AM22:AP22)</f>
        <v>2714</v>
      </c>
      <c r="DL22" s="92">
        <f>SUM(AQ22:AT22)</f>
        <v>2667</v>
      </c>
      <c r="DM22" s="92">
        <f>SUM(AU22:AX22)</f>
        <v>2076</v>
      </c>
      <c r="DN22" s="92">
        <f>SUM(AY22:BB22)</f>
        <v>2270</v>
      </c>
      <c r="DO22" s="92">
        <f>SUM(BC22:BF22)</f>
        <v>2372</v>
      </c>
      <c r="DP22" s="92">
        <f>SUM(BG22:BJ22)</f>
        <v>1794</v>
      </c>
      <c r="DQ22" s="92">
        <f>SUM(BK22:BN22)</f>
        <v>1268</v>
      </c>
      <c r="DR22" s="92">
        <f>SUM(BO22:BR22)</f>
        <v>837</v>
      </c>
      <c r="DS22" s="92">
        <f>SUM(BS22:BV22)</f>
        <v>582</v>
      </c>
      <c r="DT22" s="92">
        <f>SUM(BW22:BZ22)</f>
        <v>411</v>
      </c>
      <c r="DU22" s="92">
        <f>SUM(CA22:CD22)</f>
        <v>331</v>
      </c>
      <c r="DV22" s="92">
        <f>SUM(CE22:CH22)</f>
        <v>300</v>
      </c>
      <c r="DW22" s="92">
        <f>SUM(CI22:CL22)</f>
        <v>207</v>
      </c>
      <c r="DX22" s="92">
        <f t="shared" si="9"/>
        <v>187</v>
      </c>
      <c r="DY22" s="92">
        <f t="shared" ref="DY22:EJ22" si="83">DX22*0.9</f>
        <v>168.3</v>
      </c>
      <c r="DZ22" s="92">
        <f>+DY22*0.01</f>
        <v>1.6830000000000001</v>
      </c>
      <c r="EA22" s="92">
        <f t="shared" si="83"/>
        <v>1.5147000000000002</v>
      </c>
      <c r="EB22" s="92">
        <f t="shared" si="83"/>
        <v>1.3632300000000002</v>
      </c>
      <c r="EC22" s="92">
        <f t="shared" si="83"/>
        <v>1.2269070000000002</v>
      </c>
      <c r="ED22" s="92">
        <f t="shared" si="83"/>
        <v>1.1042163000000003</v>
      </c>
      <c r="EE22" s="92">
        <f t="shared" si="83"/>
        <v>0.99379467000000021</v>
      </c>
      <c r="EF22" s="92">
        <f t="shared" si="83"/>
        <v>0.89441520300000021</v>
      </c>
      <c r="EG22" s="92">
        <f t="shared" si="83"/>
        <v>0.80497368270000025</v>
      </c>
      <c r="EH22" s="92">
        <f t="shared" si="83"/>
        <v>0.72447631443000027</v>
      </c>
      <c r="EI22" s="92">
        <f t="shared" si="83"/>
        <v>0.65202868298700023</v>
      </c>
      <c r="EJ22" s="92">
        <f t="shared" si="83"/>
        <v>0.5868258146883002</v>
      </c>
    </row>
    <row r="23" spans="2:140" s="8" customFormat="1" ht="12.75" customHeight="1">
      <c r="B23" s="45" t="s">
        <v>591</v>
      </c>
      <c r="C23" s="9"/>
      <c r="D23" s="9"/>
      <c r="E23" s="9"/>
      <c r="F23" s="9"/>
      <c r="G23" s="7"/>
      <c r="H23" s="7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1"/>
      <c r="AD23" s="92"/>
      <c r="AE23" s="92"/>
      <c r="AF23" s="92"/>
      <c r="AG23" s="92"/>
      <c r="AH23" s="92"/>
      <c r="AI23" s="128" t="s">
        <v>624</v>
      </c>
      <c r="AJ23" s="92">
        <v>47</v>
      </c>
      <c r="AK23" s="92">
        <v>130</v>
      </c>
      <c r="AL23" s="92">
        <v>128</v>
      </c>
      <c r="AM23" s="92">
        <v>51</v>
      </c>
      <c r="AN23" s="92">
        <v>59</v>
      </c>
      <c r="AO23" s="92">
        <v>110</v>
      </c>
      <c r="AP23" s="92">
        <v>156</v>
      </c>
      <c r="AQ23" s="92">
        <v>79</v>
      </c>
      <c r="AR23" s="92">
        <v>64</v>
      </c>
      <c r="AS23" s="92">
        <v>133</v>
      </c>
      <c r="AT23" s="92">
        <v>222</v>
      </c>
      <c r="AU23" s="92">
        <v>112</v>
      </c>
      <c r="AV23" s="92">
        <v>101</v>
      </c>
      <c r="AW23" s="92">
        <v>160</v>
      </c>
      <c r="AX23" s="92">
        <v>208</v>
      </c>
      <c r="AY23" s="92">
        <v>111</v>
      </c>
      <c r="AZ23" s="92">
        <v>108</v>
      </c>
      <c r="BA23" s="92">
        <v>193</v>
      </c>
      <c r="BB23" s="92">
        <v>241</v>
      </c>
      <c r="BC23" s="92">
        <v>101</v>
      </c>
      <c r="BD23" s="92">
        <v>102</v>
      </c>
      <c r="BE23" s="92">
        <v>197</v>
      </c>
      <c r="BF23" s="92">
        <v>346</v>
      </c>
      <c r="BG23" s="92">
        <v>110</v>
      </c>
      <c r="BH23" s="92">
        <v>106</v>
      </c>
      <c r="BI23" s="92">
        <v>138</v>
      </c>
      <c r="BJ23" s="92">
        <v>188</v>
      </c>
      <c r="BK23" s="92">
        <v>107</v>
      </c>
      <c r="BL23" s="92">
        <v>120</v>
      </c>
      <c r="BM23" s="92">
        <v>175</v>
      </c>
      <c r="BN23" s="92">
        <v>238</v>
      </c>
      <c r="BO23" s="92">
        <v>163</v>
      </c>
      <c r="BP23" s="92">
        <v>166</v>
      </c>
      <c r="BQ23" s="92">
        <v>229</v>
      </c>
      <c r="BR23" s="92">
        <v>263</v>
      </c>
      <c r="BS23" s="92">
        <v>179</v>
      </c>
      <c r="BT23" s="92">
        <v>193</v>
      </c>
      <c r="BU23" s="92">
        <v>214</v>
      </c>
      <c r="BV23" s="92">
        <v>322</v>
      </c>
      <c r="BW23" s="92">
        <v>185</v>
      </c>
      <c r="BX23" s="92">
        <v>170</v>
      </c>
      <c r="BY23" s="92">
        <v>237</v>
      </c>
      <c r="BZ23" s="92">
        <v>334</v>
      </c>
      <c r="CA23" s="92">
        <v>256</v>
      </c>
      <c r="CB23" s="92">
        <v>117</v>
      </c>
      <c r="CC23" s="92">
        <v>375</v>
      </c>
      <c r="CD23" s="92">
        <v>339</v>
      </c>
      <c r="CE23" s="92">
        <v>171</v>
      </c>
      <c r="CF23" s="92">
        <v>152</v>
      </c>
      <c r="CG23" s="92">
        <v>277</v>
      </c>
      <c r="CH23" s="92">
        <v>292</v>
      </c>
      <c r="CI23" s="92">
        <v>173</v>
      </c>
      <c r="CJ23" s="92">
        <v>153</v>
      </c>
      <c r="CK23" s="92">
        <v>131</v>
      </c>
      <c r="CL23" s="92">
        <v>145</v>
      </c>
      <c r="CM23" s="92">
        <v>96</v>
      </c>
      <c r="CN23" s="92">
        <v>92</v>
      </c>
      <c r="CO23" s="92">
        <v>140</v>
      </c>
      <c r="CP23" s="92">
        <v>85</v>
      </c>
      <c r="CQ23" s="92">
        <v>61</v>
      </c>
      <c r="CR23" s="92">
        <v>59</v>
      </c>
      <c r="CS23" s="92">
        <v>68</v>
      </c>
      <c r="CT23" s="92">
        <v>74</v>
      </c>
      <c r="CU23" s="92">
        <f t="shared" ref="CU23:CX23" si="84">+CT23+1</f>
        <v>75</v>
      </c>
      <c r="CV23" s="92">
        <f t="shared" si="84"/>
        <v>76</v>
      </c>
      <c r="CW23" s="92">
        <f t="shared" si="84"/>
        <v>77</v>
      </c>
      <c r="CX23" s="92">
        <f t="shared" si="84"/>
        <v>78</v>
      </c>
      <c r="CY23" s="92"/>
      <c r="CZ23" s="92"/>
      <c r="DA23" s="47"/>
      <c r="DB23" s="9"/>
      <c r="DC23" s="92"/>
      <c r="DD23" s="92"/>
      <c r="DE23" s="92"/>
      <c r="DF23" s="92"/>
      <c r="DG23" s="92"/>
      <c r="DH23" s="92"/>
      <c r="DI23" s="92"/>
      <c r="DJ23" s="92"/>
      <c r="DK23" s="92">
        <f>SUM(AM23:AP23)</f>
        <v>376</v>
      </c>
      <c r="DL23" s="92">
        <f t="shared" si="72"/>
        <v>498</v>
      </c>
      <c r="DM23" s="92">
        <f t="shared" si="28"/>
        <v>581</v>
      </c>
      <c r="DN23" s="92">
        <f t="shared" si="29"/>
        <v>653</v>
      </c>
      <c r="DO23" s="92">
        <f t="shared" si="30"/>
        <v>746</v>
      </c>
      <c r="DP23" s="92">
        <f t="shared" si="31"/>
        <v>542</v>
      </c>
      <c r="DQ23" s="92">
        <f t="shared" si="32"/>
        <v>640</v>
      </c>
      <c r="DR23" s="92">
        <f t="shared" si="13"/>
        <v>821</v>
      </c>
      <c r="DS23" s="92">
        <f t="shared" si="14"/>
        <v>908</v>
      </c>
      <c r="DT23" s="92">
        <f t="shared" ref="DT23:DT86" si="85">SUM(BW23:BZ23)</f>
        <v>926</v>
      </c>
      <c r="DU23" s="92">
        <f t="shared" ref="DU23:DU86" si="86">SUM(CA23:CD23)</f>
        <v>1087</v>
      </c>
      <c r="DV23" s="92">
        <f t="shared" ref="DV23:DV86" si="87">SUM(CE23:CH23)</f>
        <v>892</v>
      </c>
      <c r="DW23" s="92">
        <f t="shared" ref="DW23:DW77" si="88">SUM(CI23:CL23)</f>
        <v>602</v>
      </c>
      <c r="DX23" s="92">
        <f t="shared" si="9"/>
        <v>413</v>
      </c>
      <c r="DY23" s="92">
        <f>DX23*0.95</f>
        <v>392.34999999999997</v>
      </c>
      <c r="DZ23" s="92">
        <f t="shared" ref="DZ23:EJ23" si="89">DY23*0.95</f>
        <v>372.73249999999996</v>
      </c>
      <c r="EA23" s="92">
        <f t="shared" si="89"/>
        <v>354.09587499999992</v>
      </c>
      <c r="EB23" s="92">
        <f t="shared" si="89"/>
        <v>336.3910812499999</v>
      </c>
      <c r="EC23" s="92">
        <f t="shared" si="89"/>
        <v>319.5715271874999</v>
      </c>
      <c r="ED23" s="92">
        <f t="shared" si="89"/>
        <v>303.59295082812491</v>
      </c>
      <c r="EE23" s="92">
        <f t="shared" si="89"/>
        <v>288.41330328671864</v>
      </c>
      <c r="EF23" s="92">
        <f t="shared" si="89"/>
        <v>273.99263812238269</v>
      </c>
      <c r="EG23" s="92">
        <f t="shared" si="89"/>
        <v>260.29300621626356</v>
      </c>
      <c r="EH23" s="92">
        <f t="shared" si="89"/>
        <v>247.27835590545038</v>
      </c>
      <c r="EI23" s="92">
        <f t="shared" si="89"/>
        <v>234.91443811017785</v>
      </c>
      <c r="EJ23" s="92">
        <f t="shared" si="89"/>
        <v>223.16871620466895</v>
      </c>
    </row>
    <row r="24" spans="2:140" s="8" customFormat="1" ht="12.75" customHeight="1">
      <c r="B24" s="45" t="s">
        <v>744</v>
      </c>
      <c r="C24" s="9"/>
      <c r="D24" s="9"/>
      <c r="E24" s="9"/>
      <c r="F24" s="9"/>
      <c r="G24" s="7"/>
      <c r="H24" s="7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1"/>
      <c r="AD24" s="92"/>
      <c r="AE24" s="92"/>
      <c r="AF24" s="92"/>
      <c r="AG24" s="92"/>
      <c r="AH24" s="92"/>
      <c r="AI24" s="94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>
        <v>47</v>
      </c>
      <c r="BX24" s="92">
        <v>58</v>
      </c>
      <c r="BY24" s="92">
        <v>62</v>
      </c>
      <c r="BZ24" s="92">
        <v>71</v>
      </c>
      <c r="CA24" s="92">
        <v>60</v>
      </c>
      <c r="CB24" s="92">
        <v>28</v>
      </c>
      <c r="CC24" s="92">
        <v>51</v>
      </c>
      <c r="CD24" s="92">
        <v>31</v>
      </c>
      <c r="CE24" s="92">
        <v>34</v>
      </c>
      <c r="CF24" s="92">
        <v>56</v>
      </c>
      <c r="CG24" s="92">
        <v>48</v>
      </c>
      <c r="CH24" s="92">
        <v>41</v>
      </c>
      <c r="CI24" s="92">
        <v>36</v>
      </c>
      <c r="CJ24" s="92">
        <v>35</v>
      </c>
      <c r="CK24" s="92">
        <v>64</v>
      </c>
      <c r="CL24" s="92">
        <v>39</v>
      </c>
      <c r="CM24" s="92">
        <v>40</v>
      </c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47"/>
      <c r="DB24" s="9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>
        <f t="shared" si="85"/>
        <v>238</v>
      </c>
      <c r="DU24" s="92">
        <f t="shared" si="86"/>
        <v>170</v>
      </c>
      <c r="DV24" s="92">
        <f t="shared" si="87"/>
        <v>179</v>
      </c>
      <c r="DW24" s="92">
        <f t="shared" si="88"/>
        <v>174</v>
      </c>
      <c r="DX24" s="92">
        <f t="shared" si="9"/>
        <v>40</v>
      </c>
      <c r="DY24" s="92">
        <f t="shared" ref="DY24:EJ24" si="90">DX24*0.95</f>
        <v>38</v>
      </c>
      <c r="DZ24" s="92">
        <f t="shared" si="90"/>
        <v>36.1</v>
      </c>
      <c r="EA24" s="92">
        <f t="shared" si="90"/>
        <v>34.295000000000002</v>
      </c>
      <c r="EB24" s="92">
        <f t="shared" si="90"/>
        <v>32.580249999999999</v>
      </c>
      <c r="EC24" s="92">
        <f t="shared" si="90"/>
        <v>30.951237499999998</v>
      </c>
      <c r="ED24" s="92">
        <f t="shared" si="90"/>
        <v>29.403675624999998</v>
      </c>
      <c r="EE24" s="92">
        <f t="shared" si="90"/>
        <v>27.933491843749998</v>
      </c>
      <c r="EF24" s="92">
        <f t="shared" si="90"/>
        <v>26.536817251562496</v>
      </c>
      <c r="EG24" s="92">
        <f t="shared" si="90"/>
        <v>25.209976388984369</v>
      </c>
      <c r="EH24" s="92">
        <f t="shared" si="90"/>
        <v>23.949477569535151</v>
      </c>
      <c r="EI24" s="92">
        <f t="shared" si="90"/>
        <v>22.752003691058391</v>
      </c>
      <c r="EJ24" s="92">
        <f t="shared" si="90"/>
        <v>21.614403506505472</v>
      </c>
    </row>
    <row r="25" spans="2:140" s="8" customFormat="1" ht="12.75" customHeight="1">
      <c r="B25" s="45" t="s">
        <v>103</v>
      </c>
      <c r="C25" s="9"/>
      <c r="D25" s="9"/>
      <c r="E25" s="9"/>
      <c r="F25" s="9"/>
      <c r="G25" s="7"/>
      <c r="H25" s="7"/>
      <c r="I25" s="92"/>
      <c r="J25" s="92"/>
      <c r="K25" s="92"/>
      <c r="L25" s="92"/>
      <c r="M25" s="92"/>
      <c r="N25" s="92"/>
      <c r="O25" s="92">
        <v>150</v>
      </c>
      <c r="P25" s="92">
        <v>153</v>
      </c>
      <c r="Q25" s="92">
        <v>162</v>
      </c>
      <c r="R25" s="92">
        <v>176</v>
      </c>
      <c r="S25" s="92">
        <v>185</v>
      </c>
      <c r="T25" s="92">
        <v>181</v>
      </c>
      <c r="U25" s="92">
        <v>182</v>
      </c>
      <c r="V25" s="92">
        <v>191</v>
      </c>
      <c r="W25" s="92">
        <v>170</v>
      </c>
      <c r="X25" s="92">
        <v>172</v>
      </c>
      <c r="Y25" s="92">
        <v>182</v>
      </c>
      <c r="Z25" s="92">
        <v>181</v>
      </c>
      <c r="AA25" s="92">
        <v>197</v>
      </c>
      <c r="AB25" s="92">
        <v>186</v>
      </c>
      <c r="AC25" s="91">
        <v>186</v>
      </c>
      <c r="AD25" s="92">
        <f>AC25</f>
        <v>186</v>
      </c>
      <c r="AE25" s="92">
        <v>203</v>
      </c>
      <c r="AF25" s="92">
        <v>201</v>
      </c>
      <c r="AG25" s="92">
        <v>188</v>
      </c>
      <c r="AH25" s="92">
        <f>AG25</f>
        <v>188</v>
      </c>
      <c r="AI25" s="127">
        <v>165</v>
      </c>
      <c r="AJ25" s="92">
        <v>160</v>
      </c>
      <c r="AK25" s="92">
        <v>168</v>
      </c>
      <c r="AL25" s="92">
        <v>196</v>
      </c>
      <c r="AM25" s="92">
        <v>159</v>
      </c>
      <c r="AN25" s="92">
        <v>158</v>
      </c>
      <c r="AO25" s="92">
        <v>135</v>
      </c>
      <c r="AP25" s="92">
        <v>158</v>
      </c>
      <c r="AQ25" s="92">
        <v>136</v>
      </c>
      <c r="AR25" s="92">
        <v>136</v>
      </c>
      <c r="AS25" s="92">
        <v>124</v>
      </c>
      <c r="AT25" s="92">
        <v>119</v>
      </c>
      <c r="AU25" s="92">
        <v>88</v>
      </c>
      <c r="AV25" s="92">
        <v>104</v>
      </c>
      <c r="AW25" s="92">
        <v>109</v>
      </c>
      <c r="AX25" s="92">
        <v>83</v>
      </c>
      <c r="AY25" s="92">
        <v>84</v>
      </c>
      <c r="AZ25" s="92">
        <v>85</v>
      </c>
      <c r="BA25" s="92">
        <v>88</v>
      </c>
      <c r="BB25" s="92">
        <v>79</v>
      </c>
      <c r="BC25" s="92">
        <v>71</v>
      </c>
      <c r="BD25" s="92">
        <v>81</v>
      </c>
      <c r="BE25" s="92">
        <v>91</v>
      </c>
      <c r="BF25" s="92">
        <v>86</v>
      </c>
      <c r="BG25" s="92">
        <v>65</v>
      </c>
      <c r="BH25" s="92">
        <v>88</v>
      </c>
      <c r="BI25" s="92">
        <v>75</v>
      </c>
      <c r="BJ25" s="92">
        <v>86</v>
      </c>
      <c r="BK25" s="92">
        <v>73</v>
      </c>
      <c r="BL25" s="92">
        <v>81</v>
      </c>
      <c r="BM25" s="92">
        <v>77</v>
      </c>
      <c r="BN25" s="92">
        <v>66</v>
      </c>
      <c r="BO25" s="92">
        <v>62</v>
      </c>
      <c r="BP25" s="92">
        <v>71</v>
      </c>
      <c r="BQ25" s="92">
        <v>73</v>
      </c>
      <c r="BR25" s="92">
        <v>74</v>
      </c>
      <c r="BS25" s="92">
        <v>72</v>
      </c>
      <c r="BT25" s="92">
        <v>68</v>
      </c>
      <c r="BU25" s="92">
        <v>72</v>
      </c>
      <c r="BV25" s="92">
        <v>53</v>
      </c>
      <c r="BW25" s="92">
        <v>59</v>
      </c>
      <c r="BX25" s="92">
        <v>71</v>
      </c>
      <c r="BY25" s="92">
        <v>77</v>
      </c>
      <c r="BZ25" s="92">
        <v>67</v>
      </c>
      <c r="CA25" s="92">
        <v>51</v>
      </c>
      <c r="CB25" s="92">
        <v>64</v>
      </c>
      <c r="CC25" s="92">
        <v>74</v>
      </c>
      <c r="CD25" s="92">
        <v>62</v>
      </c>
      <c r="CE25" s="92">
        <v>65</v>
      </c>
      <c r="CF25" s="92">
        <v>60</v>
      </c>
      <c r="CG25" s="92">
        <v>70</v>
      </c>
      <c r="CH25" s="92">
        <v>65</v>
      </c>
      <c r="CI25" s="92">
        <v>58</v>
      </c>
      <c r="CJ25" s="92">
        <v>64</v>
      </c>
      <c r="CK25" s="92">
        <v>63</v>
      </c>
      <c r="CL25" s="92">
        <v>54</v>
      </c>
      <c r="CM25" s="92">
        <v>80</v>
      </c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47"/>
      <c r="DB25" s="9" t="s">
        <v>440</v>
      </c>
      <c r="DC25" s="92" t="s">
        <v>440</v>
      </c>
      <c r="DD25" s="92">
        <v>629</v>
      </c>
      <c r="DE25" s="92">
        <f>SUM(O25:R25)</f>
        <v>641</v>
      </c>
      <c r="DF25" s="92">
        <f>SUM(S25:V25)</f>
        <v>739</v>
      </c>
      <c r="DG25" s="92">
        <f>SUM(W25:Z25)</f>
        <v>705</v>
      </c>
      <c r="DH25" s="92">
        <f>SUM(AA25:AD25)</f>
        <v>755</v>
      </c>
      <c r="DI25" s="92">
        <f>SUM(AE25:AH25)</f>
        <v>780</v>
      </c>
      <c r="DJ25" s="92">
        <f>SUM(AI25:AL25)</f>
        <v>689</v>
      </c>
      <c r="DK25" s="92">
        <f>SUM(AM25:AP25)</f>
        <v>610</v>
      </c>
      <c r="DL25" s="92">
        <f t="shared" si="72"/>
        <v>515</v>
      </c>
      <c r="DM25" s="92">
        <f t="shared" si="28"/>
        <v>384</v>
      </c>
      <c r="DN25" s="92">
        <f t="shared" ref="DN25:DN28" si="91">SUM(AY25:BB25)</f>
        <v>336</v>
      </c>
      <c r="DO25" s="92">
        <f t="shared" ref="DO25:DO28" si="92">SUM(BC25:BF25)</f>
        <v>329</v>
      </c>
      <c r="DP25" s="92">
        <f t="shared" si="31"/>
        <v>314</v>
      </c>
      <c r="DQ25" s="92">
        <f t="shared" si="32"/>
        <v>297</v>
      </c>
      <c r="DR25" s="92">
        <f t="shared" si="13"/>
        <v>280</v>
      </c>
      <c r="DS25" s="92">
        <f t="shared" si="14"/>
        <v>265</v>
      </c>
      <c r="DT25" s="92">
        <f t="shared" si="85"/>
        <v>274</v>
      </c>
      <c r="DU25" s="92">
        <f t="shared" si="86"/>
        <v>251</v>
      </c>
      <c r="DV25" s="92">
        <f t="shared" si="87"/>
        <v>260</v>
      </c>
      <c r="DW25" s="92">
        <f t="shared" si="88"/>
        <v>239</v>
      </c>
      <c r="DX25" s="92">
        <f t="shared" si="9"/>
        <v>80</v>
      </c>
      <c r="DY25" s="92">
        <f t="shared" ref="DY25:EJ25" si="93">DX25*0.95</f>
        <v>76</v>
      </c>
      <c r="DZ25" s="92">
        <f t="shared" si="93"/>
        <v>72.2</v>
      </c>
      <c r="EA25" s="92">
        <f t="shared" si="93"/>
        <v>68.59</v>
      </c>
      <c r="EB25" s="92">
        <f t="shared" si="93"/>
        <v>65.160499999999999</v>
      </c>
      <c r="EC25" s="92">
        <f t="shared" si="93"/>
        <v>61.902474999999995</v>
      </c>
      <c r="ED25" s="92">
        <f t="shared" si="93"/>
        <v>58.807351249999996</v>
      </c>
      <c r="EE25" s="92">
        <f t="shared" si="93"/>
        <v>55.866983687499996</v>
      </c>
      <c r="EF25" s="92">
        <f t="shared" si="93"/>
        <v>53.073634503124993</v>
      </c>
      <c r="EG25" s="92">
        <f t="shared" si="93"/>
        <v>50.419952777968739</v>
      </c>
      <c r="EH25" s="92">
        <f t="shared" si="93"/>
        <v>47.898955139070303</v>
      </c>
      <c r="EI25" s="92">
        <f t="shared" si="93"/>
        <v>45.504007382116782</v>
      </c>
      <c r="EJ25" s="92">
        <f t="shared" si="93"/>
        <v>43.228807013010943</v>
      </c>
    </row>
    <row r="26" spans="2:140" s="8" customFormat="1" ht="12.75" customHeight="1">
      <c r="B26" s="45" t="s">
        <v>749</v>
      </c>
      <c r="C26" s="9"/>
      <c r="D26" s="9"/>
      <c r="E26" s="9"/>
      <c r="F26" s="9"/>
      <c r="G26" s="7"/>
      <c r="H26" s="7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>
        <v>42</v>
      </c>
      <c r="BX26" s="92">
        <v>51</v>
      </c>
      <c r="BY26" s="92">
        <v>50</v>
      </c>
      <c r="BZ26" s="92">
        <v>60</v>
      </c>
      <c r="CA26" s="92">
        <v>53</v>
      </c>
      <c r="CB26" s="92">
        <v>79</v>
      </c>
      <c r="CC26" s="92">
        <v>83</v>
      </c>
      <c r="CD26" s="92">
        <v>65</v>
      </c>
      <c r="CE26" s="92">
        <v>74</v>
      </c>
      <c r="CF26" s="92">
        <v>74</v>
      </c>
      <c r="CG26" s="92">
        <v>100</v>
      </c>
      <c r="CH26" s="92">
        <v>94</v>
      </c>
      <c r="CI26" s="92">
        <v>72</v>
      </c>
      <c r="CJ26" s="92">
        <v>98</v>
      </c>
      <c r="CK26" s="92">
        <v>88</v>
      </c>
      <c r="CL26" s="92">
        <v>82</v>
      </c>
      <c r="CM26" s="92">
        <v>99</v>
      </c>
      <c r="CN26" s="92">
        <v>68</v>
      </c>
      <c r="CO26" s="92">
        <v>92</v>
      </c>
      <c r="CP26" s="92">
        <v>108</v>
      </c>
      <c r="CQ26" s="92">
        <v>98</v>
      </c>
      <c r="CR26" s="92">
        <v>106</v>
      </c>
      <c r="CS26" s="92">
        <v>102</v>
      </c>
      <c r="CT26" s="92">
        <v>109</v>
      </c>
      <c r="CU26" s="92">
        <f t="shared" ref="CU26:CX26" si="94">+CT26+1</f>
        <v>110</v>
      </c>
      <c r="CV26" s="92">
        <f t="shared" si="94"/>
        <v>111</v>
      </c>
      <c r="CW26" s="92">
        <f t="shared" si="94"/>
        <v>112</v>
      </c>
      <c r="CX26" s="92">
        <f t="shared" si="94"/>
        <v>113</v>
      </c>
      <c r="CY26" s="92"/>
      <c r="CZ26" s="92"/>
      <c r="DA26" s="47"/>
      <c r="DB26" s="9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>
        <f t="shared" si="85"/>
        <v>203</v>
      </c>
      <c r="DU26" s="92">
        <f t="shared" si="86"/>
        <v>280</v>
      </c>
      <c r="DV26" s="92">
        <f t="shared" si="87"/>
        <v>342</v>
      </c>
      <c r="DW26" s="92">
        <f t="shared" si="88"/>
        <v>340</v>
      </c>
      <c r="DX26" s="92">
        <f t="shared" si="9"/>
        <v>367</v>
      </c>
      <c r="DY26" s="92">
        <f t="shared" ref="DY26:EJ26" si="95">DX26*0.95</f>
        <v>348.65</v>
      </c>
      <c r="DZ26" s="92">
        <f t="shared" si="95"/>
        <v>331.21749999999997</v>
      </c>
      <c r="EA26" s="92">
        <f t="shared" si="95"/>
        <v>314.65662499999996</v>
      </c>
      <c r="EB26" s="92">
        <f t="shared" si="95"/>
        <v>298.92379374999996</v>
      </c>
      <c r="EC26" s="92">
        <f t="shared" si="95"/>
        <v>283.97760406249995</v>
      </c>
      <c r="ED26" s="92">
        <f t="shared" si="95"/>
        <v>269.77872385937496</v>
      </c>
      <c r="EE26" s="92">
        <f t="shared" si="95"/>
        <v>256.2897876664062</v>
      </c>
      <c r="EF26" s="92">
        <f t="shared" si="95"/>
        <v>243.47529828308586</v>
      </c>
      <c r="EG26" s="92">
        <f t="shared" si="95"/>
        <v>231.30153336893156</v>
      </c>
      <c r="EH26" s="92">
        <f t="shared" si="95"/>
        <v>219.73645670048498</v>
      </c>
      <c r="EI26" s="92">
        <f t="shared" si="95"/>
        <v>208.74963386546071</v>
      </c>
      <c r="EJ26" s="92">
        <f t="shared" si="95"/>
        <v>198.31215217218767</v>
      </c>
    </row>
    <row r="27" spans="2:140" s="8" customFormat="1" ht="12.75" customHeight="1">
      <c r="B27" s="45" t="s">
        <v>748</v>
      </c>
      <c r="C27" s="9"/>
      <c r="D27" s="9"/>
      <c r="E27" s="9"/>
      <c r="F27" s="9"/>
      <c r="G27" s="7"/>
      <c r="H27" s="7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>
        <v>84</v>
      </c>
      <c r="BP27" s="92">
        <v>67</v>
      </c>
      <c r="BQ27" s="92">
        <v>70</v>
      </c>
      <c r="BR27" s="92">
        <v>79</v>
      </c>
      <c r="BS27" s="92">
        <v>68</v>
      </c>
      <c r="BT27" s="92">
        <v>75</v>
      </c>
      <c r="BU27" s="92">
        <v>94</v>
      </c>
      <c r="BV27" s="92">
        <v>91</v>
      </c>
      <c r="BW27" s="92">
        <v>48</v>
      </c>
      <c r="BX27" s="92">
        <v>53</v>
      </c>
      <c r="BY27" s="92">
        <v>57</v>
      </c>
      <c r="BZ27" s="92">
        <v>57</v>
      </c>
      <c r="CA27" s="92">
        <v>56</v>
      </c>
      <c r="CB27" s="92">
        <v>57</v>
      </c>
      <c r="CC27" s="92">
        <v>55</v>
      </c>
      <c r="CD27" s="92">
        <v>53</v>
      </c>
      <c r="CE27" s="92">
        <v>55</v>
      </c>
      <c r="CF27" s="92">
        <v>74</v>
      </c>
      <c r="CG27" s="92">
        <v>59</v>
      </c>
      <c r="CH27" s="92">
        <v>63</v>
      </c>
      <c r="CI27" s="92">
        <v>61</v>
      </c>
      <c r="CJ27" s="92">
        <v>63</v>
      </c>
      <c r="CK27" s="92">
        <v>57</v>
      </c>
      <c r="CL27" s="92">
        <v>57</v>
      </c>
      <c r="CM27" s="92">
        <v>59</v>
      </c>
      <c r="CN27" s="92">
        <v>65</v>
      </c>
      <c r="CO27" s="92">
        <v>65</v>
      </c>
      <c r="CP27" s="92">
        <v>66</v>
      </c>
      <c r="CQ27" s="92">
        <v>70</v>
      </c>
      <c r="CR27" s="92">
        <v>72</v>
      </c>
      <c r="CS27" s="92">
        <v>72</v>
      </c>
      <c r="CT27" s="92">
        <v>73</v>
      </c>
      <c r="CU27" s="92">
        <f t="shared" ref="CU27:CX27" si="96">+CT27+1</f>
        <v>74</v>
      </c>
      <c r="CV27" s="92">
        <f t="shared" si="96"/>
        <v>75</v>
      </c>
      <c r="CW27" s="92">
        <f t="shared" si="96"/>
        <v>76</v>
      </c>
      <c r="CX27" s="92">
        <f t="shared" si="96"/>
        <v>77</v>
      </c>
      <c r="CY27" s="92"/>
      <c r="CZ27" s="92"/>
      <c r="DA27" s="47"/>
      <c r="DB27" s="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>
        <f t="shared" si="13"/>
        <v>300</v>
      </c>
      <c r="DS27" s="92">
        <f t="shared" si="14"/>
        <v>328</v>
      </c>
      <c r="DT27" s="92">
        <f t="shared" si="85"/>
        <v>215</v>
      </c>
      <c r="DU27" s="92">
        <f t="shared" si="86"/>
        <v>221</v>
      </c>
      <c r="DV27" s="92">
        <f t="shared" si="87"/>
        <v>251</v>
      </c>
      <c r="DW27" s="92">
        <f t="shared" si="88"/>
        <v>238</v>
      </c>
      <c r="DX27" s="92">
        <f t="shared" si="9"/>
        <v>255</v>
      </c>
      <c r="DY27" s="92">
        <f t="shared" ref="DY27:EJ27" si="97">DX27*0.95</f>
        <v>242.25</v>
      </c>
      <c r="DZ27" s="92">
        <f t="shared" si="97"/>
        <v>230.13749999999999</v>
      </c>
      <c r="EA27" s="92">
        <f t="shared" si="97"/>
        <v>218.63062499999998</v>
      </c>
      <c r="EB27" s="92">
        <f t="shared" si="97"/>
        <v>207.69909374999997</v>
      </c>
      <c r="EC27" s="92">
        <f t="shared" si="97"/>
        <v>197.31413906249998</v>
      </c>
      <c r="ED27" s="92">
        <f t="shared" si="97"/>
        <v>187.44843210937498</v>
      </c>
      <c r="EE27" s="92">
        <f t="shared" si="97"/>
        <v>178.07601050390622</v>
      </c>
      <c r="EF27" s="92">
        <f t="shared" si="97"/>
        <v>169.1722099787109</v>
      </c>
      <c r="EG27" s="92">
        <f t="shared" si="97"/>
        <v>160.71359947977535</v>
      </c>
      <c r="EH27" s="92">
        <f t="shared" si="97"/>
        <v>152.67791950578658</v>
      </c>
      <c r="EI27" s="92">
        <f t="shared" si="97"/>
        <v>145.04402353049724</v>
      </c>
      <c r="EJ27" s="92">
        <f t="shared" si="97"/>
        <v>137.79182235397238</v>
      </c>
    </row>
    <row r="28" spans="2:140" s="8" customFormat="1" ht="12.75" customHeight="1">
      <c r="B28" s="45" t="s">
        <v>679</v>
      </c>
      <c r="C28" s="9"/>
      <c r="D28" s="9"/>
      <c r="E28" s="9"/>
      <c r="F28" s="9"/>
      <c r="G28" s="7"/>
      <c r="H28" s="7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1"/>
      <c r="AD28" s="92"/>
      <c r="AE28" s="92"/>
      <c r="AF28" s="92"/>
      <c r="AG28" s="92"/>
      <c r="AH28" s="92"/>
      <c r="AI28" s="94"/>
      <c r="AJ28" s="92"/>
      <c r="AK28" s="92"/>
      <c r="AL28" s="92"/>
      <c r="AM28" s="92"/>
      <c r="AN28" s="92"/>
      <c r="AO28" s="92"/>
      <c r="AP28" s="92"/>
      <c r="AQ28" s="92">
        <v>55</v>
      </c>
      <c r="AR28" s="92">
        <v>56</v>
      </c>
      <c r="AS28" s="92">
        <v>61</v>
      </c>
      <c r="AT28" s="92">
        <v>59</v>
      </c>
      <c r="AU28" s="92">
        <v>59</v>
      </c>
      <c r="AV28" s="92">
        <v>66</v>
      </c>
      <c r="AW28" s="92">
        <v>66</v>
      </c>
      <c r="AX28" s="92">
        <v>68</v>
      </c>
      <c r="AY28" s="92">
        <v>65</v>
      </c>
      <c r="AZ28" s="92">
        <v>71</v>
      </c>
      <c r="BA28" s="92">
        <v>75</v>
      </c>
      <c r="BB28" s="92">
        <v>98</v>
      </c>
      <c r="BC28" s="92">
        <v>74</v>
      </c>
      <c r="BD28" s="92">
        <v>98</v>
      </c>
      <c r="BE28" s="92">
        <v>107</v>
      </c>
      <c r="BF28" s="92">
        <v>122</v>
      </c>
      <c r="BG28" s="92">
        <v>111</v>
      </c>
      <c r="BH28" s="92">
        <v>117</v>
      </c>
      <c r="BI28" s="92">
        <v>132</v>
      </c>
      <c r="BJ28" s="92">
        <v>128</v>
      </c>
      <c r="BK28" s="92">
        <v>145</v>
      </c>
      <c r="BL28" s="92">
        <v>143</v>
      </c>
      <c r="BM28" s="92">
        <v>147</v>
      </c>
      <c r="BN28" s="92">
        <v>161</v>
      </c>
      <c r="BO28" s="92">
        <v>141</v>
      </c>
      <c r="BP28" s="92">
        <v>155</v>
      </c>
      <c r="BQ28" s="92">
        <v>162</v>
      </c>
      <c r="BR28" s="92">
        <v>179</v>
      </c>
      <c r="BS28" s="92">
        <v>176</v>
      </c>
      <c r="BT28" s="92">
        <v>188</v>
      </c>
      <c r="BU28" s="92">
        <v>188</v>
      </c>
      <c r="BV28" s="92">
        <v>191</v>
      </c>
      <c r="BW28" s="92">
        <v>190</v>
      </c>
      <c r="BX28" s="92">
        <v>193</v>
      </c>
      <c r="BY28" s="92">
        <v>177</v>
      </c>
      <c r="BZ28" s="92">
        <v>103</v>
      </c>
      <c r="CA28" s="92">
        <v>94</v>
      </c>
      <c r="CB28" s="92">
        <v>73</v>
      </c>
      <c r="CC28" s="92">
        <v>79</v>
      </c>
      <c r="CD28" s="92">
        <v>82</v>
      </c>
      <c r="CE28" s="92">
        <v>67</v>
      </c>
      <c r="CF28" s="92">
        <v>66</v>
      </c>
      <c r="CG28" s="92">
        <v>64</v>
      </c>
      <c r="CH28" s="92">
        <v>62</v>
      </c>
      <c r="CI28" s="92">
        <v>57</v>
      </c>
      <c r="CJ28" s="92">
        <v>60</v>
      </c>
      <c r="CK28" s="92">
        <v>62</v>
      </c>
      <c r="CL28" s="92">
        <v>58</v>
      </c>
      <c r="CM28" s="92">
        <v>60</v>
      </c>
      <c r="CN28" s="92">
        <v>55</v>
      </c>
      <c r="CO28" s="92">
        <v>51</v>
      </c>
      <c r="CP28" s="92">
        <v>46</v>
      </c>
      <c r="CQ28" s="92">
        <v>56</v>
      </c>
      <c r="CR28" s="92">
        <v>45</v>
      </c>
      <c r="CS28" s="92">
        <v>41</v>
      </c>
      <c r="CT28" s="92">
        <v>36</v>
      </c>
      <c r="CU28" s="92">
        <f t="shared" ref="CU28:CX28" si="98">+CT28</f>
        <v>36</v>
      </c>
      <c r="CV28" s="92">
        <f t="shared" si="98"/>
        <v>36</v>
      </c>
      <c r="CW28" s="92">
        <f t="shared" si="98"/>
        <v>36</v>
      </c>
      <c r="CX28" s="92">
        <f t="shared" si="98"/>
        <v>36</v>
      </c>
      <c r="CY28" s="92"/>
      <c r="CZ28" s="92"/>
      <c r="DA28" s="47"/>
      <c r="DB28" s="9"/>
      <c r="DC28" s="96"/>
      <c r="DD28" s="92"/>
      <c r="DE28" s="92"/>
      <c r="DF28" s="92"/>
      <c r="DG28" s="92"/>
      <c r="DH28" s="92"/>
      <c r="DI28" s="92"/>
      <c r="DJ28" s="92"/>
      <c r="DK28" s="92"/>
      <c r="DL28" s="92">
        <f t="shared" si="72"/>
        <v>231</v>
      </c>
      <c r="DM28" s="92">
        <f t="shared" si="28"/>
        <v>259</v>
      </c>
      <c r="DN28" s="92">
        <f t="shared" si="91"/>
        <v>309</v>
      </c>
      <c r="DO28" s="92">
        <f t="shared" si="92"/>
        <v>401</v>
      </c>
      <c r="DP28" s="92">
        <f t="shared" si="31"/>
        <v>488</v>
      </c>
      <c r="DQ28" s="92">
        <f t="shared" si="32"/>
        <v>596</v>
      </c>
      <c r="DR28" s="92">
        <f t="shared" si="13"/>
        <v>637</v>
      </c>
      <c r="DS28" s="92">
        <f t="shared" si="14"/>
        <v>743</v>
      </c>
      <c r="DT28" s="92">
        <f t="shared" si="85"/>
        <v>663</v>
      </c>
      <c r="DU28" s="92">
        <f t="shared" si="86"/>
        <v>328</v>
      </c>
      <c r="DV28" s="92">
        <f t="shared" si="87"/>
        <v>259</v>
      </c>
      <c r="DW28" s="92">
        <f t="shared" si="88"/>
        <v>237</v>
      </c>
      <c r="DX28" s="92">
        <f t="shared" si="9"/>
        <v>212</v>
      </c>
      <c r="DY28" s="92">
        <f>DX28*0.9</f>
        <v>190.8</v>
      </c>
      <c r="DZ28" s="92">
        <f t="shared" ref="DZ28:EJ29" si="99">DY28*0.9</f>
        <v>171.72000000000003</v>
      </c>
      <c r="EA28" s="92">
        <f t="shared" si="99"/>
        <v>154.54800000000003</v>
      </c>
      <c r="EB28" s="92">
        <f t="shared" si="99"/>
        <v>139.09320000000002</v>
      </c>
      <c r="EC28" s="92">
        <f t="shared" si="99"/>
        <v>125.18388000000003</v>
      </c>
      <c r="ED28" s="92">
        <f t="shared" si="99"/>
        <v>112.66549200000003</v>
      </c>
      <c r="EE28" s="92">
        <f t="shared" si="99"/>
        <v>101.39894280000003</v>
      </c>
      <c r="EF28" s="92">
        <f t="shared" si="99"/>
        <v>91.259048520000022</v>
      </c>
      <c r="EG28" s="92">
        <f t="shared" si="99"/>
        <v>82.133143668000017</v>
      </c>
      <c r="EH28" s="92">
        <f t="shared" si="99"/>
        <v>73.919829301200011</v>
      </c>
      <c r="EI28" s="92">
        <f t="shared" si="99"/>
        <v>66.527846371080017</v>
      </c>
      <c r="EJ28" s="92">
        <f t="shared" si="99"/>
        <v>59.875061733972018</v>
      </c>
    </row>
    <row r="29" spans="2:140" s="8" customFormat="1" ht="12.75" customHeight="1">
      <c r="B29" s="45" t="s">
        <v>949</v>
      </c>
      <c r="C29" s="9"/>
      <c r="D29" s="9"/>
      <c r="E29" s="9"/>
      <c r="F29" s="9"/>
      <c r="G29" s="7"/>
      <c r="H29" s="7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1"/>
      <c r="AD29" s="92"/>
      <c r="AE29" s="92"/>
      <c r="AF29" s="92"/>
      <c r="AG29" s="92"/>
      <c r="AH29" s="92"/>
      <c r="AI29" s="94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>
        <v>44</v>
      </c>
      <c r="CN29" s="92">
        <v>50</v>
      </c>
      <c r="CO29" s="92">
        <v>54</v>
      </c>
      <c r="CP29" s="92">
        <v>54</v>
      </c>
      <c r="CQ29" s="92">
        <v>56</v>
      </c>
      <c r="CR29" s="92">
        <v>60</v>
      </c>
      <c r="CS29" s="92">
        <v>65</v>
      </c>
      <c r="CT29" s="92">
        <v>69</v>
      </c>
      <c r="CU29" s="92">
        <f t="shared" ref="CU29:CX29" si="100">+CT29+1</f>
        <v>70</v>
      </c>
      <c r="CV29" s="92">
        <f t="shared" si="100"/>
        <v>71</v>
      </c>
      <c r="CW29" s="92">
        <f t="shared" si="100"/>
        <v>72</v>
      </c>
      <c r="CX29" s="92">
        <f t="shared" si="100"/>
        <v>73</v>
      </c>
      <c r="CY29" s="92"/>
      <c r="CZ29" s="92"/>
      <c r="DA29" s="47"/>
      <c r="DB29" s="9"/>
      <c r="DC29" s="96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>
        <f t="shared" si="9"/>
        <v>202</v>
      </c>
      <c r="DY29" s="92">
        <f>DX29*0.9</f>
        <v>181.8</v>
      </c>
      <c r="DZ29" s="92">
        <f t="shared" si="99"/>
        <v>163.62</v>
      </c>
      <c r="EA29" s="92">
        <f t="shared" si="99"/>
        <v>147.25800000000001</v>
      </c>
      <c r="EB29" s="92">
        <f t="shared" si="99"/>
        <v>132.53220000000002</v>
      </c>
      <c r="EC29" s="92">
        <f t="shared" si="99"/>
        <v>119.27898000000002</v>
      </c>
      <c r="ED29" s="92">
        <f t="shared" si="99"/>
        <v>107.35108200000002</v>
      </c>
      <c r="EE29" s="92">
        <f t="shared" si="99"/>
        <v>96.61597380000002</v>
      </c>
      <c r="EF29" s="92">
        <f t="shared" si="99"/>
        <v>86.954376420000017</v>
      </c>
      <c r="EG29" s="92">
        <f t="shared" si="99"/>
        <v>78.258938778000015</v>
      </c>
      <c r="EH29" s="92">
        <f t="shared" si="99"/>
        <v>70.433044900200017</v>
      </c>
      <c r="EI29" s="92">
        <f t="shared" si="99"/>
        <v>63.389740410180018</v>
      </c>
      <c r="EJ29" s="92">
        <f t="shared" si="99"/>
        <v>57.050766369162019</v>
      </c>
    </row>
    <row r="30" spans="2:140" s="8" customFormat="1" ht="12.75" customHeight="1">
      <c r="B30" s="45" t="s">
        <v>950</v>
      </c>
      <c r="C30" s="9"/>
      <c r="D30" s="9"/>
      <c r="E30" s="9"/>
      <c r="F30" s="9"/>
      <c r="G30" s="7"/>
      <c r="H30" s="7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1"/>
      <c r="AD30" s="92"/>
      <c r="AE30" s="92"/>
      <c r="AF30" s="92"/>
      <c r="AG30" s="92"/>
      <c r="AH30" s="92"/>
      <c r="AI30" s="94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>
        <v>34</v>
      </c>
      <c r="CN30" s="92">
        <v>38</v>
      </c>
      <c r="CO30" s="92">
        <v>37</v>
      </c>
      <c r="CP30" s="92">
        <v>33</v>
      </c>
      <c r="CQ30" s="92">
        <v>42</v>
      </c>
      <c r="CR30" s="92">
        <v>39</v>
      </c>
      <c r="CS30" s="92">
        <v>42</v>
      </c>
      <c r="CT30" s="92">
        <v>40</v>
      </c>
      <c r="CU30" s="92">
        <f t="shared" ref="CU30:CX30" si="101">+CT30+1</f>
        <v>41</v>
      </c>
      <c r="CV30" s="92">
        <f t="shared" si="101"/>
        <v>42</v>
      </c>
      <c r="CW30" s="92">
        <f t="shared" si="101"/>
        <v>43</v>
      </c>
      <c r="CX30" s="92">
        <f t="shared" si="101"/>
        <v>44</v>
      </c>
      <c r="CY30" s="92"/>
      <c r="CZ30" s="92"/>
      <c r="DA30" s="47"/>
      <c r="DB30" s="9"/>
      <c r="DC30" s="96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>
        <f t="shared" si="9"/>
        <v>142</v>
      </c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</row>
    <row r="31" spans="2:140" s="8" customFormat="1" ht="12.75" customHeight="1">
      <c r="B31" s="45" t="s">
        <v>975</v>
      </c>
      <c r="C31" s="9"/>
      <c r="D31" s="9"/>
      <c r="E31" s="9"/>
      <c r="F31" s="9"/>
      <c r="G31" s="7"/>
      <c r="H31" s="7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1"/>
      <c r="AD31" s="92"/>
      <c r="AE31" s="92"/>
      <c r="AF31" s="92"/>
      <c r="AG31" s="92"/>
      <c r="AH31" s="92"/>
      <c r="AI31" s="94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>
        <v>70</v>
      </c>
      <c r="CS31" s="92">
        <v>149</v>
      </c>
      <c r="CT31" s="92">
        <v>200</v>
      </c>
      <c r="CU31" s="92">
        <f t="shared" ref="CU31:CX31" si="102">+CT31+50</f>
        <v>250</v>
      </c>
      <c r="CV31" s="92">
        <f t="shared" si="102"/>
        <v>300</v>
      </c>
      <c r="CW31" s="92">
        <f t="shared" si="102"/>
        <v>350</v>
      </c>
      <c r="CX31" s="92">
        <f t="shared" si="102"/>
        <v>400</v>
      </c>
      <c r="CY31" s="92"/>
      <c r="CZ31" s="92"/>
      <c r="DA31" s="47"/>
      <c r="DB31" s="9"/>
      <c r="DC31" s="96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>
        <v>50</v>
      </c>
      <c r="DY31" s="92">
        <f t="shared" ref="DY31" si="103">SUM(CQ31:CT31)</f>
        <v>419</v>
      </c>
      <c r="DZ31" s="92">
        <f>SUM(CU31:CX31)</f>
        <v>1300</v>
      </c>
      <c r="EA31" s="92">
        <f>+DZ31*1.4</f>
        <v>1819.9999999999998</v>
      </c>
      <c r="EB31" s="90">
        <f>+EA31*1.3</f>
        <v>2366</v>
      </c>
      <c r="EC31" s="85">
        <f>EB31*1.01</f>
        <v>2389.66</v>
      </c>
      <c r="ED31" s="85">
        <f t="shared" ref="ED31:EJ31" si="104">EC31*1.01</f>
        <v>2413.5565999999999</v>
      </c>
      <c r="EE31" s="85">
        <f t="shared" si="104"/>
        <v>2437.6921659999998</v>
      </c>
      <c r="EF31" s="85">
        <f t="shared" si="104"/>
        <v>2462.0690876599997</v>
      </c>
      <c r="EG31" s="85">
        <f t="shared" si="104"/>
        <v>2486.6897785365995</v>
      </c>
      <c r="EH31" s="85">
        <f t="shared" si="104"/>
        <v>2511.5566763219654</v>
      </c>
      <c r="EI31" s="85">
        <f t="shared" si="104"/>
        <v>2536.6722430851851</v>
      </c>
      <c r="EJ31" s="85">
        <f t="shared" si="104"/>
        <v>2562.038965516037</v>
      </c>
    </row>
    <row r="32" spans="2:140" s="8" customFormat="1" ht="3.75" customHeight="1">
      <c r="B32" s="45" t="s">
        <v>353</v>
      </c>
      <c r="C32" s="9"/>
      <c r="D32" s="9"/>
      <c r="E32" s="9"/>
      <c r="F32" s="9"/>
      <c r="G32" s="7"/>
      <c r="H32" s="7"/>
      <c r="I32" s="92"/>
      <c r="J32" s="92"/>
      <c r="K32" s="92"/>
      <c r="L32" s="92"/>
      <c r="M32" s="92"/>
      <c r="N32" s="92"/>
      <c r="O32" s="92">
        <v>131</v>
      </c>
      <c r="P32" s="92">
        <v>133</v>
      </c>
      <c r="Q32" s="92">
        <v>138</v>
      </c>
      <c r="R32" s="92">
        <v>157</v>
      </c>
      <c r="S32" s="92">
        <v>140</v>
      </c>
      <c r="T32" s="92">
        <v>153</v>
      </c>
      <c r="U32" s="92">
        <v>156</v>
      </c>
      <c r="V32" s="92">
        <v>167</v>
      </c>
      <c r="W32" s="92">
        <v>152</v>
      </c>
      <c r="X32" s="92">
        <v>175</v>
      </c>
      <c r="Y32" s="92">
        <v>191</v>
      </c>
      <c r="Z32" s="92">
        <v>179</v>
      </c>
      <c r="AA32" s="92">
        <v>186</v>
      </c>
      <c r="AB32" s="92">
        <v>192</v>
      </c>
      <c r="AC32" s="91">
        <v>197</v>
      </c>
      <c r="AD32" s="92">
        <f>AC32</f>
        <v>197</v>
      </c>
      <c r="AE32" s="92">
        <v>201</v>
      </c>
      <c r="AF32" s="92">
        <v>217</v>
      </c>
      <c r="AG32" s="92">
        <v>209</v>
      </c>
      <c r="AH32" s="92">
        <f>AG32</f>
        <v>209</v>
      </c>
      <c r="AI32" s="127">
        <v>121</v>
      </c>
      <c r="AJ32" s="92">
        <v>125</v>
      </c>
      <c r="AK32" s="92">
        <v>123</v>
      </c>
      <c r="AL32" s="92">
        <v>134</v>
      </c>
      <c r="AM32" s="92">
        <v>115</v>
      </c>
      <c r="AN32" s="92">
        <v>123</v>
      </c>
      <c r="AO32" s="92">
        <v>114</v>
      </c>
      <c r="AP32" s="92">
        <v>131</v>
      </c>
      <c r="AQ32" s="92">
        <v>114</v>
      </c>
      <c r="AR32" s="92">
        <v>122</v>
      </c>
      <c r="AS32" s="92">
        <v>124</v>
      </c>
      <c r="AT32" s="92">
        <v>117</v>
      </c>
      <c r="AU32" s="92">
        <v>124</v>
      </c>
      <c r="AV32" s="92">
        <v>105</v>
      </c>
      <c r="AW32" s="92">
        <v>102</v>
      </c>
      <c r="AX32" s="92">
        <v>113</v>
      </c>
      <c r="AY32" s="92">
        <v>105</v>
      </c>
      <c r="AZ32" s="92">
        <v>103</v>
      </c>
      <c r="BA32" s="92">
        <v>104</v>
      </c>
      <c r="BB32" s="92">
        <v>103</v>
      </c>
      <c r="BC32" s="92">
        <v>99</v>
      </c>
      <c r="BD32" s="92">
        <v>100</v>
      </c>
      <c r="BE32" s="92">
        <v>34</v>
      </c>
      <c r="BF32" s="92">
        <v>25</v>
      </c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47"/>
      <c r="DB32" s="9" t="s">
        <v>440</v>
      </c>
      <c r="DC32" s="92" t="s">
        <v>440</v>
      </c>
      <c r="DD32" s="92">
        <v>484</v>
      </c>
      <c r="DE32" s="92">
        <f>SUM(O32:R32)</f>
        <v>559</v>
      </c>
      <c r="DF32" s="92">
        <f>SUM(S32:V32)</f>
        <v>616</v>
      </c>
      <c r="DG32" s="92">
        <f>SUM(W32:Z32)</f>
        <v>697</v>
      </c>
      <c r="DH32" s="92">
        <f>SUM(AA32:AD32)</f>
        <v>772</v>
      </c>
      <c r="DI32" s="92">
        <f>SUM(AE32:AH32)</f>
        <v>836</v>
      </c>
      <c r="DJ32" s="92">
        <f>SUM(AI32:AL32)</f>
        <v>503</v>
      </c>
      <c r="DK32" s="92">
        <f>SUM(AM32:AP32)</f>
        <v>483</v>
      </c>
      <c r="DL32" s="92">
        <f>SUM(AQ32:AT32)</f>
        <v>477</v>
      </c>
      <c r="DM32" s="92">
        <f>SUM(AU32:AX32)</f>
        <v>444</v>
      </c>
      <c r="DN32" s="92">
        <f>SUM(AY32:BB32)</f>
        <v>415</v>
      </c>
      <c r="DO32" s="92">
        <f>SUM(BC32:BF32)</f>
        <v>258</v>
      </c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C32" s="28"/>
    </row>
    <row r="33" spans="2:136" s="8" customFormat="1" ht="3.75" customHeight="1">
      <c r="B33" s="45" t="s">
        <v>754</v>
      </c>
      <c r="C33" s="9"/>
      <c r="D33" s="9"/>
      <c r="E33" s="9"/>
      <c r="F33" s="9"/>
      <c r="G33" s="7"/>
      <c r="H33" s="7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1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>
        <v>50</v>
      </c>
      <c r="BL33" s="92">
        <v>112</v>
      </c>
      <c r="BM33" s="92">
        <v>164</v>
      </c>
      <c r="BN33" s="92">
        <v>229</v>
      </c>
      <c r="BO33" s="92">
        <v>378</v>
      </c>
      <c r="BP33" s="92">
        <v>517</v>
      </c>
      <c r="BQ33" s="92">
        <v>468</v>
      </c>
      <c r="BR33" s="92">
        <v>296</v>
      </c>
      <c r="BS33" s="92">
        <v>131</v>
      </c>
      <c r="BT33" s="92">
        <v>113</v>
      </c>
      <c r="BU33" s="92">
        <v>104</v>
      </c>
      <c r="BV33" s="92">
        <v>108</v>
      </c>
      <c r="BW33" s="92">
        <v>114</v>
      </c>
      <c r="BX33" s="92">
        <v>108</v>
      </c>
      <c r="BY33" s="92">
        <v>83</v>
      </c>
      <c r="BZ33" s="92">
        <v>66</v>
      </c>
      <c r="CA33" s="92">
        <v>55</v>
      </c>
      <c r="CB33" s="92">
        <v>39</v>
      </c>
      <c r="CC33" s="94" t="s">
        <v>785</v>
      </c>
      <c r="CD33" s="92">
        <v>45</v>
      </c>
      <c r="CE33" s="92">
        <v>0</v>
      </c>
      <c r="CF33" s="92">
        <v>0</v>
      </c>
      <c r="CG33" s="92">
        <v>0</v>
      </c>
      <c r="CH33" s="92">
        <v>0</v>
      </c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47"/>
      <c r="DB33" s="9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>
        <f>SUM(BK33:BN33)</f>
        <v>555</v>
      </c>
      <c r="DR33" s="92">
        <f>SUM(BO33:BR33)</f>
        <v>1659</v>
      </c>
      <c r="DS33" s="92">
        <f>SUM(BS33:BV33)</f>
        <v>456</v>
      </c>
      <c r="DT33" s="92">
        <f>SUM(BW33:BZ33)</f>
        <v>371</v>
      </c>
      <c r="DU33" s="92">
        <f>SUM(CA33:CD33)</f>
        <v>139</v>
      </c>
      <c r="DV33" s="92"/>
      <c r="DW33" s="92"/>
      <c r="DX33" s="92"/>
      <c r="DY33" s="92"/>
      <c r="DZ33" s="92"/>
      <c r="EA33" s="92"/>
      <c r="EC33" s="28"/>
    </row>
    <row r="34" spans="2:136" s="8" customFormat="1" ht="0.75" customHeight="1">
      <c r="B34" s="45" t="s">
        <v>569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4" t="s">
        <v>530</v>
      </c>
      <c r="AE34" s="94" t="s">
        <v>531</v>
      </c>
      <c r="AF34" s="94" t="s">
        <v>553</v>
      </c>
      <c r="AG34" s="94" t="s">
        <v>547</v>
      </c>
      <c r="AH34" s="94" t="s">
        <v>529</v>
      </c>
      <c r="AI34" s="128" t="s">
        <v>519</v>
      </c>
      <c r="AJ34" s="94" t="s">
        <v>510</v>
      </c>
      <c r="AK34" s="94" t="s">
        <v>503</v>
      </c>
      <c r="AL34" s="92">
        <v>188</v>
      </c>
      <c r="AM34" s="92">
        <v>274</v>
      </c>
      <c r="AN34" s="92">
        <v>271</v>
      </c>
      <c r="AO34" s="92">
        <v>254</v>
      </c>
      <c r="AP34" s="92">
        <v>266</v>
      </c>
      <c r="AQ34" s="92">
        <v>248</v>
      </c>
      <c r="AR34" s="92">
        <v>234</v>
      </c>
      <c r="AS34" s="92">
        <v>223</v>
      </c>
      <c r="AT34" s="92">
        <v>230</v>
      </c>
      <c r="AU34" s="92">
        <v>237</v>
      </c>
      <c r="AV34" s="92">
        <v>225</v>
      </c>
      <c r="AW34" s="92">
        <v>227</v>
      </c>
      <c r="AX34" s="92">
        <v>229</v>
      </c>
      <c r="AY34" s="92">
        <v>216</v>
      </c>
      <c r="AZ34" s="92">
        <v>219</v>
      </c>
      <c r="BA34" s="92">
        <v>162</v>
      </c>
      <c r="BB34" s="92">
        <v>111</v>
      </c>
      <c r="BC34" s="92">
        <v>83</v>
      </c>
      <c r="BD34" s="92">
        <v>93</v>
      </c>
      <c r="BE34" s="92">
        <v>88</v>
      </c>
      <c r="BF34" s="92">
        <v>86</v>
      </c>
      <c r="BG34" s="92">
        <v>74</v>
      </c>
      <c r="BH34" s="92">
        <v>80</v>
      </c>
      <c r="BI34" s="92">
        <v>83</v>
      </c>
      <c r="BJ34" s="92">
        <v>75</v>
      </c>
      <c r="BK34" s="92">
        <v>66</v>
      </c>
      <c r="BL34" s="92">
        <v>73</v>
      </c>
      <c r="BM34" s="92">
        <v>78</v>
      </c>
      <c r="BN34" s="92">
        <v>67</v>
      </c>
      <c r="BO34" s="92">
        <v>66</v>
      </c>
      <c r="BP34" s="92">
        <v>65</v>
      </c>
      <c r="BQ34" s="92">
        <v>68</v>
      </c>
      <c r="BR34" s="92">
        <v>73</v>
      </c>
      <c r="BS34" s="92">
        <v>57</v>
      </c>
      <c r="BT34" s="92">
        <v>56</v>
      </c>
      <c r="BU34" s="92">
        <v>46</v>
      </c>
      <c r="BV34" s="92">
        <v>56</v>
      </c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47"/>
      <c r="DB34" s="92"/>
      <c r="DC34" s="92"/>
      <c r="DD34" s="92"/>
      <c r="DE34" s="92"/>
      <c r="DF34" s="92"/>
      <c r="DG34" s="92"/>
      <c r="DH34" s="92"/>
      <c r="DI34" s="94" t="s">
        <v>561</v>
      </c>
      <c r="DJ34" s="94" t="s">
        <v>560</v>
      </c>
      <c r="DK34" s="92">
        <f>SUM(AM34:AP34)</f>
        <v>1065</v>
      </c>
      <c r="DL34" s="92">
        <f t="shared" ref="DL34:DL39" si="105">SUM(AQ34:AT34)</f>
        <v>935</v>
      </c>
      <c r="DM34" s="92">
        <f t="shared" ref="DM34:DM39" si="106">SUM(AU34:AX34)</f>
        <v>918</v>
      </c>
      <c r="DN34" s="92">
        <f t="shared" ref="DN34:DN39" si="107">SUM(AY34:BB34)</f>
        <v>708</v>
      </c>
      <c r="DO34" s="92">
        <f t="shared" ref="DO34:DO39" si="108">SUM(BC34:BF34)</f>
        <v>350</v>
      </c>
      <c r="DP34" s="92">
        <f>SUM(BG34:BJ34)</f>
        <v>312</v>
      </c>
      <c r="DQ34" s="92">
        <f>SUM(BK34:BN34)</f>
        <v>284</v>
      </c>
      <c r="DR34" s="92">
        <f>SUM(BO34:BR34)</f>
        <v>272</v>
      </c>
      <c r="DS34" s="92">
        <f>SUM(BS34:BV34)</f>
        <v>215</v>
      </c>
      <c r="DT34" s="92"/>
      <c r="DU34" s="92"/>
      <c r="DV34" s="92"/>
      <c r="DW34" s="92"/>
      <c r="DX34" s="92"/>
      <c r="DY34" s="92"/>
      <c r="DZ34" s="92"/>
      <c r="EA34" s="92"/>
      <c r="EC34" s="28"/>
    </row>
    <row r="35" spans="2:136" s="8" customFormat="1" ht="0.75" customHeight="1">
      <c r="B35" s="45" t="s">
        <v>9</v>
      </c>
      <c r="C35" s="92">
        <v>1106.9466</v>
      </c>
      <c r="D35" s="92">
        <v>1106.9449999999999</v>
      </c>
      <c r="E35" s="92">
        <v>1348.01179</v>
      </c>
      <c r="F35" s="92">
        <v>1559.5255999999999</v>
      </c>
      <c r="G35" s="92">
        <v>1105</v>
      </c>
      <c r="H35" s="92">
        <v>1175</v>
      </c>
      <c r="I35" s="92">
        <v>1440</v>
      </c>
      <c r="J35" s="92">
        <v>1723</v>
      </c>
      <c r="K35" s="92">
        <v>1175</v>
      </c>
      <c r="L35" s="92">
        <v>1218</v>
      </c>
      <c r="M35" s="92">
        <v>1404.75</v>
      </c>
      <c r="N35" s="92">
        <v>1213.74</v>
      </c>
      <c r="O35" s="92">
        <v>1296</v>
      </c>
      <c r="P35" s="92">
        <v>1370</v>
      </c>
      <c r="Q35" s="92">
        <v>1221</v>
      </c>
      <c r="R35" s="92">
        <v>1311</v>
      </c>
      <c r="S35" s="92">
        <v>1106</v>
      </c>
      <c r="T35" s="92">
        <v>1151</v>
      </c>
      <c r="U35" s="92">
        <v>1050</v>
      </c>
      <c r="V35" s="92">
        <v>1074</v>
      </c>
      <c r="W35" s="92">
        <v>1063</v>
      </c>
      <c r="X35" s="92">
        <v>990</v>
      </c>
      <c r="Y35" s="92">
        <v>371</v>
      </c>
      <c r="Z35" s="92">
        <v>379</v>
      </c>
      <c r="AA35" s="92">
        <v>258</v>
      </c>
      <c r="AB35" s="92">
        <v>178</v>
      </c>
      <c r="AC35" s="92">
        <v>218</v>
      </c>
      <c r="AD35" s="92">
        <v>195</v>
      </c>
      <c r="AE35" s="92">
        <v>179</v>
      </c>
      <c r="AF35" s="92">
        <v>177</v>
      </c>
      <c r="AG35" s="92">
        <v>157</v>
      </c>
      <c r="AH35" s="92">
        <f>AG35*0.8</f>
        <v>125.60000000000001</v>
      </c>
      <c r="AI35" s="127">
        <v>137</v>
      </c>
      <c r="AJ35" s="92">
        <v>141</v>
      </c>
      <c r="AK35" s="92">
        <v>141</v>
      </c>
      <c r="AL35" s="92">
        <v>139</v>
      </c>
      <c r="AM35" s="92">
        <v>116</v>
      </c>
      <c r="AN35" s="92">
        <v>117</v>
      </c>
      <c r="AO35" s="92">
        <v>114</v>
      </c>
      <c r="AP35" s="92">
        <v>121</v>
      </c>
      <c r="AQ35" s="92">
        <v>127</v>
      </c>
      <c r="AR35" s="92">
        <v>107</v>
      </c>
      <c r="AS35" s="92">
        <v>110</v>
      </c>
      <c r="AT35" s="92">
        <v>111</v>
      </c>
      <c r="AU35" s="92">
        <v>103</v>
      </c>
      <c r="AV35" s="92">
        <v>96</v>
      </c>
      <c r="AW35" s="92">
        <v>86</v>
      </c>
      <c r="AX35" s="92">
        <v>98</v>
      </c>
      <c r="AY35" s="92">
        <v>82</v>
      </c>
      <c r="AZ35" s="92">
        <v>74</v>
      </c>
      <c r="BA35" s="92">
        <v>65</v>
      </c>
      <c r="BB35" s="92">
        <v>79</v>
      </c>
      <c r="BC35" s="92">
        <v>64</v>
      </c>
      <c r="BD35" s="92">
        <v>69</v>
      </c>
      <c r="BE35" s="92">
        <v>61</v>
      </c>
      <c r="BF35" s="92">
        <v>64</v>
      </c>
      <c r="BG35" s="92">
        <v>49</v>
      </c>
      <c r="BH35" s="92">
        <v>63</v>
      </c>
      <c r="BI35" s="92">
        <v>56</v>
      </c>
      <c r="BJ35" s="92">
        <v>49</v>
      </c>
      <c r="BK35" s="92">
        <v>46</v>
      </c>
      <c r="BL35" s="92">
        <v>50</v>
      </c>
      <c r="BM35" s="92">
        <v>54</v>
      </c>
      <c r="BN35" s="92">
        <v>37</v>
      </c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5"/>
      <c r="DB35" s="92">
        <v>5121</v>
      </c>
      <c r="DC35" s="92"/>
      <c r="DD35" s="92"/>
      <c r="DE35" s="92">
        <f>SUM(O35:R35)</f>
        <v>5198</v>
      </c>
      <c r="DF35" s="92">
        <f>SUM(S35:V35)</f>
        <v>4381</v>
      </c>
      <c r="DG35" s="92">
        <f>SUM(W35:Z35)</f>
        <v>2803</v>
      </c>
      <c r="DH35" s="92">
        <f>SUM(AA35:AD35)</f>
        <v>849</v>
      </c>
      <c r="DI35" s="92">
        <f>SUM(AE35:AH35)</f>
        <v>638.6</v>
      </c>
      <c r="DJ35" s="92">
        <f>SUM(AI35:AL35)</f>
        <v>558</v>
      </c>
      <c r="DK35" s="92">
        <f>SUM(AM35:AP35)</f>
        <v>468</v>
      </c>
      <c r="DL35" s="92">
        <f t="shared" si="105"/>
        <v>455</v>
      </c>
      <c r="DM35" s="92">
        <f t="shared" si="106"/>
        <v>383</v>
      </c>
      <c r="DN35" s="92">
        <f t="shared" si="107"/>
        <v>300</v>
      </c>
      <c r="DO35" s="92">
        <f t="shared" si="108"/>
        <v>258</v>
      </c>
      <c r="DP35" s="92">
        <f>SUM(BG35:BJ35)</f>
        <v>217</v>
      </c>
      <c r="DQ35" s="92">
        <f>SUM(BK35:BN35)</f>
        <v>187</v>
      </c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C35" s="28"/>
      <c r="EF35" s="97"/>
    </row>
    <row r="36" spans="2:136" s="8" customFormat="1" ht="0.75" customHeight="1">
      <c r="B36" s="45" t="s">
        <v>694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>
        <v>1</v>
      </c>
      <c r="AR36" s="92">
        <v>21</v>
      </c>
      <c r="AS36" s="92">
        <v>31</v>
      </c>
      <c r="AT36" s="92">
        <v>87</v>
      </c>
      <c r="AU36" s="92">
        <v>111</v>
      </c>
      <c r="AV36" s="92">
        <v>126</v>
      </c>
      <c r="AW36" s="92">
        <v>149</v>
      </c>
      <c r="AX36" s="92">
        <v>115</v>
      </c>
      <c r="AY36" s="92">
        <v>110</v>
      </c>
      <c r="AZ36" s="92">
        <v>116</v>
      </c>
      <c r="BA36" s="92">
        <v>121</v>
      </c>
      <c r="BB36" s="92">
        <v>81</v>
      </c>
      <c r="BC36" s="92">
        <v>59</v>
      </c>
      <c r="BD36" s="92">
        <v>46</v>
      </c>
      <c r="BE36" s="92">
        <v>27</v>
      </c>
      <c r="BF36" s="92">
        <v>21</v>
      </c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5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>
        <f t="shared" si="105"/>
        <v>140</v>
      </c>
      <c r="DM36" s="92">
        <f t="shared" si="106"/>
        <v>501</v>
      </c>
      <c r="DN36" s="92">
        <f t="shared" si="107"/>
        <v>428</v>
      </c>
      <c r="DO36" s="92">
        <f t="shared" si="108"/>
        <v>153</v>
      </c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C36" s="28"/>
      <c r="EF36" s="97"/>
    </row>
    <row r="37" spans="2:136" s="8" customFormat="1" ht="0.75" customHeight="1">
      <c r="B37" s="45" t="s">
        <v>631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4" t="s">
        <v>522</v>
      </c>
      <c r="AE37" s="94" t="s">
        <v>538</v>
      </c>
      <c r="AF37" s="94" t="s">
        <v>556</v>
      </c>
      <c r="AG37" s="94" t="s">
        <v>549</v>
      </c>
      <c r="AH37" s="94" t="s">
        <v>537</v>
      </c>
      <c r="AI37" s="128" t="s">
        <v>522</v>
      </c>
      <c r="AJ37" s="94" t="s">
        <v>513</v>
      </c>
      <c r="AK37" s="94" t="s">
        <v>504</v>
      </c>
      <c r="AL37" s="92">
        <v>101</v>
      </c>
      <c r="AM37" s="92">
        <f>49+125</f>
        <v>174</v>
      </c>
      <c r="AN37" s="92">
        <v>202</v>
      </c>
      <c r="AO37" s="92">
        <v>137</v>
      </c>
      <c r="AP37" s="92">
        <v>146</v>
      </c>
      <c r="AQ37" s="92">
        <v>155</v>
      </c>
      <c r="AR37" s="92">
        <v>209</v>
      </c>
      <c r="AS37" s="92">
        <v>128</v>
      </c>
      <c r="AT37" s="92">
        <v>129</v>
      </c>
      <c r="AU37" s="92">
        <v>134</v>
      </c>
      <c r="AV37" s="92">
        <v>140</v>
      </c>
      <c r="AW37" s="92">
        <v>64</v>
      </c>
      <c r="AX37" s="92">
        <v>56</v>
      </c>
      <c r="AY37" s="92">
        <v>61</v>
      </c>
      <c r="AZ37" s="92">
        <v>64</v>
      </c>
      <c r="BA37" s="92">
        <v>54</v>
      </c>
      <c r="BB37" s="92">
        <v>55</v>
      </c>
      <c r="BC37" s="92">
        <v>62</v>
      </c>
      <c r="BD37" s="92">
        <v>69</v>
      </c>
      <c r="BE37" s="92">
        <v>49</v>
      </c>
      <c r="BF37" s="92">
        <v>52</v>
      </c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47"/>
      <c r="DB37" s="92"/>
      <c r="DC37" s="92"/>
      <c r="DD37" s="92"/>
      <c r="DE37" s="92"/>
      <c r="DF37" s="92"/>
      <c r="DG37" s="92"/>
      <c r="DH37" s="92"/>
      <c r="DI37" s="92"/>
      <c r="DJ37" s="92"/>
      <c r="DK37" s="92">
        <f>SUM(AM37:AP37)</f>
        <v>659</v>
      </c>
      <c r="DL37" s="92">
        <f t="shared" si="105"/>
        <v>621</v>
      </c>
      <c r="DM37" s="92">
        <f t="shared" si="106"/>
        <v>394</v>
      </c>
      <c r="DN37" s="92">
        <f t="shared" si="107"/>
        <v>234</v>
      </c>
      <c r="DO37" s="92">
        <f t="shared" si="108"/>
        <v>232</v>
      </c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C37" s="28"/>
      <c r="EF37" s="81"/>
    </row>
    <row r="38" spans="2:136" s="39" customFormat="1" ht="0.75" customHeight="1">
      <c r="B38" s="44" t="s">
        <v>106</v>
      </c>
      <c r="C38" s="40"/>
      <c r="D38" s="40"/>
      <c r="E38" s="40"/>
      <c r="F38" s="40"/>
      <c r="G38" s="40"/>
      <c r="H38" s="40"/>
      <c r="I38" s="92"/>
      <c r="J38" s="92"/>
      <c r="K38" s="92"/>
      <c r="L38" s="92"/>
      <c r="M38" s="92"/>
      <c r="N38" s="92"/>
      <c r="O38" s="92">
        <v>88</v>
      </c>
      <c r="P38" s="92">
        <v>101</v>
      </c>
      <c r="Q38" s="92">
        <v>109</v>
      </c>
      <c r="R38" s="92">
        <v>132</v>
      </c>
      <c r="S38" s="92">
        <v>130</v>
      </c>
      <c r="T38" s="92">
        <v>140</v>
      </c>
      <c r="U38" s="92">
        <v>142</v>
      </c>
      <c r="V38" s="92">
        <v>157</v>
      </c>
      <c r="W38" s="92">
        <v>146</v>
      </c>
      <c r="X38" s="92">
        <v>124</v>
      </c>
      <c r="Y38" s="92">
        <v>127</v>
      </c>
      <c r="Z38" s="92">
        <v>133</v>
      </c>
      <c r="AA38" s="92">
        <v>134</v>
      </c>
      <c r="AB38" s="92">
        <v>123</v>
      </c>
      <c r="AC38" s="91">
        <v>135</v>
      </c>
      <c r="AD38" s="92">
        <f>AC38</f>
        <v>135</v>
      </c>
      <c r="AE38" s="92">
        <v>149</v>
      </c>
      <c r="AF38" s="92">
        <v>161</v>
      </c>
      <c r="AG38" s="92">
        <v>148</v>
      </c>
      <c r="AH38" s="92">
        <f>AG38</f>
        <v>148</v>
      </c>
      <c r="AI38" s="127">
        <v>139</v>
      </c>
      <c r="AJ38" s="92">
        <v>149</v>
      </c>
      <c r="AK38" s="92">
        <v>155</v>
      </c>
      <c r="AL38" s="92">
        <v>175</v>
      </c>
      <c r="AM38" s="92">
        <v>153</v>
      </c>
      <c r="AN38" s="92">
        <v>150</v>
      </c>
      <c r="AO38" s="92">
        <v>135</v>
      </c>
      <c r="AP38" s="92">
        <v>174</v>
      </c>
      <c r="AQ38" s="92">
        <v>158</v>
      </c>
      <c r="AR38" s="92">
        <v>168</v>
      </c>
      <c r="AS38" s="92">
        <v>150</v>
      </c>
      <c r="AT38" s="92">
        <v>164</v>
      </c>
      <c r="AU38" s="92">
        <v>145</v>
      </c>
      <c r="AV38" s="92">
        <v>166</v>
      </c>
      <c r="AW38" s="92">
        <v>163</v>
      </c>
      <c r="AX38" s="92">
        <v>145</v>
      </c>
      <c r="AY38" s="92">
        <v>162</v>
      </c>
      <c r="AZ38" s="92">
        <v>163</v>
      </c>
      <c r="BA38" s="92">
        <v>151</v>
      </c>
      <c r="BB38" s="92">
        <v>183</v>
      </c>
      <c r="BC38" s="92">
        <v>166</v>
      </c>
      <c r="BD38" s="92">
        <v>156</v>
      </c>
      <c r="BE38" s="92">
        <v>183</v>
      </c>
      <c r="BF38" s="92">
        <v>175</v>
      </c>
      <c r="BG38" s="92">
        <v>163</v>
      </c>
      <c r="BH38" s="92">
        <v>134</v>
      </c>
      <c r="BI38" s="92">
        <v>139</v>
      </c>
      <c r="BJ38" s="92">
        <v>137</v>
      </c>
      <c r="BK38" s="92">
        <v>133</v>
      </c>
      <c r="BL38" s="92">
        <v>131</v>
      </c>
      <c r="BM38" s="92">
        <v>142</v>
      </c>
      <c r="BN38" s="92">
        <v>152</v>
      </c>
      <c r="BO38" s="92">
        <v>121</v>
      </c>
      <c r="BP38" s="92">
        <v>112</v>
      </c>
      <c r="BQ38" s="92">
        <v>94</v>
      </c>
      <c r="BR38" s="92">
        <v>95</v>
      </c>
      <c r="BS38" s="92">
        <v>91</v>
      </c>
      <c r="BT38" s="92">
        <v>87</v>
      </c>
      <c r="BU38" s="92">
        <v>79</v>
      </c>
      <c r="BV38" s="92">
        <v>69</v>
      </c>
      <c r="BW38" s="92">
        <v>61</v>
      </c>
      <c r="BX38" s="92">
        <v>67</v>
      </c>
      <c r="BY38" s="92">
        <v>62</v>
      </c>
      <c r="BZ38" s="92">
        <v>58</v>
      </c>
      <c r="CA38" s="92">
        <v>55</v>
      </c>
      <c r="CB38" s="92">
        <v>43</v>
      </c>
      <c r="CC38" s="92">
        <v>50</v>
      </c>
      <c r="CD38" s="92">
        <v>65</v>
      </c>
      <c r="CE38" s="92">
        <v>57</v>
      </c>
      <c r="CF38" s="92">
        <v>54</v>
      </c>
      <c r="CG38" s="92">
        <v>56</v>
      </c>
      <c r="CH38" s="92">
        <v>45</v>
      </c>
      <c r="CI38" s="92">
        <v>53</v>
      </c>
      <c r="CJ38" s="92">
        <v>42</v>
      </c>
      <c r="CK38" s="92">
        <v>43</v>
      </c>
      <c r="CL38" s="92">
        <v>36</v>
      </c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46"/>
      <c r="DB38" s="40" t="s">
        <v>440</v>
      </c>
      <c r="DC38" s="92" t="s">
        <v>440</v>
      </c>
      <c r="DD38" s="92">
        <v>276</v>
      </c>
      <c r="DE38" s="92">
        <f>SUM(O38:R38)</f>
        <v>430</v>
      </c>
      <c r="DF38" s="92">
        <f>SUM(S38:V38)</f>
        <v>569</v>
      </c>
      <c r="DG38" s="92">
        <f>SUM(W38:Z38)</f>
        <v>530</v>
      </c>
      <c r="DH38" s="92">
        <f>SUM(AA38:AD38)</f>
        <v>527</v>
      </c>
      <c r="DI38" s="92">
        <f>SUM(AE38:AH38)</f>
        <v>606</v>
      </c>
      <c r="DJ38" s="92">
        <f>SUM(AI38:AL38)</f>
        <v>618</v>
      </c>
      <c r="DK38" s="92">
        <f>SUM(AM38:AP38)</f>
        <v>612</v>
      </c>
      <c r="DL38" s="92">
        <f t="shared" si="105"/>
        <v>640</v>
      </c>
      <c r="DM38" s="92">
        <f t="shared" si="106"/>
        <v>619</v>
      </c>
      <c r="DN38" s="92">
        <f t="shared" si="107"/>
        <v>659</v>
      </c>
      <c r="DO38" s="92">
        <f t="shared" si="108"/>
        <v>680</v>
      </c>
      <c r="DP38" s="92">
        <f>SUM(BG38:BJ38)</f>
        <v>573</v>
      </c>
      <c r="DQ38" s="92">
        <f>SUM(BK38:BN38)</f>
        <v>558</v>
      </c>
      <c r="DR38" s="92">
        <f>SUM(BO38:BR38)</f>
        <v>422</v>
      </c>
      <c r="DS38" s="92">
        <f>SUM(BS38:BV38)</f>
        <v>326</v>
      </c>
      <c r="DT38" s="92">
        <f>SUM(BW38:BZ38)</f>
        <v>248</v>
      </c>
      <c r="DU38" s="92">
        <f>SUM(CA38:CD38)</f>
        <v>213</v>
      </c>
      <c r="DV38" s="92">
        <f>SUM(CE38:CH38)</f>
        <v>212</v>
      </c>
      <c r="DW38" s="92">
        <f>SUM(CI38:CL38)</f>
        <v>174</v>
      </c>
      <c r="DX38" s="92"/>
      <c r="DY38" s="92"/>
      <c r="DZ38" s="92"/>
      <c r="EA38" s="92"/>
      <c r="EC38" s="28"/>
    </row>
    <row r="39" spans="2:136" s="8" customFormat="1" ht="0.75" customHeight="1">
      <c r="B39" s="45" t="s">
        <v>567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4" t="s">
        <v>536</v>
      </c>
      <c r="AE39" s="94" t="s">
        <v>535</v>
      </c>
      <c r="AF39" s="94" t="s">
        <v>555</v>
      </c>
      <c r="AG39" s="94" t="s">
        <v>548</v>
      </c>
      <c r="AH39" s="94" t="s">
        <v>535</v>
      </c>
      <c r="AI39" s="128" t="s">
        <v>521</v>
      </c>
      <c r="AJ39" s="94" t="s">
        <v>512</v>
      </c>
      <c r="AK39" s="94" t="s">
        <v>501</v>
      </c>
      <c r="AL39" s="92">
        <v>216</v>
      </c>
      <c r="AM39" s="92">
        <v>186</v>
      </c>
      <c r="AN39" s="92">
        <v>185</v>
      </c>
      <c r="AO39" s="92">
        <v>168</v>
      </c>
      <c r="AP39" s="92">
        <v>198</v>
      </c>
      <c r="AQ39" s="92">
        <v>166</v>
      </c>
      <c r="AR39" s="92">
        <v>154</v>
      </c>
      <c r="AS39" s="92">
        <v>163</v>
      </c>
      <c r="AT39" s="92">
        <v>175</v>
      </c>
      <c r="AU39" s="92">
        <v>162</v>
      </c>
      <c r="AV39" s="92">
        <v>183</v>
      </c>
      <c r="AW39" s="92">
        <v>165</v>
      </c>
      <c r="AX39" s="92">
        <v>143</v>
      </c>
      <c r="AY39" s="92">
        <v>126</v>
      </c>
      <c r="AZ39" s="92">
        <v>142</v>
      </c>
      <c r="BA39" s="92">
        <v>104</v>
      </c>
      <c r="BB39" s="92">
        <v>124</v>
      </c>
      <c r="BC39" s="92">
        <v>112</v>
      </c>
      <c r="BD39" s="92">
        <v>103</v>
      </c>
      <c r="BE39" s="92">
        <v>84</v>
      </c>
      <c r="BF39" s="92">
        <v>81</v>
      </c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47"/>
      <c r="DB39" s="92"/>
      <c r="DC39" s="92"/>
      <c r="DD39" s="92"/>
      <c r="DE39" s="92"/>
      <c r="DF39" s="92"/>
      <c r="DG39" s="92"/>
      <c r="DH39" s="92"/>
      <c r="DI39" s="94" t="s">
        <v>566</v>
      </c>
      <c r="DJ39" s="94" t="s">
        <v>565</v>
      </c>
      <c r="DK39" s="92">
        <f t="shared" ref="DK39:DK42" si="109">SUM(AM39:AP39)</f>
        <v>737</v>
      </c>
      <c r="DL39" s="92">
        <f t="shared" si="105"/>
        <v>658</v>
      </c>
      <c r="DM39" s="92">
        <f t="shared" si="106"/>
        <v>653</v>
      </c>
      <c r="DN39" s="92">
        <f t="shared" si="107"/>
        <v>496</v>
      </c>
      <c r="DO39" s="92">
        <f t="shared" si="108"/>
        <v>380</v>
      </c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C39" s="28"/>
      <c r="EF39" s="81"/>
    </row>
    <row r="40" spans="2:136" s="8" customFormat="1" ht="0.75" customHeight="1">
      <c r="B40" s="45" t="s">
        <v>753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4"/>
      <c r="AE40" s="94"/>
      <c r="AF40" s="94"/>
      <c r="AG40" s="94"/>
      <c r="AH40" s="94"/>
      <c r="AI40" s="94"/>
      <c r="AJ40" s="94"/>
      <c r="AK40" s="94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>
        <v>187</v>
      </c>
      <c r="BH40" s="92">
        <v>293</v>
      </c>
      <c r="BI40" s="92">
        <v>325</v>
      </c>
      <c r="BJ40" s="92">
        <v>322</v>
      </c>
      <c r="BK40" s="92">
        <v>292</v>
      </c>
      <c r="BL40" s="92">
        <v>357</v>
      </c>
      <c r="BM40" s="92">
        <v>320</v>
      </c>
      <c r="BN40" s="92">
        <v>119</v>
      </c>
      <c r="BO40" s="92">
        <v>96</v>
      </c>
      <c r="BP40" s="92">
        <v>103</v>
      </c>
      <c r="BQ40" s="92">
        <v>91</v>
      </c>
      <c r="BR40" s="92">
        <v>92</v>
      </c>
      <c r="BS40" s="92">
        <v>98</v>
      </c>
      <c r="BT40" s="92">
        <v>94</v>
      </c>
      <c r="BU40" s="92">
        <v>95</v>
      </c>
      <c r="BV40" s="92">
        <v>80</v>
      </c>
      <c r="BW40" s="92">
        <v>88</v>
      </c>
      <c r="BX40" s="92">
        <v>67</v>
      </c>
      <c r="BY40" s="92">
        <v>52</v>
      </c>
      <c r="BZ40" s="92">
        <v>50</v>
      </c>
      <c r="CA40" s="92">
        <v>46</v>
      </c>
      <c r="CB40" s="92">
        <v>32</v>
      </c>
      <c r="CC40" s="94" t="s">
        <v>625</v>
      </c>
      <c r="CD40" s="92">
        <v>36</v>
      </c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47"/>
      <c r="DB40" s="92"/>
      <c r="DC40" s="92"/>
      <c r="DD40" s="92"/>
      <c r="DE40" s="92"/>
      <c r="DF40" s="92"/>
      <c r="DG40" s="92"/>
      <c r="DH40" s="92"/>
      <c r="DI40" s="94"/>
      <c r="DJ40" s="94"/>
      <c r="DK40" s="92"/>
      <c r="DL40" s="92"/>
      <c r="DM40" s="92"/>
      <c r="DN40" s="92"/>
      <c r="DO40" s="92"/>
      <c r="DP40" s="92">
        <f t="shared" ref="DP40:DP51" si="110">SUM(BG40:BJ40)</f>
        <v>1127</v>
      </c>
      <c r="DQ40" s="92">
        <f t="shared" ref="DQ40:DQ51" si="111">SUM(BK40:BN40)</f>
        <v>1088</v>
      </c>
      <c r="DR40" s="92">
        <f t="shared" ref="DR40:DR54" si="112">SUM(BO40:BR40)</f>
        <v>382</v>
      </c>
      <c r="DS40" s="92">
        <f t="shared" ref="DS40:DS54" si="113">SUM(BS40:BV40)</f>
        <v>367</v>
      </c>
      <c r="DT40" s="92">
        <f>SUM(BW40:BZ40)</f>
        <v>257</v>
      </c>
      <c r="DU40" s="92">
        <f>SUM(CA40:CD40)</f>
        <v>114</v>
      </c>
      <c r="DV40" s="92"/>
      <c r="DW40" s="92"/>
      <c r="DX40" s="92"/>
      <c r="DY40" s="92"/>
      <c r="DZ40" s="92"/>
      <c r="EA40" s="92"/>
      <c r="EC40" s="28"/>
      <c r="EF40" s="81"/>
    </row>
    <row r="41" spans="2:136" s="8" customFormat="1" ht="0.75" customHeight="1">
      <c r="B41" s="45" t="s">
        <v>617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4" t="s">
        <v>540</v>
      </c>
      <c r="AE41" s="94" t="s">
        <v>514</v>
      </c>
      <c r="AF41" s="94" t="s">
        <v>557</v>
      </c>
      <c r="AG41" s="94" t="s">
        <v>550</v>
      </c>
      <c r="AH41" s="94" t="s">
        <v>539</v>
      </c>
      <c r="AI41" s="128" t="s">
        <v>506</v>
      </c>
      <c r="AJ41" s="94" t="s">
        <v>514</v>
      </c>
      <c r="AK41" s="94" t="s">
        <v>505</v>
      </c>
      <c r="AL41" s="92">
        <v>96</v>
      </c>
      <c r="AM41" s="92">
        <v>134</v>
      </c>
      <c r="AN41" s="92">
        <v>137</v>
      </c>
      <c r="AO41" s="92">
        <v>119</v>
      </c>
      <c r="AP41" s="92">
        <v>138</v>
      </c>
      <c r="AQ41" s="92">
        <v>133</v>
      </c>
      <c r="AR41" s="92">
        <v>143</v>
      </c>
      <c r="AS41" s="92">
        <v>129</v>
      </c>
      <c r="AT41" s="92">
        <v>126</v>
      </c>
      <c r="AU41" s="92">
        <v>116</v>
      </c>
      <c r="AV41" s="92">
        <v>125</v>
      </c>
      <c r="AW41" s="92">
        <v>111</v>
      </c>
      <c r="AX41" s="92">
        <v>116</v>
      </c>
      <c r="AY41" s="92">
        <v>122</v>
      </c>
      <c r="AZ41" s="92">
        <v>134</v>
      </c>
      <c r="BA41" s="92">
        <v>124</v>
      </c>
      <c r="BB41" s="92">
        <v>101</v>
      </c>
      <c r="BC41" s="92">
        <v>110</v>
      </c>
      <c r="BD41" s="92">
        <v>102</v>
      </c>
      <c r="BE41" s="92">
        <v>97</v>
      </c>
      <c r="BF41" s="92">
        <v>102</v>
      </c>
      <c r="BG41" s="92">
        <v>82</v>
      </c>
      <c r="BH41" s="92">
        <v>111</v>
      </c>
      <c r="BI41" s="92">
        <v>95</v>
      </c>
      <c r="BJ41" s="92">
        <v>95</v>
      </c>
      <c r="BK41" s="92">
        <v>94</v>
      </c>
      <c r="BL41" s="92">
        <v>73</v>
      </c>
      <c r="BM41" s="92">
        <v>101</v>
      </c>
      <c r="BN41" s="92">
        <v>87</v>
      </c>
      <c r="BO41" s="92">
        <v>81</v>
      </c>
      <c r="BP41" s="92">
        <v>79</v>
      </c>
      <c r="BQ41" s="92">
        <v>72</v>
      </c>
      <c r="BR41" s="92">
        <v>66</v>
      </c>
      <c r="BS41" s="92">
        <v>67</v>
      </c>
      <c r="BT41" s="92">
        <v>70</v>
      </c>
      <c r="BU41" s="92">
        <v>60</v>
      </c>
      <c r="BV41" s="92">
        <v>70</v>
      </c>
      <c r="BW41" s="92">
        <v>57</v>
      </c>
      <c r="BX41" s="92">
        <v>63</v>
      </c>
      <c r="BY41" s="92">
        <v>62</v>
      </c>
      <c r="BZ41" s="92">
        <v>58</v>
      </c>
      <c r="CA41" s="92">
        <v>41</v>
      </c>
      <c r="CB41" s="92">
        <v>44</v>
      </c>
      <c r="CC41" s="94" t="s">
        <v>622</v>
      </c>
      <c r="CD41" s="92">
        <v>57</v>
      </c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47"/>
      <c r="DB41" s="92"/>
      <c r="DC41" s="92"/>
      <c r="DD41" s="92"/>
      <c r="DE41" s="92"/>
      <c r="DF41" s="92"/>
      <c r="DG41" s="92"/>
      <c r="DH41" s="92"/>
      <c r="DI41" s="92"/>
      <c r="DJ41" s="92"/>
      <c r="DK41" s="92">
        <f t="shared" si="109"/>
        <v>528</v>
      </c>
      <c r="DL41" s="92">
        <f t="shared" ref="DL41:DL51" si="114">SUM(AQ41:AT41)</f>
        <v>531</v>
      </c>
      <c r="DM41" s="92">
        <f t="shared" ref="DM41:DM51" si="115">SUM(AU41:AX41)</f>
        <v>468</v>
      </c>
      <c r="DN41" s="92">
        <f t="shared" ref="DN41:DN51" si="116">SUM(AY41:BB41)</f>
        <v>481</v>
      </c>
      <c r="DO41" s="92">
        <f t="shared" ref="DO41:DO51" si="117">SUM(BC41:BF41)</f>
        <v>411</v>
      </c>
      <c r="DP41" s="92">
        <f t="shared" si="110"/>
        <v>383</v>
      </c>
      <c r="DQ41" s="92">
        <f t="shared" si="111"/>
        <v>355</v>
      </c>
      <c r="DR41" s="92">
        <f t="shared" si="112"/>
        <v>298</v>
      </c>
      <c r="DS41" s="92">
        <f t="shared" si="113"/>
        <v>267</v>
      </c>
      <c r="DT41" s="92">
        <f>SUM(BW41:BZ41)</f>
        <v>240</v>
      </c>
      <c r="DU41" s="92">
        <f>SUM(CA41:CD41)</f>
        <v>142</v>
      </c>
      <c r="DV41" s="92"/>
      <c r="DW41" s="92"/>
      <c r="DX41" s="92"/>
      <c r="DY41" s="92"/>
      <c r="DZ41" s="92"/>
      <c r="EA41" s="92"/>
      <c r="EC41" s="28"/>
    </row>
    <row r="42" spans="2:136" s="8" customFormat="1" ht="0.75" customHeight="1">
      <c r="B42" s="45" t="s">
        <v>610</v>
      </c>
      <c r="C42" s="9"/>
      <c r="D42" s="9"/>
      <c r="E42" s="9"/>
      <c r="F42" s="9"/>
      <c r="G42" s="7"/>
      <c r="H42" s="7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128" t="s">
        <v>626</v>
      </c>
      <c r="AJ42" s="92">
        <v>43</v>
      </c>
      <c r="AK42" s="92">
        <v>45</v>
      </c>
      <c r="AL42" s="92">
        <v>53</v>
      </c>
      <c r="AM42" s="92">
        <v>51</v>
      </c>
      <c r="AN42" s="92">
        <v>51</v>
      </c>
      <c r="AO42" s="92">
        <v>64</v>
      </c>
      <c r="AP42" s="92">
        <v>71</v>
      </c>
      <c r="AQ42" s="92">
        <v>60</v>
      </c>
      <c r="AR42" s="92">
        <v>81</v>
      </c>
      <c r="AS42" s="92">
        <v>80</v>
      </c>
      <c r="AT42" s="92">
        <v>74</v>
      </c>
      <c r="AU42" s="92">
        <v>76</v>
      </c>
      <c r="AV42" s="92">
        <v>85</v>
      </c>
      <c r="AW42" s="92">
        <v>93</v>
      </c>
      <c r="AX42" s="92">
        <v>94</v>
      </c>
      <c r="AY42" s="92">
        <v>84</v>
      </c>
      <c r="AZ42" s="92">
        <v>102</v>
      </c>
      <c r="BA42" s="92">
        <v>96</v>
      </c>
      <c r="BB42" s="92">
        <v>120</v>
      </c>
      <c r="BC42" s="92">
        <v>102</v>
      </c>
      <c r="BD42" s="92">
        <v>119</v>
      </c>
      <c r="BE42" s="92">
        <v>158</v>
      </c>
      <c r="BF42" s="92">
        <v>123</v>
      </c>
      <c r="BG42" s="92">
        <v>137</v>
      </c>
      <c r="BH42" s="92">
        <v>124</v>
      </c>
      <c r="BI42" s="92">
        <v>176</v>
      </c>
      <c r="BJ42" s="92">
        <v>151</v>
      </c>
      <c r="BK42" s="92">
        <v>134</v>
      </c>
      <c r="BL42" s="92">
        <v>164</v>
      </c>
      <c r="BM42" s="92">
        <v>148</v>
      </c>
      <c r="BN42" s="92">
        <v>160</v>
      </c>
      <c r="BO42" s="92">
        <v>170</v>
      </c>
      <c r="BP42" s="92">
        <v>178</v>
      </c>
      <c r="BQ42" s="92">
        <v>155</v>
      </c>
      <c r="BR42" s="92">
        <v>183</v>
      </c>
      <c r="BS42" s="92">
        <v>174</v>
      </c>
      <c r="BT42" s="92">
        <v>174</v>
      </c>
      <c r="BU42" s="92">
        <v>186</v>
      </c>
      <c r="BV42" s="92">
        <v>169</v>
      </c>
      <c r="BW42" s="92">
        <v>199</v>
      </c>
      <c r="BX42" s="92">
        <v>183</v>
      </c>
      <c r="BY42" s="92">
        <v>199</v>
      </c>
      <c r="BZ42" s="92">
        <v>206</v>
      </c>
      <c r="CA42" s="92">
        <v>195</v>
      </c>
      <c r="CB42" s="92">
        <v>132</v>
      </c>
      <c r="CC42" s="94" t="s">
        <v>780</v>
      </c>
      <c r="CD42" s="92">
        <v>165</v>
      </c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47"/>
      <c r="DB42" s="9"/>
      <c r="DC42" s="92"/>
      <c r="DD42" s="92"/>
      <c r="DE42" s="92"/>
      <c r="DF42" s="92"/>
      <c r="DG42" s="92"/>
      <c r="DH42" s="92"/>
      <c r="DI42" s="92"/>
      <c r="DJ42" s="92"/>
      <c r="DK42" s="92">
        <f t="shared" si="109"/>
        <v>237</v>
      </c>
      <c r="DL42" s="92">
        <f t="shared" si="114"/>
        <v>295</v>
      </c>
      <c r="DM42" s="92">
        <f t="shared" si="115"/>
        <v>348</v>
      </c>
      <c r="DN42" s="92">
        <f t="shared" si="116"/>
        <v>402</v>
      </c>
      <c r="DO42" s="92">
        <f t="shared" si="117"/>
        <v>502</v>
      </c>
      <c r="DP42" s="92">
        <f t="shared" si="110"/>
        <v>588</v>
      </c>
      <c r="DQ42" s="92">
        <f t="shared" si="111"/>
        <v>606</v>
      </c>
      <c r="DR42" s="92">
        <f t="shared" si="112"/>
        <v>686</v>
      </c>
      <c r="DS42" s="92">
        <f t="shared" si="113"/>
        <v>703</v>
      </c>
      <c r="DT42" s="92">
        <f>SUM(BW42:BZ42)</f>
        <v>787</v>
      </c>
      <c r="DU42" s="92">
        <f>SUM(CA42:CD42)</f>
        <v>492</v>
      </c>
      <c r="DV42" s="92"/>
      <c r="DW42" s="92"/>
      <c r="DX42" s="92"/>
      <c r="DY42" s="92"/>
      <c r="DZ42" s="92"/>
      <c r="EA42" s="92"/>
      <c r="EC42" s="28"/>
    </row>
    <row r="43" spans="2:136" s="8" customFormat="1" ht="0.75" customHeight="1">
      <c r="B43" s="45" t="s">
        <v>674</v>
      </c>
      <c r="C43" s="9"/>
      <c r="D43" s="9"/>
      <c r="E43" s="9"/>
      <c r="F43" s="9"/>
      <c r="G43" s="7"/>
      <c r="H43" s="7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1"/>
      <c r="AD43" s="92"/>
      <c r="AE43" s="92"/>
      <c r="AF43" s="92"/>
      <c r="AG43" s="92"/>
      <c r="AH43" s="92"/>
      <c r="AI43" s="94"/>
      <c r="AJ43" s="92"/>
      <c r="AK43" s="92"/>
      <c r="AL43" s="92"/>
      <c r="AM43" s="92"/>
      <c r="AN43" s="92"/>
      <c r="AO43" s="92"/>
      <c r="AP43" s="92"/>
      <c r="AQ43" s="92">
        <v>13</v>
      </c>
      <c r="AR43" s="92">
        <v>25</v>
      </c>
      <c r="AS43" s="92">
        <v>22</v>
      </c>
      <c r="AT43" s="92">
        <v>37</v>
      </c>
      <c r="AU43" s="92">
        <v>39</v>
      </c>
      <c r="AV43" s="92">
        <v>50</v>
      </c>
      <c r="AW43" s="92">
        <v>52</v>
      </c>
      <c r="AX43" s="92">
        <v>67</v>
      </c>
      <c r="AY43" s="92">
        <v>68</v>
      </c>
      <c r="AZ43" s="92">
        <v>79</v>
      </c>
      <c r="BA43" s="92">
        <v>82</v>
      </c>
      <c r="BB43" s="92">
        <v>95</v>
      </c>
      <c r="BC43" s="92">
        <v>102</v>
      </c>
      <c r="BD43" s="92">
        <v>103</v>
      </c>
      <c r="BE43" s="92">
        <v>124</v>
      </c>
      <c r="BF43" s="92">
        <v>132</v>
      </c>
      <c r="BG43" s="92">
        <v>130</v>
      </c>
      <c r="BH43" s="92">
        <v>120</v>
      </c>
      <c r="BI43" s="92">
        <v>133</v>
      </c>
      <c r="BJ43" s="92">
        <v>153</v>
      </c>
      <c r="BK43" s="92">
        <v>113</v>
      </c>
      <c r="BL43" s="92">
        <v>121</v>
      </c>
      <c r="BM43" s="92">
        <v>97</v>
      </c>
      <c r="BN43" s="92">
        <v>105</v>
      </c>
      <c r="BO43" s="92">
        <v>82</v>
      </c>
      <c r="BP43" s="92">
        <v>69</v>
      </c>
      <c r="BQ43" s="92">
        <v>59</v>
      </c>
      <c r="BR43" s="92">
        <v>77</v>
      </c>
      <c r="BS43" s="92">
        <v>57</v>
      </c>
      <c r="BT43" s="92">
        <v>42</v>
      </c>
      <c r="BU43" s="92">
        <v>50</v>
      </c>
      <c r="BV43" s="92">
        <v>65</v>
      </c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47"/>
      <c r="DB43" s="9"/>
      <c r="DC43" s="96"/>
      <c r="DD43" s="92"/>
      <c r="DE43" s="92"/>
      <c r="DF43" s="92"/>
      <c r="DG43" s="92"/>
      <c r="DH43" s="92"/>
      <c r="DI43" s="92"/>
      <c r="DJ43" s="92"/>
      <c r="DK43" s="92"/>
      <c r="DL43" s="92">
        <f t="shared" si="114"/>
        <v>97</v>
      </c>
      <c r="DM43" s="92">
        <f t="shared" si="115"/>
        <v>208</v>
      </c>
      <c r="DN43" s="92">
        <f t="shared" si="116"/>
        <v>324</v>
      </c>
      <c r="DO43" s="92">
        <f t="shared" si="117"/>
        <v>461</v>
      </c>
      <c r="DP43" s="92">
        <f t="shared" si="110"/>
        <v>536</v>
      </c>
      <c r="DQ43" s="92">
        <f t="shared" si="111"/>
        <v>436</v>
      </c>
      <c r="DR43" s="92">
        <f t="shared" si="112"/>
        <v>287</v>
      </c>
      <c r="DS43" s="92">
        <f t="shared" si="113"/>
        <v>214</v>
      </c>
      <c r="DT43" s="92"/>
      <c r="DU43" s="92"/>
      <c r="DV43" s="92"/>
      <c r="DW43" s="92"/>
      <c r="DX43" s="92"/>
      <c r="DY43" s="92"/>
      <c r="DZ43" s="92"/>
      <c r="EA43" s="92"/>
      <c r="EC43" s="28"/>
    </row>
    <row r="44" spans="2:136" s="8" customFormat="1" ht="0.75" customHeight="1">
      <c r="B44" s="45" t="s">
        <v>128</v>
      </c>
      <c r="C44" s="9"/>
      <c r="D44" s="9"/>
      <c r="E44" s="9"/>
      <c r="F44" s="9"/>
      <c r="G44" s="7"/>
      <c r="H44" s="7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>
        <v>1</v>
      </c>
      <c r="Y44" s="92">
        <v>10</v>
      </c>
      <c r="Z44" s="92">
        <v>27</v>
      </c>
      <c r="AA44" s="92">
        <v>43</v>
      </c>
      <c r="AB44" s="92">
        <v>47</v>
      </c>
      <c r="AC44" s="91">
        <v>61</v>
      </c>
      <c r="AD44" s="92">
        <v>80</v>
      </c>
      <c r="AE44" s="92">
        <v>74</v>
      </c>
      <c r="AF44" s="92">
        <v>66</v>
      </c>
      <c r="AG44" s="92">
        <v>11</v>
      </c>
      <c r="AH44" s="92">
        <v>162</v>
      </c>
      <c r="AI44" s="127">
        <v>75</v>
      </c>
      <c r="AJ44" s="92">
        <v>42</v>
      </c>
      <c r="AK44" s="92">
        <v>84</v>
      </c>
      <c r="AL44" s="92">
        <v>76</v>
      </c>
      <c r="AM44" s="92">
        <v>95</v>
      </c>
      <c r="AN44" s="92">
        <v>18</v>
      </c>
      <c r="AO44" s="92">
        <v>23</v>
      </c>
      <c r="AP44" s="92">
        <v>107</v>
      </c>
      <c r="AQ44" s="92">
        <v>24</v>
      </c>
      <c r="AR44" s="92">
        <v>122</v>
      </c>
      <c r="AS44" s="92">
        <v>108</v>
      </c>
      <c r="AT44" s="92">
        <v>78</v>
      </c>
      <c r="AU44" s="92">
        <v>76</v>
      </c>
      <c r="AV44" s="92">
        <v>148</v>
      </c>
      <c r="AW44" s="92">
        <v>202</v>
      </c>
      <c r="AX44" s="92">
        <v>225</v>
      </c>
      <c r="AY44" s="92">
        <v>168</v>
      </c>
      <c r="AZ44" s="92">
        <v>141</v>
      </c>
      <c r="BA44" s="92">
        <v>185</v>
      </c>
      <c r="BB44" s="92">
        <v>264</v>
      </c>
      <c r="BC44" s="92">
        <v>142</v>
      </c>
      <c r="BD44" s="92">
        <v>156</v>
      </c>
      <c r="BE44" s="92">
        <v>181</v>
      </c>
      <c r="BF44" s="92">
        <v>285</v>
      </c>
      <c r="BG44" s="92">
        <v>175</v>
      </c>
      <c r="BH44" s="92">
        <v>149</v>
      </c>
      <c r="BI44" s="92">
        <v>179</v>
      </c>
      <c r="BJ44" s="92">
        <v>246</v>
      </c>
      <c r="BK44" s="92">
        <v>125</v>
      </c>
      <c r="BL44" s="92">
        <v>149</v>
      </c>
      <c r="BM44" s="92">
        <v>190</v>
      </c>
      <c r="BN44" s="92">
        <v>221</v>
      </c>
      <c r="BO44" s="92">
        <v>154</v>
      </c>
      <c r="BP44" s="92">
        <v>160</v>
      </c>
      <c r="BQ44" s="92">
        <v>234</v>
      </c>
      <c r="BR44" s="92">
        <v>121</v>
      </c>
      <c r="BS44" s="92">
        <v>65</v>
      </c>
      <c r="BT44" s="92">
        <v>44</v>
      </c>
      <c r="BU44" s="92">
        <v>54</v>
      </c>
      <c r="BV44" s="92">
        <v>54</v>
      </c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47"/>
      <c r="DB44" s="9" t="s">
        <v>440</v>
      </c>
      <c r="DC44" s="92" t="s">
        <v>440</v>
      </c>
      <c r="DD44" s="92" t="s">
        <v>440</v>
      </c>
      <c r="DE44" s="92">
        <f>SUM(O44:R44)</f>
        <v>0</v>
      </c>
      <c r="DF44" s="92">
        <f>SUM(S44:V44)</f>
        <v>0</v>
      </c>
      <c r="DG44" s="92">
        <f>SUM(W44:Z44)</f>
        <v>38</v>
      </c>
      <c r="DH44" s="92">
        <f>SUM(AA44:AD44)</f>
        <v>231</v>
      </c>
      <c r="DI44" s="92">
        <f>SUM(AE44:AH44)</f>
        <v>313</v>
      </c>
      <c r="DJ44" s="92">
        <f>SUM(AI44:AL44)</f>
        <v>277</v>
      </c>
      <c r="DK44" s="92">
        <f t="shared" ref="DK44:DK51" si="118">SUM(AM44:AP44)</f>
        <v>243</v>
      </c>
      <c r="DL44" s="92">
        <f t="shared" si="114"/>
        <v>332</v>
      </c>
      <c r="DM44" s="92">
        <f t="shared" si="115"/>
        <v>651</v>
      </c>
      <c r="DN44" s="92">
        <f t="shared" si="116"/>
        <v>758</v>
      </c>
      <c r="DO44" s="92">
        <f t="shared" si="117"/>
        <v>764</v>
      </c>
      <c r="DP44" s="92">
        <f t="shared" si="110"/>
        <v>749</v>
      </c>
      <c r="DQ44" s="92">
        <f t="shared" si="111"/>
        <v>685</v>
      </c>
      <c r="DR44" s="92">
        <f t="shared" si="112"/>
        <v>669</v>
      </c>
      <c r="DS44" s="92">
        <f t="shared" si="113"/>
        <v>217</v>
      </c>
      <c r="DT44" s="92"/>
      <c r="DU44" s="92"/>
      <c r="DV44" s="92"/>
      <c r="DW44" s="92"/>
      <c r="DX44" s="92"/>
      <c r="DY44" s="92"/>
      <c r="DZ44" s="92"/>
      <c r="EA44" s="92"/>
      <c r="EC44" s="28"/>
    </row>
    <row r="45" spans="2:136" s="39" customFormat="1" ht="0.75" customHeight="1">
      <c r="B45" s="44" t="s">
        <v>693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4" t="s">
        <v>542</v>
      </c>
      <c r="AE45" s="94" t="s">
        <v>516</v>
      </c>
      <c r="AF45" s="94" t="s">
        <v>558</v>
      </c>
      <c r="AG45" s="94" t="s">
        <v>551</v>
      </c>
      <c r="AH45" s="94" t="s">
        <v>541</v>
      </c>
      <c r="AI45" s="128" t="s">
        <v>523</v>
      </c>
      <c r="AJ45" s="94" t="s">
        <v>515</v>
      </c>
      <c r="AK45" s="94" t="s">
        <v>506</v>
      </c>
      <c r="AL45" s="92">
        <v>88</v>
      </c>
      <c r="AM45" s="92">
        <v>135</v>
      </c>
      <c r="AN45" s="92">
        <v>145</v>
      </c>
      <c r="AO45" s="92">
        <v>134</v>
      </c>
      <c r="AP45" s="92">
        <v>145</v>
      </c>
      <c r="AQ45" s="92">
        <v>142</v>
      </c>
      <c r="AR45" s="92">
        <v>154</v>
      </c>
      <c r="AS45" s="92">
        <v>159</v>
      </c>
      <c r="AT45" s="92">
        <v>168</v>
      </c>
      <c r="AU45" s="92">
        <v>146</v>
      </c>
      <c r="AV45" s="92">
        <v>157</v>
      </c>
      <c r="AW45" s="92">
        <v>156</v>
      </c>
      <c r="AX45" s="92">
        <v>164</v>
      </c>
      <c r="AY45" s="92">
        <v>151</v>
      </c>
      <c r="AZ45" s="92">
        <v>171</v>
      </c>
      <c r="BA45" s="92">
        <v>170</v>
      </c>
      <c r="BB45" s="92">
        <v>193</v>
      </c>
      <c r="BC45" s="92">
        <v>168</v>
      </c>
      <c r="BD45" s="92">
        <v>178</v>
      </c>
      <c r="BE45" s="92">
        <v>186</v>
      </c>
      <c r="BF45" s="92">
        <v>191</v>
      </c>
      <c r="BG45" s="92">
        <v>166</v>
      </c>
      <c r="BH45" s="92">
        <v>182</v>
      </c>
      <c r="BI45" s="92">
        <v>190</v>
      </c>
      <c r="BJ45" s="92">
        <v>193</v>
      </c>
      <c r="BK45" s="92">
        <v>175</v>
      </c>
      <c r="BL45" s="92">
        <v>200</v>
      </c>
      <c r="BM45" s="92">
        <v>195</v>
      </c>
      <c r="BN45" s="92">
        <v>207</v>
      </c>
      <c r="BO45" s="92">
        <v>160</v>
      </c>
      <c r="BP45" s="92">
        <v>199</v>
      </c>
      <c r="BQ45" s="92">
        <v>214</v>
      </c>
      <c r="BR45" s="92">
        <v>188</v>
      </c>
      <c r="BS45" s="92">
        <v>216</v>
      </c>
      <c r="BT45" s="92">
        <v>236</v>
      </c>
      <c r="BU45" s="92">
        <v>234</v>
      </c>
      <c r="BV45" s="92">
        <v>216</v>
      </c>
      <c r="BW45" s="92">
        <v>219</v>
      </c>
      <c r="BX45" s="92">
        <v>240</v>
      </c>
      <c r="BY45" s="92">
        <v>241</v>
      </c>
      <c r="BZ45" s="92">
        <v>179</v>
      </c>
      <c r="CA45" s="92">
        <v>63</v>
      </c>
      <c r="CB45" s="92">
        <v>63</v>
      </c>
      <c r="CC45" s="94" t="s">
        <v>779</v>
      </c>
      <c r="CD45" s="92">
        <v>53</v>
      </c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46"/>
      <c r="DB45" s="92"/>
      <c r="DC45" s="92"/>
      <c r="DD45" s="92"/>
      <c r="DE45" s="92"/>
      <c r="DF45" s="92"/>
      <c r="DG45" s="92"/>
      <c r="DH45" s="92"/>
      <c r="DI45" s="92"/>
      <c r="DJ45" s="92"/>
      <c r="DK45" s="92">
        <f t="shared" si="118"/>
        <v>559</v>
      </c>
      <c r="DL45" s="92">
        <f t="shared" si="114"/>
        <v>623</v>
      </c>
      <c r="DM45" s="92">
        <f t="shared" si="115"/>
        <v>623</v>
      </c>
      <c r="DN45" s="92">
        <f t="shared" si="116"/>
        <v>685</v>
      </c>
      <c r="DO45" s="92">
        <f t="shared" si="117"/>
        <v>723</v>
      </c>
      <c r="DP45" s="92">
        <f t="shared" si="110"/>
        <v>731</v>
      </c>
      <c r="DQ45" s="92">
        <f t="shared" si="111"/>
        <v>777</v>
      </c>
      <c r="DR45" s="92">
        <f t="shared" si="112"/>
        <v>761</v>
      </c>
      <c r="DS45" s="92">
        <f t="shared" si="113"/>
        <v>902</v>
      </c>
      <c r="DT45" s="92">
        <f>SUM(BW45:BZ45)</f>
        <v>879</v>
      </c>
      <c r="DU45" s="92">
        <f>SUM(CA45:CD45)</f>
        <v>179</v>
      </c>
      <c r="DV45" s="92"/>
      <c r="DW45" s="92"/>
      <c r="DX45" s="92"/>
      <c r="DY45" s="92"/>
      <c r="DZ45" s="92"/>
      <c r="EA45" s="92"/>
      <c r="EC45" s="28"/>
    </row>
    <row r="46" spans="2:136" s="8" customFormat="1" ht="0.75" customHeight="1">
      <c r="B46" s="45" t="s">
        <v>107</v>
      </c>
      <c r="C46" s="9"/>
      <c r="D46" s="9"/>
      <c r="E46" s="9"/>
      <c r="F46" s="9"/>
      <c r="G46" s="7"/>
      <c r="H46" s="7"/>
      <c r="I46" s="92"/>
      <c r="J46" s="92"/>
      <c r="K46" s="92"/>
      <c r="L46" s="92"/>
      <c r="M46" s="92"/>
      <c r="N46" s="92"/>
      <c r="O46" s="92">
        <v>30</v>
      </c>
      <c r="P46" s="92">
        <v>62</v>
      </c>
      <c r="Q46" s="92">
        <v>61</v>
      </c>
      <c r="R46" s="92">
        <v>77</v>
      </c>
      <c r="S46" s="92">
        <v>57</v>
      </c>
      <c r="T46" s="92">
        <v>50</v>
      </c>
      <c r="U46" s="92">
        <v>56</v>
      </c>
      <c r="V46" s="92">
        <v>55</v>
      </c>
      <c r="W46" s="92">
        <v>59</v>
      </c>
      <c r="X46" s="92">
        <v>66</v>
      </c>
      <c r="Y46" s="92">
        <v>66</v>
      </c>
      <c r="Z46" s="92">
        <v>74</v>
      </c>
      <c r="AA46" s="92">
        <v>79</v>
      </c>
      <c r="AB46" s="92">
        <v>89</v>
      </c>
      <c r="AC46" s="91">
        <v>76</v>
      </c>
      <c r="AD46" s="92">
        <f>AC46</f>
        <v>76</v>
      </c>
      <c r="AE46" s="92">
        <v>93</v>
      </c>
      <c r="AF46" s="92">
        <v>104</v>
      </c>
      <c r="AG46" s="92">
        <v>97</v>
      </c>
      <c r="AH46" s="92">
        <f>AG46-1</f>
        <v>96</v>
      </c>
      <c r="AI46" s="127">
        <v>81</v>
      </c>
      <c r="AJ46" s="92">
        <v>88</v>
      </c>
      <c r="AK46" s="92">
        <v>90</v>
      </c>
      <c r="AL46" s="92">
        <v>98</v>
      </c>
      <c r="AM46" s="92">
        <v>95</v>
      </c>
      <c r="AN46" s="92">
        <v>95</v>
      </c>
      <c r="AO46" s="92">
        <v>94</v>
      </c>
      <c r="AP46" s="92">
        <v>115</v>
      </c>
      <c r="AQ46" s="92">
        <v>114</v>
      </c>
      <c r="AR46" s="92">
        <v>100</v>
      </c>
      <c r="AS46" s="92">
        <v>108</v>
      </c>
      <c r="AT46" s="92">
        <v>110</v>
      </c>
      <c r="AU46" s="92">
        <v>112</v>
      </c>
      <c r="AV46" s="92">
        <v>117</v>
      </c>
      <c r="AW46" s="92">
        <v>109</v>
      </c>
      <c r="AX46" s="92">
        <v>115</v>
      </c>
      <c r="AY46" s="92">
        <v>121</v>
      </c>
      <c r="AZ46" s="92">
        <v>121</v>
      </c>
      <c r="BA46" s="92">
        <v>112</v>
      </c>
      <c r="BB46" s="92">
        <v>131</v>
      </c>
      <c r="BC46" s="92">
        <v>128</v>
      </c>
      <c r="BD46" s="92">
        <v>141</v>
      </c>
      <c r="BE46" s="92">
        <v>132</v>
      </c>
      <c r="BF46" s="92">
        <v>118</v>
      </c>
      <c r="BG46" s="92">
        <v>123</v>
      </c>
      <c r="BH46" s="92">
        <v>115</v>
      </c>
      <c r="BI46" s="92">
        <v>123</v>
      </c>
      <c r="BJ46" s="92">
        <v>110</v>
      </c>
      <c r="BK46" s="92">
        <v>111</v>
      </c>
      <c r="BL46" s="92">
        <v>117</v>
      </c>
      <c r="BM46" s="92">
        <v>114</v>
      </c>
      <c r="BN46" s="92">
        <v>108</v>
      </c>
      <c r="BO46" s="92">
        <v>103</v>
      </c>
      <c r="BP46" s="92">
        <v>89</v>
      </c>
      <c r="BQ46" s="92">
        <v>80</v>
      </c>
      <c r="BR46" s="92">
        <v>91</v>
      </c>
      <c r="BS46" s="92">
        <v>83</v>
      </c>
      <c r="BT46" s="92">
        <v>84</v>
      </c>
      <c r="BU46" s="92">
        <v>83</v>
      </c>
      <c r="BV46" s="92">
        <v>86</v>
      </c>
      <c r="BW46" s="92">
        <v>75</v>
      </c>
      <c r="BX46" s="92">
        <v>75</v>
      </c>
      <c r="BY46" s="92">
        <v>72</v>
      </c>
      <c r="BZ46" s="92">
        <v>67</v>
      </c>
      <c r="CA46" s="92">
        <v>70</v>
      </c>
      <c r="CB46" s="92">
        <v>65</v>
      </c>
      <c r="CC46" s="94" t="s">
        <v>786</v>
      </c>
      <c r="CD46" s="92">
        <v>54</v>
      </c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47"/>
      <c r="DB46" s="9" t="s">
        <v>440</v>
      </c>
      <c r="DC46" s="92" t="s">
        <v>440</v>
      </c>
      <c r="DD46" s="92">
        <v>70</v>
      </c>
      <c r="DE46" s="92">
        <f t="shared" ref="DE46:DE51" si="119">SUM(O46:R46)</f>
        <v>230</v>
      </c>
      <c r="DF46" s="92">
        <f t="shared" ref="DF46:DF51" si="120">SUM(S46:V46)</f>
        <v>218</v>
      </c>
      <c r="DG46" s="92">
        <f t="shared" ref="DG46:DG51" si="121">SUM(W46:Z46)</f>
        <v>265</v>
      </c>
      <c r="DH46" s="92">
        <f t="shared" ref="DH46:DH51" si="122">SUM(AA46:AD46)</f>
        <v>320</v>
      </c>
      <c r="DI46" s="92">
        <f t="shared" ref="DI46:DI51" si="123">SUM(AE46:AH46)</f>
        <v>390</v>
      </c>
      <c r="DJ46" s="92">
        <f t="shared" ref="DJ46:DJ51" si="124">SUM(AI46:AL46)</f>
        <v>357</v>
      </c>
      <c r="DK46" s="92">
        <f t="shared" si="118"/>
        <v>399</v>
      </c>
      <c r="DL46" s="92">
        <f t="shared" si="114"/>
        <v>432</v>
      </c>
      <c r="DM46" s="92">
        <f t="shared" si="115"/>
        <v>453</v>
      </c>
      <c r="DN46" s="92">
        <f t="shared" si="116"/>
        <v>485</v>
      </c>
      <c r="DO46" s="92">
        <f t="shared" si="117"/>
        <v>519</v>
      </c>
      <c r="DP46" s="92">
        <f t="shared" si="110"/>
        <v>471</v>
      </c>
      <c r="DQ46" s="92">
        <f t="shared" si="111"/>
        <v>450</v>
      </c>
      <c r="DR46" s="92">
        <f t="shared" si="112"/>
        <v>363</v>
      </c>
      <c r="DS46" s="92">
        <f t="shared" si="113"/>
        <v>336</v>
      </c>
      <c r="DT46" s="92">
        <f>SUM(BW46:BZ46)</f>
        <v>289</v>
      </c>
      <c r="DU46" s="92">
        <f>SUM(CA46:CD46)</f>
        <v>189</v>
      </c>
      <c r="DV46" s="92"/>
      <c r="DW46" s="92"/>
      <c r="DX46" s="92"/>
      <c r="DY46" s="92"/>
      <c r="DZ46" s="92"/>
      <c r="EA46" s="92"/>
      <c r="EC46" s="28"/>
      <c r="EF46" s="81"/>
    </row>
    <row r="47" spans="2:136" s="8" customFormat="1" ht="0.75" customHeight="1">
      <c r="B47" s="45" t="s">
        <v>11</v>
      </c>
      <c r="C47" s="92">
        <v>394.74103000000002</v>
      </c>
      <c r="D47" s="92">
        <v>394.74152000000004</v>
      </c>
      <c r="E47" s="92">
        <v>419.24689999999998</v>
      </c>
      <c r="F47" s="92">
        <v>441.19976359338057</v>
      </c>
      <c r="G47" s="92">
        <v>515</v>
      </c>
      <c r="H47" s="92">
        <v>586</v>
      </c>
      <c r="I47" s="92">
        <v>451</v>
      </c>
      <c r="J47" s="92">
        <v>691</v>
      </c>
      <c r="K47" s="92">
        <v>795</v>
      </c>
      <c r="L47" s="92">
        <v>544</v>
      </c>
      <c r="M47" s="92">
        <v>687.25</v>
      </c>
      <c r="N47" s="92">
        <v>650.25</v>
      </c>
      <c r="O47" s="92">
        <v>759</v>
      </c>
      <c r="P47" s="92">
        <v>792</v>
      </c>
      <c r="Q47" s="92">
        <v>778</v>
      </c>
      <c r="R47" s="92">
        <v>831</v>
      </c>
      <c r="S47" s="92">
        <v>772</v>
      </c>
      <c r="T47" s="92">
        <v>853</v>
      </c>
      <c r="U47" s="92">
        <v>777</v>
      </c>
      <c r="V47" s="92">
        <v>789</v>
      </c>
      <c r="W47" s="92">
        <v>754</v>
      </c>
      <c r="X47" s="92">
        <v>821</v>
      </c>
      <c r="Y47" s="92">
        <v>771</v>
      </c>
      <c r="Z47" s="92">
        <v>789</v>
      </c>
      <c r="AA47" s="92">
        <v>742</v>
      </c>
      <c r="AB47" s="92">
        <v>786</v>
      </c>
      <c r="AC47" s="92">
        <v>725</v>
      </c>
      <c r="AD47" s="92">
        <v>730</v>
      </c>
      <c r="AE47" s="92">
        <v>470</v>
      </c>
      <c r="AF47" s="92">
        <v>411</v>
      </c>
      <c r="AG47" s="92">
        <v>354</v>
      </c>
      <c r="AH47" s="92">
        <f>AG47-40</f>
        <v>314</v>
      </c>
      <c r="AI47" s="127">
        <v>261</v>
      </c>
      <c r="AJ47" s="92">
        <v>277</v>
      </c>
      <c r="AK47" s="92">
        <v>276</v>
      </c>
      <c r="AL47" s="92">
        <v>285</v>
      </c>
      <c r="AM47" s="92">
        <f>25+205</f>
        <v>230</v>
      </c>
      <c r="AN47" s="92">
        <v>241</v>
      </c>
      <c r="AO47" s="92">
        <v>220</v>
      </c>
      <c r="AP47" s="92">
        <v>234</v>
      </c>
      <c r="AQ47" s="92">
        <v>208</v>
      </c>
      <c r="AR47" s="92">
        <v>221</v>
      </c>
      <c r="AS47" s="92">
        <v>215</v>
      </c>
      <c r="AT47" s="92">
        <v>211</v>
      </c>
      <c r="AU47" s="92">
        <v>184</v>
      </c>
      <c r="AV47" s="92">
        <v>186</v>
      </c>
      <c r="AW47" s="92">
        <v>152</v>
      </c>
      <c r="AX47" s="92">
        <v>154</v>
      </c>
      <c r="AY47" s="92">
        <v>137</v>
      </c>
      <c r="AZ47" s="92">
        <v>144</v>
      </c>
      <c r="BA47" s="92">
        <v>140</v>
      </c>
      <c r="BB47" s="92">
        <v>139</v>
      </c>
      <c r="BC47" s="92">
        <v>123</v>
      </c>
      <c r="BD47" s="92">
        <v>121</v>
      </c>
      <c r="BE47" s="92">
        <v>114</v>
      </c>
      <c r="BF47" s="92">
        <v>112</v>
      </c>
      <c r="BG47" s="92">
        <v>94</v>
      </c>
      <c r="BH47" s="92">
        <v>96</v>
      </c>
      <c r="BI47" s="92">
        <v>86</v>
      </c>
      <c r="BJ47" s="92">
        <v>82</v>
      </c>
      <c r="BK47" s="92">
        <v>75</v>
      </c>
      <c r="BL47" s="92">
        <v>73</v>
      </c>
      <c r="BM47" s="92">
        <v>68</v>
      </c>
      <c r="BN47" s="92">
        <v>68</v>
      </c>
      <c r="BO47" s="92">
        <v>61</v>
      </c>
      <c r="BP47" s="92">
        <v>66</v>
      </c>
      <c r="BQ47" s="92">
        <v>53</v>
      </c>
      <c r="BR47" s="92">
        <v>62</v>
      </c>
      <c r="BS47" s="92">
        <v>55</v>
      </c>
      <c r="BT47" s="92">
        <v>59</v>
      </c>
      <c r="BU47" s="92">
        <v>45</v>
      </c>
      <c r="BV47" s="92">
        <v>50</v>
      </c>
      <c r="BW47" s="92">
        <v>0</v>
      </c>
      <c r="BX47" s="92">
        <v>0</v>
      </c>
      <c r="BY47" s="92">
        <v>0</v>
      </c>
      <c r="BZ47" s="92">
        <v>0</v>
      </c>
      <c r="CA47" s="92">
        <v>0</v>
      </c>
      <c r="CB47" s="92">
        <v>0</v>
      </c>
      <c r="CC47" s="92">
        <v>0</v>
      </c>
      <c r="CD47" s="92">
        <v>0</v>
      </c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47"/>
      <c r="DB47" s="92">
        <v>1649.9299223235394</v>
      </c>
      <c r="DC47" s="92">
        <v>2250</v>
      </c>
      <c r="DD47" s="92">
        <v>2677</v>
      </c>
      <c r="DE47" s="92">
        <f t="shared" si="119"/>
        <v>3160</v>
      </c>
      <c r="DF47" s="92">
        <f t="shared" si="120"/>
        <v>3191</v>
      </c>
      <c r="DG47" s="92">
        <f t="shared" si="121"/>
        <v>3135</v>
      </c>
      <c r="DH47" s="92">
        <f t="shared" si="122"/>
        <v>2983</v>
      </c>
      <c r="DI47" s="92">
        <f t="shared" si="123"/>
        <v>1549</v>
      </c>
      <c r="DJ47" s="92">
        <f t="shared" si="124"/>
        <v>1099</v>
      </c>
      <c r="DK47" s="92">
        <f t="shared" si="118"/>
        <v>925</v>
      </c>
      <c r="DL47" s="92">
        <f t="shared" si="114"/>
        <v>855</v>
      </c>
      <c r="DM47" s="92">
        <f t="shared" si="115"/>
        <v>676</v>
      </c>
      <c r="DN47" s="92">
        <f t="shared" si="116"/>
        <v>560</v>
      </c>
      <c r="DO47" s="92">
        <f t="shared" si="117"/>
        <v>470</v>
      </c>
      <c r="DP47" s="92">
        <f t="shared" si="110"/>
        <v>358</v>
      </c>
      <c r="DQ47" s="92">
        <f t="shared" si="111"/>
        <v>284</v>
      </c>
      <c r="DR47" s="92">
        <f t="shared" si="112"/>
        <v>242</v>
      </c>
      <c r="DS47" s="92">
        <f t="shared" si="113"/>
        <v>209</v>
      </c>
      <c r="DT47" s="92"/>
      <c r="DU47" s="92"/>
      <c r="DV47" s="92"/>
      <c r="DW47" s="92"/>
      <c r="DX47" s="92"/>
      <c r="DY47" s="92"/>
      <c r="DZ47" s="92"/>
      <c r="EA47" s="92"/>
      <c r="EC47" s="28"/>
    </row>
    <row r="48" spans="2:136" s="8" customFormat="1" ht="0.75" customHeight="1">
      <c r="B48" s="45" t="s">
        <v>355</v>
      </c>
      <c r="C48" s="9"/>
      <c r="D48" s="9"/>
      <c r="E48" s="9"/>
      <c r="F48" s="9"/>
      <c r="G48" s="7"/>
      <c r="H48" s="7"/>
      <c r="I48" s="92"/>
      <c r="J48" s="92"/>
      <c r="K48" s="92"/>
      <c r="L48" s="92"/>
      <c r="M48" s="92"/>
      <c r="N48" s="92"/>
      <c r="O48" s="92">
        <v>6</v>
      </c>
      <c r="P48" s="92">
        <v>9</v>
      </c>
      <c r="Q48" s="92">
        <v>14</v>
      </c>
      <c r="R48" s="92">
        <v>18</v>
      </c>
      <c r="S48" s="92">
        <v>17</v>
      </c>
      <c r="T48" s="92">
        <v>19</v>
      </c>
      <c r="U48" s="92">
        <v>22</v>
      </c>
      <c r="V48" s="92">
        <v>28</v>
      </c>
      <c r="W48" s="92">
        <v>23</v>
      </c>
      <c r="X48" s="92">
        <v>32</v>
      </c>
      <c r="Y48" s="92">
        <v>41</v>
      </c>
      <c r="Z48" s="92">
        <v>36</v>
      </c>
      <c r="AA48" s="92">
        <v>48</v>
      </c>
      <c r="AB48" s="92">
        <v>47</v>
      </c>
      <c r="AC48" s="91">
        <v>49</v>
      </c>
      <c r="AD48" s="92">
        <f>AC48</f>
        <v>49</v>
      </c>
      <c r="AE48" s="92">
        <v>60</v>
      </c>
      <c r="AF48" s="92">
        <v>65</v>
      </c>
      <c r="AG48" s="92">
        <v>68</v>
      </c>
      <c r="AH48" s="92">
        <f>AG48+1</f>
        <v>69</v>
      </c>
      <c r="AI48" s="127">
        <v>69</v>
      </c>
      <c r="AJ48" s="92">
        <v>77</v>
      </c>
      <c r="AK48" s="92">
        <v>82</v>
      </c>
      <c r="AL48" s="92">
        <v>89</v>
      </c>
      <c r="AM48" s="92">
        <v>82</v>
      </c>
      <c r="AN48" s="92">
        <v>93</v>
      </c>
      <c r="AO48" s="92">
        <v>91</v>
      </c>
      <c r="AP48" s="92">
        <v>110</v>
      </c>
      <c r="AQ48" s="92">
        <v>87</v>
      </c>
      <c r="AR48" s="92">
        <v>120</v>
      </c>
      <c r="AS48" s="92">
        <v>98</v>
      </c>
      <c r="AT48" s="92">
        <v>114</v>
      </c>
      <c r="AU48" s="92">
        <v>102</v>
      </c>
      <c r="AV48" s="92">
        <v>145</v>
      </c>
      <c r="AW48" s="92">
        <v>111</v>
      </c>
      <c r="AX48" s="92">
        <v>131</v>
      </c>
      <c r="AY48" s="92">
        <v>116</v>
      </c>
      <c r="AZ48" s="92">
        <v>135</v>
      </c>
      <c r="BA48" s="92">
        <v>123</v>
      </c>
      <c r="BB48" s="92">
        <v>134</v>
      </c>
      <c r="BC48" s="92">
        <v>122</v>
      </c>
      <c r="BD48" s="92">
        <v>144</v>
      </c>
      <c r="BE48" s="92">
        <v>136</v>
      </c>
      <c r="BF48" s="92">
        <v>151</v>
      </c>
      <c r="BG48" s="92">
        <v>122</v>
      </c>
      <c r="BH48" s="92">
        <v>134</v>
      </c>
      <c r="BI48" s="92">
        <v>141</v>
      </c>
      <c r="BJ48" s="92">
        <v>139</v>
      </c>
      <c r="BK48" s="92">
        <v>126</v>
      </c>
      <c r="BL48" s="92">
        <v>143</v>
      </c>
      <c r="BM48" s="92">
        <v>137</v>
      </c>
      <c r="BN48" s="92">
        <v>144</v>
      </c>
      <c r="BO48" s="92">
        <v>133</v>
      </c>
      <c r="BP48" s="92">
        <v>143</v>
      </c>
      <c r="BQ48" s="92">
        <v>137</v>
      </c>
      <c r="BR48" s="92">
        <v>143</v>
      </c>
      <c r="BS48" s="92">
        <v>125</v>
      </c>
      <c r="BT48" s="92">
        <v>148</v>
      </c>
      <c r="BU48" s="92">
        <v>123</v>
      </c>
      <c r="BV48" s="92">
        <v>126</v>
      </c>
      <c r="BW48" s="92">
        <v>117</v>
      </c>
      <c r="BX48" s="92">
        <v>121</v>
      </c>
      <c r="BY48" s="92">
        <v>98</v>
      </c>
      <c r="BZ48" s="92">
        <v>53</v>
      </c>
      <c r="CA48" s="92">
        <v>43</v>
      </c>
      <c r="CB48" s="92">
        <v>33</v>
      </c>
      <c r="CC48" s="94" t="s">
        <v>625</v>
      </c>
      <c r="CD48" s="92">
        <v>31</v>
      </c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47"/>
      <c r="DB48" s="9" t="s">
        <v>440</v>
      </c>
      <c r="DC48" s="92" t="s">
        <v>440</v>
      </c>
      <c r="DD48" s="92">
        <v>27</v>
      </c>
      <c r="DE48" s="92">
        <f t="shared" si="119"/>
        <v>47</v>
      </c>
      <c r="DF48" s="92">
        <f t="shared" si="120"/>
        <v>86</v>
      </c>
      <c r="DG48" s="92">
        <f t="shared" si="121"/>
        <v>132</v>
      </c>
      <c r="DH48" s="92">
        <f t="shared" si="122"/>
        <v>193</v>
      </c>
      <c r="DI48" s="92">
        <f t="shared" si="123"/>
        <v>262</v>
      </c>
      <c r="DJ48" s="92">
        <f t="shared" si="124"/>
        <v>317</v>
      </c>
      <c r="DK48" s="92">
        <f t="shared" si="118"/>
        <v>376</v>
      </c>
      <c r="DL48" s="92">
        <f t="shared" si="114"/>
        <v>419</v>
      </c>
      <c r="DM48" s="92">
        <f t="shared" si="115"/>
        <v>489</v>
      </c>
      <c r="DN48" s="92">
        <f t="shared" si="116"/>
        <v>508</v>
      </c>
      <c r="DO48" s="92">
        <f t="shared" si="117"/>
        <v>553</v>
      </c>
      <c r="DP48" s="92">
        <f t="shared" si="110"/>
        <v>536</v>
      </c>
      <c r="DQ48" s="92">
        <f t="shared" si="111"/>
        <v>550</v>
      </c>
      <c r="DR48" s="92">
        <f t="shared" si="112"/>
        <v>556</v>
      </c>
      <c r="DS48" s="92">
        <f t="shared" si="113"/>
        <v>522</v>
      </c>
      <c r="DT48" s="92">
        <f t="shared" ref="DT48:DT54" si="125">SUM(BW48:BZ48)</f>
        <v>389</v>
      </c>
      <c r="DU48" s="92">
        <f t="shared" ref="DU48:DU54" si="126">SUM(CA48:CD48)</f>
        <v>107</v>
      </c>
      <c r="DV48" s="92"/>
      <c r="DW48" s="92"/>
      <c r="DX48" s="92"/>
      <c r="DY48" s="92"/>
      <c r="DZ48" s="92"/>
      <c r="EA48" s="92"/>
      <c r="EC48" s="28"/>
    </row>
    <row r="49" spans="2:136" s="8" customFormat="1" ht="0.75" customHeight="1">
      <c r="B49" s="45" t="s">
        <v>356</v>
      </c>
      <c r="C49" s="9"/>
      <c r="D49" s="9"/>
      <c r="E49" s="9"/>
      <c r="F49" s="9"/>
      <c r="G49" s="7"/>
      <c r="H49" s="7"/>
      <c r="I49" s="92"/>
      <c r="J49" s="92"/>
      <c r="K49" s="92"/>
      <c r="L49" s="92"/>
      <c r="M49" s="92"/>
      <c r="N49" s="92"/>
      <c r="O49" s="92">
        <v>12</v>
      </c>
      <c r="P49" s="92">
        <v>16</v>
      </c>
      <c r="Q49" s="92">
        <v>16</v>
      </c>
      <c r="R49" s="92">
        <v>19</v>
      </c>
      <c r="S49" s="92">
        <v>20</v>
      </c>
      <c r="T49" s="92">
        <v>22</v>
      </c>
      <c r="U49" s="92">
        <v>25</v>
      </c>
      <c r="V49" s="92">
        <v>27</v>
      </c>
      <c r="W49" s="92">
        <v>28</v>
      </c>
      <c r="X49" s="92">
        <v>34</v>
      </c>
      <c r="Y49" s="92">
        <v>37</v>
      </c>
      <c r="Z49" s="92">
        <v>41</v>
      </c>
      <c r="AA49" s="92">
        <v>42</v>
      </c>
      <c r="AB49" s="92">
        <v>46</v>
      </c>
      <c r="AC49" s="91">
        <v>50</v>
      </c>
      <c r="AD49" s="92">
        <f>AC49</f>
        <v>50</v>
      </c>
      <c r="AE49" s="92">
        <v>55</v>
      </c>
      <c r="AF49" s="92">
        <v>71</v>
      </c>
      <c r="AG49" s="92">
        <v>71</v>
      </c>
      <c r="AH49" s="92">
        <f>AG49</f>
        <v>71</v>
      </c>
      <c r="AI49" s="127">
        <v>62</v>
      </c>
      <c r="AJ49" s="92">
        <v>71</v>
      </c>
      <c r="AK49" s="92">
        <v>73</v>
      </c>
      <c r="AL49" s="92">
        <v>88</v>
      </c>
      <c r="AM49" s="92">
        <v>75</v>
      </c>
      <c r="AN49" s="92">
        <v>83</v>
      </c>
      <c r="AO49" s="92">
        <v>91</v>
      </c>
      <c r="AP49" s="92">
        <v>113</v>
      </c>
      <c r="AQ49" s="92">
        <v>87</v>
      </c>
      <c r="AR49" s="92">
        <v>103</v>
      </c>
      <c r="AS49" s="92">
        <v>107</v>
      </c>
      <c r="AT49" s="92">
        <v>110</v>
      </c>
      <c r="AU49" s="92">
        <v>101</v>
      </c>
      <c r="AV49" s="92">
        <v>110</v>
      </c>
      <c r="AW49" s="92">
        <v>118</v>
      </c>
      <c r="AX49" s="92">
        <v>116</v>
      </c>
      <c r="AY49" s="92">
        <v>110</v>
      </c>
      <c r="AZ49" s="92">
        <v>120</v>
      </c>
      <c r="BA49" s="92">
        <v>130</v>
      </c>
      <c r="BB49" s="92">
        <v>128</v>
      </c>
      <c r="BC49" s="92">
        <v>114</v>
      </c>
      <c r="BD49" s="92">
        <v>134</v>
      </c>
      <c r="BE49" s="92">
        <v>141</v>
      </c>
      <c r="BF49" s="92">
        <v>139</v>
      </c>
      <c r="BG49" s="92">
        <v>132</v>
      </c>
      <c r="BH49" s="92">
        <v>139</v>
      </c>
      <c r="BI49" s="92">
        <v>153</v>
      </c>
      <c r="BJ49" s="92">
        <v>144</v>
      </c>
      <c r="BK49" s="92">
        <v>114</v>
      </c>
      <c r="BL49" s="92">
        <v>143</v>
      </c>
      <c r="BM49" s="92">
        <v>152</v>
      </c>
      <c r="BN49" s="92">
        <v>152</v>
      </c>
      <c r="BO49" s="92">
        <v>136</v>
      </c>
      <c r="BP49" s="92">
        <v>150</v>
      </c>
      <c r="BQ49" s="92">
        <v>159</v>
      </c>
      <c r="BR49" s="92">
        <v>157</v>
      </c>
      <c r="BS49" s="92">
        <v>151</v>
      </c>
      <c r="BT49" s="92">
        <v>149</v>
      </c>
      <c r="BU49" s="92">
        <v>137</v>
      </c>
      <c r="BV49" s="92">
        <v>59</v>
      </c>
      <c r="BW49" s="92">
        <v>72</v>
      </c>
      <c r="BX49" s="92">
        <v>78</v>
      </c>
      <c r="BY49" s="92">
        <v>57</v>
      </c>
      <c r="BZ49" s="92">
        <v>57</v>
      </c>
      <c r="CA49" s="92">
        <v>64</v>
      </c>
      <c r="CB49" s="92">
        <v>43</v>
      </c>
      <c r="CC49" s="92">
        <v>51</v>
      </c>
      <c r="CD49" s="92">
        <v>53</v>
      </c>
      <c r="CE49" s="92">
        <v>57</v>
      </c>
      <c r="CF49" s="92">
        <v>48</v>
      </c>
      <c r="CG49" s="92">
        <v>53</v>
      </c>
      <c r="CH49" s="92">
        <v>45</v>
      </c>
      <c r="CI49" s="92">
        <v>52</v>
      </c>
      <c r="CJ49" s="92">
        <v>46</v>
      </c>
      <c r="CK49" s="92">
        <v>50</v>
      </c>
      <c r="CL49" s="92">
        <v>40</v>
      </c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47"/>
      <c r="DB49" s="9" t="s">
        <v>440</v>
      </c>
      <c r="DC49" s="92" t="s">
        <v>440</v>
      </c>
      <c r="DD49" s="92">
        <v>37</v>
      </c>
      <c r="DE49" s="92">
        <f t="shared" si="119"/>
        <v>63</v>
      </c>
      <c r="DF49" s="92">
        <f t="shared" si="120"/>
        <v>94</v>
      </c>
      <c r="DG49" s="92">
        <f t="shared" si="121"/>
        <v>140</v>
      </c>
      <c r="DH49" s="92">
        <f t="shared" si="122"/>
        <v>188</v>
      </c>
      <c r="DI49" s="92">
        <f t="shared" si="123"/>
        <v>268</v>
      </c>
      <c r="DJ49" s="92">
        <f t="shared" si="124"/>
        <v>294</v>
      </c>
      <c r="DK49" s="92">
        <f t="shared" si="118"/>
        <v>362</v>
      </c>
      <c r="DL49" s="92">
        <f t="shared" si="114"/>
        <v>407</v>
      </c>
      <c r="DM49" s="92">
        <f t="shared" si="115"/>
        <v>445</v>
      </c>
      <c r="DN49" s="92">
        <f t="shared" si="116"/>
        <v>488</v>
      </c>
      <c r="DO49" s="92">
        <f t="shared" si="117"/>
        <v>528</v>
      </c>
      <c r="DP49" s="92">
        <f t="shared" si="110"/>
        <v>568</v>
      </c>
      <c r="DQ49" s="92">
        <f t="shared" si="111"/>
        <v>561</v>
      </c>
      <c r="DR49" s="92">
        <f t="shared" si="112"/>
        <v>602</v>
      </c>
      <c r="DS49" s="92">
        <f t="shared" si="113"/>
        <v>496</v>
      </c>
      <c r="DT49" s="92">
        <f t="shared" si="125"/>
        <v>264</v>
      </c>
      <c r="DU49" s="92">
        <f t="shared" si="126"/>
        <v>211</v>
      </c>
      <c r="DV49" s="92">
        <f>SUM(CE49:CH49)</f>
        <v>203</v>
      </c>
      <c r="DW49" s="92">
        <f>SUM(CI49:CL49)</f>
        <v>188</v>
      </c>
      <c r="DX49" s="92"/>
      <c r="DY49" s="92"/>
      <c r="DZ49" s="92"/>
      <c r="EA49" s="92"/>
      <c r="EC49" s="28"/>
    </row>
    <row r="50" spans="2:136" s="39" customFormat="1" ht="0.75" customHeight="1">
      <c r="B50" s="44" t="s">
        <v>473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>
        <v>190</v>
      </c>
      <c r="P50" s="92">
        <v>242</v>
      </c>
      <c r="Q50" s="92">
        <v>293</v>
      </c>
      <c r="R50" s="92">
        <v>328</v>
      </c>
      <c r="S50" s="92">
        <v>332</v>
      </c>
      <c r="T50" s="92">
        <v>314</v>
      </c>
      <c r="U50" s="92">
        <v>356</v>
      </c>
      <c r="V50" s="92">
        <v>391</v>
      </c>
      <c r="W50" s="92">
        <v>414.8</v>
      </c>
      <c r="X50" s="92">
        <v>476</v>
      </c>
      <c r="Y50" s="92">
        <v>501.9</v>
      </c>
      <c r="Z50" s="92">
        <v>536.1</v>
      </c>
      <c r="AA50" s="92">
        <v>544</v>
      </c>
      <c r="AB50" s="92">
        <v>577.5</v>
      </c>
      <c r="AC50" s="92">
        <v>607</v>
      </c>
      <c r="AD50" s="92">
        <v>610</v>
      </c>
      <c r="AE50" s="92">
        <v>581.70000000000005</v>
      </c>
      <c r="AF50" s="92">
        <v>560.4</v>
      </c>
      <c r="AG50" s="92">
        <v>534.29999999999995</v>
      </c>
      <c r="AH50" s="92"/>
      <c r="AI50" s="127">
        <v>510</v>
      </c>
      <c r="AJ50" s="92">
        <v>556</v>
      </c>
      <c r="AK50" s="92">
        <v>563</v>
      </c>
      <c r="AL50" s="92">
        <v>614</v>
      </c>
      <c r="AM50" s="92">
        <f>281+253</f>
        <v>534</v>
      </c>
      <c r="AN50" s="92">
        <v>564</v>
      </c>
      <c r="AO50" s="92">
        <v>571</v>
      </c>
      <c r="AP50" s="92">
        <v>629</v>
      </c>
      <c r="AQ50" s="92">
        <v>582</v>
      </c>
      <c r="AR50" s="92">
        <v>592</v>
      </c>
      <c r="AS50" s="92">
        <v>614</v>
      </c>
      <c r="AT50" s="92">
        <v>640</v>
      </c>
      <c r="AU50" s="92">
        <v>614</v>
      </c>
      <c r="AV50" s="92">
        <v>632</v>
      </c>
      <c r="AW50" s="92">
        <v>645</v>
      </c>
      <c r="AX50" s="92">
        <v>676</v>
      </c>
      <c r="AY50" s="92">
        <v>629</v>
      </c>
      <c r="AZ50" s="92">
        <v>650</v>
      </c>
      <c r="BA50" s="92">
        <v>662</v>
      </c>
      <c r="BB50" s="92">
        <v>716</v>
      </c>
      <c r="BC50" s="92">
        <v>611</v>
      </c>
      <c r="BD50" s="92">
        <v>717</v>
      </c>
      <c r="BE50" s="92">
        <v>660</v>
      </c>
      <c r="BF50" s="92">
        <v>662</v>
      </c>
      <c r="BG50" s="92">
        <v>568</v>
      </c>
      <c r="BH50" s="92">
        <v>635</v>
      </c>
      <c r="BI50" s="92">
        <v>633</v>
      </c>
      <c r="BJ50" s="92">
        <v>691</v>
      </c>
      <c r="BK50" s="92">
        <v>612</v>
      </c>
      <c r="BL50" s="92">
        <v>702</v>
      </c>
      <c r="BM50" s="92">
        <v>671</v>
      </c>
      <c r="BN50" s="92">
        <v>575</v>
      </c>
      <c r="BO50" s="92">
        <v>334</v>
      </c>
      <c r="BP50" s="92">
        <v>367</v>
      </c>
      <c r="BQ50" s="92">
        <v>320</v>
      </c>
      <c r="BR50" s="92">
        <v>323</v>
      </c>
      <c r="BS50" s="92">
        <v>305</v>
      </c>
      <c r="BT50" s="92">
        <v>226</v>
      </c>
      <c r="BU50" s="92">
        <v>165</v>
      </c>
      <c r="BV50" s="92">
        <v>162</v>
      </c>
      <c r="BW50" s="92">
        <v>140</v>
      </c>
      <c r="BX50" s="92">
        <v>156</v>
      </c>
      <c r="BY50" s="92">
        <v>147</v>
      </c>
      <c r="BZ50" s="92">
        <v>146</v>
      </c>
      <c r="CA50" s="92">
        <v>145</v>
      </c>
      <c r="CB50" s="92">
        <v>137</v>
      </c>
      <c r="CC50" s="94" t="s">
        <v>781</v>
      </c>
      <c r="CD50" s="92">
        <v>98</v>
      </c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46"/>
      <c r="DB50" s="92" t="s">
        <v>440</v>
      </c>
      <c r="DC50" s="92">
        <v>25</v>
      </c>
      <c r="DD50" s="92">
        <v>469</v>
      </c>
      <c r="DE50" s="92">
        <f t="shared" si="119"/>
        <v>1053</v>
      </c>
      <c r="DF50" s="92">
        <f t="shared" si="120"/>
        <v>1393</v>
      </c>
      <c r="DG50" s="92">
        <f t="shared" si="121"/>
        <v>1928.7999999999997</v>
      </c>
      <c r="DH50" s="92">
        <f t="shared" si="122"/>
        <v>2338.5</v>
      </c>
      <c r="DI50" s="92">
        <f t="shared" si="123"/>
        <v>1676.3999999999999</v>
      </c>
      <c r="DJ50" s="92">
        <f t="shared" si="124"/>
        <v>2243</v>
      </c>
      <c r="DK50" s="92">
        <f t="shared" si="118"/>
        <v>2298</v>
      </c>
      <c r="DL50" s="92">
        <f t="shared" si="114"/>
        <v>2428</v>
      </c>
      <c r="DM50" s="92">
        <f t="shared" si="115"/>
        <v>2567</v>
      </c>
      <c r="DN50" s="92">
        <f t="shared" si="116"/>
        <v>2657</v>
      </c>
      <c r="DO50" s="92">
        <f t="shared" si="117"/>
        <v>2650</v>
      </c>
      <c r="DP50" s="92">
        <f t="shared" si="110"/>
        <v>2527</v>
      </c>
      <c r="DQ50" s="92">
        <f t="shared" si="111"/>
        <v>2560</v>
      </c>
      <c r="DR50" s="92">
        <f t="shared" si="112"/>
        <v>1344</v>
      </c>
      <c r="DS50" s="92">
        <f t="shared" si="113"/>
        <v>858</v>
      </c>
      <c r="DT50" s="92">
        <f t="shared" si="125"/>
        <v>589</v>
      </c>
      <c r="DU50" s="92">
        <f t="shared" si="126"/>
        <v>380</v>
      </c>
      <c r="DV50" s="92"/>
      <c r="DW50" s="92"/>
      <c r="DX50" s="92"/>
      <c r="DY50" s="92"/>
      <c r="DZ50" s="92"/>
      <c r="EA50" s="92"/>
      <c r="EC50" s="85"/>
    </row>
    <row r="51" spans="2:136" s="39" customFormat="1" ht="0.75" customHeight="1">
      <c r="B51" s="44" t="s">
        <v>474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>
        <v>0</v>
      </c>
      <c r="P51" s="92">
        <v>5</v>
      </c>
      <c r="Q51" s="92">
        <v>52</v>
      </c>
      <c r="R51" s="92">
        <v>76</v>
      </c>
      <c r="S51" s="92">
        <v>179</v>
      </c>
      <c r="T51" s="92">
        <v>193</v>
      </c>
      <c r="U51" s="92">
        <v>274</v>
      </c>
      <c r="V51" s="92">
        <v>355</v>
      </c>
      <c r="W51" s="92">
        <v>378.4</v>
      </c>
      <c r="X51" s="92">
        <v>497.4</v>
      </c>
      <c r="Y51" s="92">
        <v>526.6</v>
      </c>
      <c r="Z51" s="92">
        <v>552.9</v>
      </c>
      <c r="AA51" s="92">
        <v>623.79999999999995</v>
      </c>
      <c r="AB51" s="92">
        <v>686.4</v>
      </c>
      <c r="AC51" s="92">
        <v>693</v>
      </c>
      <c r="AD51" s="92">
        <v>600</v>
      </c>
      <c r="AE51" s="92">
        <v>651.20000000000005</v>
      </c>
      <c r="AF51" s="92">
        <v>592.1</v>
      </c>
      <c r="AG51" s="92">
        <v>567.20000000000005</v>
      </c>
      <c r="AH51" s="92">
        <f>AG51+10</f>
        <v>577.20000000000005</v>
      </c>
      <c r="AI51" s="127">
        <v>477</v>
      </c>
      <c r="AJ51" s="92">
        <v>532</v>
      </c>
      <c r="AK51" s="92">
        <v>525</v>
      </c>
      <c r="AL51" s="92">
        <v>577</v>
      </c>
      <c r="AM51" s="92">
        <v>477</v>
      </c>
      <c r="AN51" s="92">
        <v>490</v>
      </c>
      <c r="AO51" s="92">
        <v>485</v>
      </c>
      <c r="AP51" s="92">
        <v>562</v>
      </c>
      <c r="AQ51" s="92">
        <v>480</v>
      </c>
      <c r="AR51" s="92">
        <v>459</v>
      </c>
      <c r="AS51" s="92">
        <v>469</v>
      </c>
      <c r="AT51" s="92">
        <v>475</v>
      </c>
      <c r="AU51" s="92">
        <v>444</v>
      </c>
      <c r="AV51" s="92">
        <v>445</v>
      </c>
      <c r="AW51" s="92">
        <v>423</v>
      </c>
      <c r="AX51" s="92">
        <v>435</v>
      </c>
      <c r="AY51" s="92">
        <v>394</v>
      </c>
      <c r="AZ51" s="92">
        <v>417</v>
      </c>
      <c r="BA51" s="92">
        <v>396</v>
      </c>
      <c r="BB51" s="92">
        <v>436</v>
      </c>
      <c r="BC51" s="92">
        <v>361</v>
      </c>
      <c r="BD51" s="92">
        <v>417</v>
      </c>
      <c r="BE51" s="92">
        <v>369</v>
      </c>
      <c r="BF51" s="92">
        <v>370</v>
      </c>
      <c r="BG51" s="92">
        <v>320</v>
      </c>
      <c r="BH51" s="92">
        <v>320</v>
      </c>
      <c r="BI51" s="92">
        <v>302</v>
      </c>
      <c r="BJ51" s="92">
        <v>308</v>
      </c>
      <c r="BK51" s="92">
        <v>277</v>
      </c>
      <c r="BL51" s="92">
        <v>293</v>
      </c>
      <c r="BM51" s="92">
        <v>273</v>
      </c>
      <c r="BN51" s="92">
        <v>299</v>
      </c>
      <c r="BO51" s="92">
        <v>241</v>
      </c>
      <c r="BP51" s="92">
        <v>182</v>
      </c>
      <c r="BQ51" s="92">
        <v>142</v>
      </c>
      <c r="BR51" s="92">
        <v>186</v>
      </c>
      <c r="BS51" s="92">
        <v>167</v>
      </c>
      <c r="BT51" s="92">
        <v>155</v>
      </c>
      <c r="BU51" s="92">
        <v>92</v>
      </c>
      <c r="BV51" s="92">
        <v>83</v>
      </c>
      <c r="BW51" s="92">
        <v>97</v>
      </c>
      <c r="BX51" s="92">
        <v>76</v>
      </c>
      <c r="BY51" s="92">
        <v>57</v>
      </c>
      <c r="BZ51" s="92">
        <v>54</v>
      </c>
      <c r="CA51" s="92">
        <v>53</v>
      </c>
      <c r="CB51" s="92">
        <v>39</v>
      </c>
      <c r="CC51" s="94" t="s">
        <v>782</v>
      </c>
      <c r="CD51" s="92">
        <v>43</v>
      </c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46"/>
      <c r="DB51" s="92" t="s">
        <v>440</v>
      </c>
      <c r="DC51" s="92" t="s">
        <v>440</v>
      </c>
      <c r="DD51" s="92" t="s">
        <v>440</v>
      </c>
      <c r="DE51" s="92">
        <f t="shared" si="119"/>
        <v>133</v>
      </c>
      <c r="DF51" s="92">
        <f t="shared" si="120"/>
        <v>1001</v>
      </c>
      <c r="DG51" s="92">
        <f t="shared" si="121"/>
        <v>1955.3000000000002</v>
      </c>
      <c r="DH51" s="92">
        <f t="shared" si="122"/>
        <v>2603.1999999999998</v>
      </c>
      <c r="DI51" s="92">
        <f t="shared" si="123"/>
        <v>2387.7000000000003</v>
      </c>
      <c r="DJ51" s="92">
        <f t="shared" si="124"/>
        <v>2111</v>
      </c>
      <c r="DK51" s="92">
        <f t="shared" si="118"/>
        <v>2014</v>
      </c>
      <c r="DL51" s="92">
        <f t="shared" si="114"/>
        <v>1883</v>
      </c>
      <c r="DM51" s="92">
        <f t="shared" si="115"/>
        <v>1747</v>
      </c>
      <c r="DN51" s="92">
        <f t="shared" si="116"/>
        <v>1643</v>
      </c>
      <c r="DO51" s="92">
        <f t="shared" si="117"/>
        <v>1517</v>
      </c>
      <c r="DP51" s="92">
        <f t="shared" si="110"/>
        <v>1250</v>
      </c>
      <c r="DQ51" s="92">
        <f t="shared" si="111"/>
        <v>1142</v>
      </c>
      <c r="DR51" s="92">
        <f t="shared" si="112"/>
        <v>751</v>
      </c>
      <c r="DS51" s="92">
        <f t="shared" si="113"/>
        <v>497</v>
      </c>
      <c r="DT51" s="92">
        <f t="shared" si="125"/>
        <v>284</v>
      </c>
      <c r="DU51" s="92">
        <f t="shared" si="126"/>
        <v>135</v>
      </c>
      <c r="DV51" s="92"/>
      <c r="DW51" s="92"/>
      <c r="DX51" s="92"/>
      <c r="DY51" s="92"/>
      <c r="DZ51" s="92"/>
      <c r="EA51" s="92"/>
      <c r="EC51" s="85"/>
    </row>
    <row r="52" spans="2:136" s="39" customFormat="1" ht="0.75" customHeight="1">
      <c r="B52" s="44" t="s">
        <v>752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>
        <v>49</v>
      </c>
      <c r="BP52" s="92">
        <v>63</v>
      </c>
      <c r="BQ52" s="92">
        <v>59</v>
      </c>
      <c r="BR52" s="92">
        <v>54</v>
      </c>
      <c r="BS52" s="92">
        <v>73</v>
      </c>
      <c r="BT52" s="92">
        <v>101</v>
      </c>
      <c r="BU52" s="92">
        <v>84</v>
      </c>
      <c r="BV52" s="92">
        <v>89</v>
      </c>
      <c r="BW52" s="92">
        <v>94</v>
      </c>
      <c r="BX52" s="92">
        <v>92</v>
      </c>
      <c r="BY52" s="92">
        <v>97</v>
      </c>
      <c r="BZ52" s="92">
        <v>108</v>
      </c>
      <c r="CA52" s="92">
        <v>122</v>
      </c>
      <c r="CB52" s="92">
        <v>115</v>
      </c>
      <c r="CC52" s="94" t="s">
        <v>559</v>
      </c>
      <c r="CD52" s="92">
        <v>105</v>
      </c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46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>
        <f t="shared" si="112"/>
        <v>225</v>
      </c>
      <c r="DS52" s="92">
        <f t="shared" si="113"/>
        <v>347</v>
      </c>
      <c r="DT52" s="92">
        <f t="shared" si="125"/>
        <v>391</v>
      </c>
      <c r="DU52" s="92">
        <f t="shared" si="126"/>
        <v>342</v>
      </c>
      <c r="DV52" s="92"/>
      <c r="DW52" s="92"/>
      <c r="DX52" s="92"/>
      <c r="DY52" s="92"/>
      <c r="DZ52" s="92"/>
      <c r="EA52" s="92"/>
      <c r="EC52" s="85"/>
    </row>
    <row r="53" spans="2:136" s="39" customFormat="1" ht="0.75" customHeight="1">
      <c r="B53" s="44" t="s">
        <v>568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 t="s">
        <v>534</v>
      </c>
      <c r="AE53" s="94" t="s">
        <v>533</v>
      </c>
      <c r="AF53" s="94" t="s">
        <v>554</v>
      </c>
      <c r="AG53" s="94" t="s">
        <v>546</v>
      </c>
      <c r="AH53" s="94" t="s">
        <v>532</v>
      </c>
      <c r="AI53" s="128" t="s">
        <v>520</v>
      </c>
      <c r="AJ53" s="94" t="s">
        <v>511</v>
      </c>
      <c r="AK53" s="94" t="s">
        <v>502</v>
      </c>
      <c r="AL53" s="92">
        <v>165</v>
      </c>
      <c r="AM53" s="92">
        <f>155+164</f>
        <v>319</v>
      </c>
      <c r="AN53" s="92">
        <v>338</v>
      </c>
      <c r="AO53" s="92">
        <v>259</v>
      </c>
      <c r="AP53" s="92">
        <v>303</v>
      </c>
      <c r="AQ53" s="92">
        <v>373</v>
      </c>
      <c r="AR53" s="92">
        <v>323</v>
      </c>
      <c r="AS53" s="92">
        <v>266</v>
      </c>
      <c r="AT53" s="92">
        <v>325</v>
      </c>
      <c r="AU53" s="92">
        <v>375</v>
      </c>
      <c r="AV53" s="92">
        <v>293</v>
      </c>
      <c r="AW53" s="92">
        <v>292</v>
      </c>
      <c r="AX53" s="92">
        <v>308</v>
      </c>
      <c r="AY53" s="92">
        <v>385</v>
      </c>
      <c r="AZ53" s="92">
        <v>325</v>
      </c>
      <c r="BA53" s="92">
        <v>297</v>
      </c>
      <c r="BB53" s="92">
        <v>327</v>
      </c>
      <c r="BC53" s="92">
        <v>312</v>
      </c>
      <c r="BD53" s="92">
        <v>258</v>
      </c>
      <c r="BE53" s="92">
        <v>261</v>
      </c>
      <c r="BF53" s="92">
        <v>268</v>
      </c>
      <c r="BG53" s="92">
        <v>289</v>
      </c>
      <c r="BH53" s="92">
        <v>215</v>
      </c>
      <c r="BI53" s="92">
        <v>121</v>
      </c>
      <c r="BJ53" s="92">
        <v>231</v>
      </c>
      <c r="BK53" s="92">
        <v>229</v>
      </c>
      <c r="BL53" s="92">
        <v>101</v>
      </c>
      <c r="BM53" s="92">
        <v>94</v>
      </c>
      <c r="BN53" s="92">
        <v>112</v>
      </c>
      <c r="BO53" s="92">
        <v>139</v>
      </c>
      <c r="BP53" s="92">
        <v>85</v>
      </c>
      <c r="BQ53" s="92">
        <v>42</v>
      </c>
      <c r="BR53" s="92">
        <v>120</v>
      </c>
      <c r="BS53" s="92">
        <v>122</v>
      </c>
      <c r="BT53" s="92">
        <v>81</v>
      </c>
      <c r="BU53" s="92">
        <v>71</v>
      </c>
      <c r="BV53" s="92">
        <v>102</v>
      </c>
      <c r="BW53" s="92">
        <v>96</v>
      </c>
      <c r="BX53" s="92">
        <v>72</v>
      </c>
      <c r="BY53" s="92">
        <v>58</v>
      </c>
      <c r="BZ53" s="92">
        <v>67</v>
      </c>
      <c r="CA53" s="92">
        <v>71</v>
      </c>
      <c r="CB53" s="92">
        <v>49</v>
      </c>
      <c r="CC53" s="94" t="s">
        <v>624</v>
      </c>
      <c r="CD53" s="92">
        <v>57</v>
      </c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46"/>
      <c r="DB53" s="92"/>
      <c r="DC53" s="92"/>
      <c r="DD53" s="92"/>
      <c r="DE53" s="92"/>
      <c r="DF53" s="92"/>
      <c r="DG53" s="92"/>
      <c r="DH53" s="92"/>
      <c r="DI53" s="94" t="s">
        <v>562</v>
      </c>
      <c r="DJ53" s="94" t="s">
        <v>563</v>
      </c>
      <c r="DK53" s="92">
        <f>SUM(AM53:AP53)</f>
        <v>1219</v>
      </c>
      <c r="DL53" s="92">
        <f>DK53</f>
        <v>1219</v>
      </c>
      <c r="DM53" s="92">
        <f>SUM(AU53:AX53)</f>
        <v>1268</v>
      </c>
      <c r="DN53" s="92">
        <f>SUM(AY53:BB53)</f>
        <v>1334</v>
      </c>
      <c r="DO53" s="92">
        <f>SUM(BC53:BF53)</f>
        <v>1099</v>
      </c>
      <c r="DP53" s="92">
        <f>SUM(BG53:BJ53)</f>
        <v>856</v>
      </c>
      <c r="DQ53" s="92">
        <f>SUM(BK53:BN53)</f>
        <v>536</v>
      </c>
      <c r="DR53" s="92">
        <f t="shared" si="112"/>
        <v>386</v>
      </c>
      <c r="DS53" s="92">
        <f t="shared" si="113"/>
        <v>376</v>
      </c>
      <c r="DT53" s="92">
        <f t="shared" si="125"/>
        <v>293</v>
      </c>
      <c r="DU53" s="92">
        <f t="shared" si="126"/>
        <v>177</v>
      </c>
      <c r="DV53" s="92"/>
      <c r="DW53" s="92"/>
      <c r="DX53" s="92"/>
      <c r="DY53" s="92"/>
      <c r="DZ53" s="92"/>
      <c r="EA53" s="92"/>
      <c r="EC53" s="28"/>
      <c r="EF53" s="41"/>
    </row>
    <row r="54" spans="2:136" s="39" customFormat="1" ht="0.75" customHeight="1">
      <c r="B54" s="44" t="s">
        <v>774</v>
      </c>
      <c r="C54" s="92">
        <v>430.71800000000002</v>
      </c>
      <c r="D54" s="92">
        <v>430.71800000000002</v>
      </c>
      <c r="E54" s="92">
        <v>508.7876</v>
      </c>
      <c r="F54" s="92">
        <v>454.80281608529947</v>
      </c>
      <c r="G54" s="92">
        <v>422</v>
      </c>
      <c r="H54" s="92">
        <v>525</v>
      </c>
      <c r="I54" s="92">
        <v>549</v>
      </c>
      <c r="J54" s="92">
        <v>681</v>
      </c>
      <c r="K54" s="92">
        <v>633</v>
      </c>
      <c r="L54" s="92">
        <v>541</v>
      </c>
      <c r="M54" s="92">
        <v>622</v>
      </c>
      <c r="N54" s="92">
        <v>690</v>
      </c>
      <c r="O54" s="92">
        <v>629</v>
      </c>
      <c r="P54" s="92">
        <v>725</v>
      </c>
      <c r="Q54" s="92">
        <v>706</v>
      </c>
      <c r="R54" s="92">
        <v>764</v>
      </c>
      <c r="S54" s="92">
        <v>719</v>
      </c>
      <c r="T54" s="92">
        <v>785</v>
      </c>
      <c r="U54" s="92">
        <v>751</v>
      </c>
      <c r="V54" s="92">
        <v>782</v>
      </c>
      <c r="W54" s="92">
        <v>701</v>
      </c>
      <c r="X54" s="92">
        <v>784</v>
      </c>
      <c r="Y54" s="92">
        <v>813</v>
      </c>
      <c r="Z54" s="92">
        <v>865</v>
      </c>
      <c r="AA54" s="92">
        <v>798</v>
      </c>
      <c r="AB54" s="92">
        <v>847</v>
      </c>
      <c r="AC54" s="92">
        <v>814</v>
      </c>
      <c r="AD54" s="92">
        <v>800</v>
      </c>
      <c r="AE54" s="92">
        <v>847</v>
      </c>
      <c r="AF54" s="92">
        <v>941</v>
      </c>
      <c r="AG54" s="92">
        <v>888</v>
      </c>
      <c r="AH54" s="92">
        <f>+AG54+5</f>
        <v>893</v>
      </c>
      <c r="AI54" s="127">
        <v>839</v>
      </c>
      <c r="AJ54" s="92">
        <v>906</v>
      </c>
      <c r="AK54" s="92">
        <v>861</v>
      </c>
      <c r="AL54" s="92">
        <v>955</v>
      </c>
      <c r="AM54" s="92">
        <v>782</v>
      </c>
      <c r="AN54" s="92">
        <v>485</v>
      </c>
      <c r="AO54" s="92">
        <v>423</v>
      </c>
      <c r="AP54" s="92">
        <v>415</v>
      </c>
      <c r="AQ54" s="92">
        <v>426</v>
      </c>
      <c r="AR54" s="92">
        <v>406</v>
      </c>
      <c r="AS54" s="92">
        <v>404</v>
      </c>
      <c r="AT54" s="92">
        <v>427</v>
      </c>
      <c r="AU54" s="92">
        <v>336</v>
      </c>
      <c r="AV54" s="92">
        <v>337</v>
      </c>
      <c r="AW54" s="92">
        <v>295</v>
      </c>
      <c r="AX54" s="92">
        <v>315</v>
      </c>
      <c r="AY54" s="92">
        <v>267</v>
      </c>
      <c r="AZ54" s="92">
        <v>255</v>
      </c>
      <c r="BA54" s="92">
        <v>238</v>
      </c>
      <c r="BB54" s="92">
        <v>246</v>
      </c>
      <c r="BC54" s="92">
        <v>205</v>
      </c>
      <c r="BD54" s="92">
        <v>214</v>
      </c>
      <c r="BE54" s="92">
        <v>195</v>
      </c>
      <c r="BF54" s="92">
        <v>192</v>
      </c>
      <c r="BG54" s="92">
        <v>185</v>
      </c>
      <c r="BH54" s="92">
        <v>189</v>
      </c>
      <c r="BI54" s="92">
        <v>150</v>
      </c>
      <c r="BJ54" s="92">
        <v>143</v>
      </c>
      <c r="BK54" s="92">
        <v>126</v>
      </c>
      <c r="BL54" s="92">
        <v>132</v>
      </c>
      <c r="BM54" s="92">
        <v>131</v>
      </c>
      <c r="BN54" s="92">
        <v>121</v>
      </c>
      <c r="BO54" s="92">
        <v>112</v>
      </c>
      <c r="BP54" s="92">
        <v>119</v>
      </c>
      <c r="BQ54" s="92">
        <v>128</v>
      </c>
      <c r="BR54" s="92">
        <v>125</v>
      </c>
      <c r="BS54" s="92">
        <v>120</v>
      </c>
      <c r="BT54" s="92">
        <v>125</v>
      </c>
      <c r="BU54" s="92">
        <v>103</v>
      </c>
      <c r="BV54" s="92">
        <v>105</v>
      </c>
      <c r="BW54" s="92">
        <v>103</v>
      </c>
      <c r="BX54" s="92">
        <v>109</v>
      </c>
      <c r="BY54" s="92">
        <v>116</v>
      </c>
      <c r="BZ54" s="92">
        <v>113</v>
      </c>
      <c r="CA54" s="92">
        <v>102</v>
      </c>
      <c r="CB54" s="92">
        <v>98</v>
      </c>
      <c r="CC54" s="94" t="s">
        <v>783</v>
      </c>
      <c r="CD54" s="92">
        <v>94</v>
      </c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46"/>
      <c r="DB54" s="92">
        <v>1825</v>
      </c>
      <c r="DC54" s="92">
        <v>2190</v>
      </c>
      <c r="DD54" s="92">
        <v>2486</v>
      </c>
      <c r="DE54" s="92">
        <f>SUM(O54:R54)</f>
        <v>2824</v>
      </c>
      <c r="DF54" s="92">
        <f>SUM(S54:V54)</f>
        <v>3037</v>
      </c>
      <c r="DG54" s="92">
        <f>SUM(W54:Z54)</f>
        <v>3163</v>
      </c>
      <c r="DH54" s="92">
        <f>SUM(AA54:AD54)</f>
        <v>3259</v>
      </c>
      <c r="DI54" s="92">
        <f>SUM(AE54:AH54)</f>
        <v>3569</v>
      </c>
      <c r="DJ54" s="92">
        <f>SUM(AI54:AL54)</f>
        <v>3561</v>
      </c>
      <c r="DK54" s="92">
        <f>SUM(AM54:AP54)</f>
        <v>2105</v>
      </c>
      <c r="DL54" s="92">
        <f>SUM(AQ54:AT54)</f>
        <v>1663</v>
      </c>
      <c r="DM54" s="92">
        <f>SUM(AU54:AX54)</f>
        <v>1283</v>
      </c>
      <c r="DN54" s="92">
        <f>SUM(AY54:BB54)</f>
        <v>1006</v>
      </c>
      <c r="DO54" s="92">
        <f>SUM(BC54:BF54)</f>
        <v>806</v>
      </c>
      <c r="DP54" s="92">
        <f>SUM(BG54:BJ54)</f>
        <v>667</v>
      </c>
      <c r="DQ54" s="92">
        <f>SUM(BK54:BN54)</f>
        <v>510</v>
      </c>
      <c r="DR54" s="92">
        <f t="shared" si="112"/>
        <v>484</v>
      </c>
      <c r="DS54" s="92">
        <f t="shared" si="113"/>
        <v>453</v>
      </c>
      <c r="DT54" s="92">
        <f t="shared" si="125"/>
        <v>441</v>
      </c>
      <c r="DU54" s="92">
        <f t="shared" si="126"/>
        <v>294</v>
      </c>
      <c r="DV54" s="92"/>
      <c r="DW54" s="92"/>
      <c r="DX54" s="92"/>
      <c r="DY54" s="92"/>
      <c r="DZ54" s="92"/>
      <c r="EA54" s="92"/>
      <c r="EB54" s="95"/>
      <c r="EC54" s="92"/>
      <c r="ED54" s="95"/>
      <c r="EE54" s="95"/>
      <c r="EF54" s="90"/>
    </row>
    <row r="55" spans="2:136" s="8" customFormat="1" ht="0.75" customHeight="1">
      <c r="B55" s="45" t="s">
        <v>632</v>
      </c>
      <c r="C55" s="9"/>
      <c r="D55" s="9"/>
      <c r="E55" s="9"/>
      <c r="F55" s="9"/>
      <c r="G55" s="7"/>
      <c r="H55" s="7"/>
      <c r="I55" s="92"/>
      <c r="J55" s="92"/>
      <c r="K55" s="92"/>
      <c r="L55" s="92"/>
      <c r="M55" s="92"/>
      <c r="N55" s="92"/>
      <c r="O55" s="92">
        <v>63</v>
      </c>
      <c r="P55" s="92">
        <v>65</v>
      </c>
      <c r="Q55" s="92">
        <v>67</v>
      </c>
      <c r="R55" s="92">
        <v>76</v>
      </c>
      <c r="S55" s="92">
        <v>70</v>
      </c>
      <c r="T55" s="92">
        <v>69</v>
      </c>
      <c r="U55" s="92">
        <v>67</v>
      </c>
      <c r="V55" s="92">
        <v>86</v>
      </c>
      <c r="W55" s="92">
        <v>75</v>
      </c>
      <c r="X55" s="92">
        <v>85</v>
      </c>
      <c r="Y55" s="92">
        <v>89</v>
      </c>
      <c r="Z55" s="92">
        <v>103</v>
      </c>
      <c r="AA55" s="92">
        <v>95</v>
      </c>
      <c r="AB55" s="92">
        <v>98</v>
      </c>
      <c r="AC55" s="91">
        <v>99</v>
      </c>
      <c r="AD55" s="92">
        <f>AC55</f>
        <v>99</v>
      </c>
      <c r="AE55" s="92">
        <v>105</v>
      </c>
      <c r="AF55" s="92">
        <v>108</v>
      </c>
      <c r="AG55" s="92">
        <v>108</v>
      </c>
      <c r="AH55" s="92">
        <f>AG55</f>
        <v>108</v>
      </c>
      <c r="AI55" s="127">
        <v>103</v>
      </c>
      <c r="AJ55" s="92">
        <v>106</v>
      </c>
      <c r="AK55" s="92">
        <v>109</v>
      </c>
      <c r="AL55" s="92">
        <v>123</v>
      </c>
      <c r="AM55" s="92">
        <f>35+64</f>
        <v>99</v>
      </c>
      <c r="AN55" s="92">
        <v>113</v>
      </c>
      <c r="AO55" s="92">
        <v>109</v>
      </c>
      <c r="AP55" s="92">
        <v>124</v>
      </c>
      <c r="AQ55" s="92">
        <v>106</v>
      </c>
      <c r="AR55" s="92">
        <v>112</v>
      </c>
      <c r="AS55" s="92">
        <v>112</v>
      </c>
      <c r="AT55" s="92">
        <v>117</v>
      </c>
      <c r="AU55" s="92">
        <v>108</v>
      </c>
      <c r="AV55" s="92">
        <v>100</v>
      </c>
      <c r="AW55" s="92">
        <v>104</v>
      </c>
      <c r="AX55" s="92">
        <v>112</v>
      </c>
      <c r="AY55" s="92">
        <v>68</v>
      </c>
      <c r="AZ55" s="92">
        <v>67</v>
      </c>
      <c r="BA55" s="92">
        <v>71</v>
      </c>
      <c r="BB55" s="92">
        <v>77</v>
      </c>
      <c r="BC55" s="92">
        <v>74</v>
      </c>
      <c r="BD55" s="92">
        <v>58</v>
      </c>
      <c r="BE55" s="92">
        <v>66</v>
      </c>
      <c r="BF55" s="92">
        <v>67</v>
      </c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47"/>
      <c r="DB55" s="9" t="s">
        <v>440</v>
      </c>
      <c r="DC55" s="92" t="s">
        <v>440</v>
      </c>
      <c r="DD55" s="92">
        <v>239</v>
      </c>
      <c r="DE55" s="92">
        <f>SUM(O55:R55)</f>
        <v>271</v>
      </c>
      <c r="DF55" s="92">
        <f>SUM(S55:V55)</f>
        <v>292</v>
      </c>
      <c r="DG55" s="92">
        <f>SUM(W55:Z55)</f>
        <v>352</v>
      </c>
      <c r="DH55" s="92">
        <f>SUM(AA55:AD55)</f>
        <v>391</v>
      </c>
      <c r="DI55" s="92">
        <f>SUM(AE55:AH55)</f>
        <v>429</v>
      </c>
      <c r="DJ55" s="92">
        <f>SUM(AI55:AL55)</f>
        <v>441</v>
      </c>
      <c r="DK55" s="92">
        <f>SUM(AM55:AP55)</f>
        <v>445</v>
      </c>
      <c r="DL55" s="92">
        <f t="shared" si="72"/>
        <v>447</v>
      </c>
      <c r="DM55" s="92">
        <f t="shared" si="28"/>
        <v>424</v>
      </c>
      <c r="DN55" s="92">
        <f t="shared" ref="DN55:DN56" si="127">SUM(AY55:BB55)</f>
        <v>283</v>
      </c>
      <c r="DO55" s="92">
        <f t="shared" ref="DO55:DO56" si="128">SUM(BC55:BF55)</f>
        <v>265</v>
      </c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C55" s="28"/>
      <c r="EF55" s="97"/>
    </row>
    <row r="56" spans="2:136" s="8" customFormat="1" ht="0.75" customHeight="1">
      <c r="B56" s="45" t="s">
        <v>587</v>
      </c>
      <c r="C56" s="9"/>
      <c r="D56" s="9"/>
      <c r="E56" s="9"/>
      <c r="F56" s="9"/>
      <c r="G56" s="7"/>
      <c r="H56" s="7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128" t="s">
        <v>622</v>
      </c>
      <c r="AJ56" s="92">
        <v>50</v>
      </c>
      <c r="AK56" s="92">
        <v>74</v>
      </c>
      <c r="AL56" s="92">
        <v>38</v>
      </c>
      <c r="AM56" s="92">
        <v>51</v>
      </c>
      <c r="AN56" s="92">
        <v>59</v>
      </c>
      <c r="AO56" s="92">
        <v>50</v>
      </c>
      <c r="AP56" s="92">
        <v>62</v>
      </c>
      <c r="AQ56" s="92">
        <v>60</v>
      </c>
      <c r="AR56" s="92">
        <v>57</v>
      </c>
      <c r="AS56" s="92">
        <v>65</v>
      </c>
      <c r="AT56" s="92">
        <v>59</v>
      </c>
      <c r="AU56" s="92">
        <v>57</v>
      </c>
      <c r="AV56" s="92">
        <v>66</v>
      </c>
      <c r="AW56" s="92">
        <v>52</v>
      </c>
      <c r="AX56" s="92">
        <v>57</v>
      </c>
      <c r="AY56" s="92">
        <v>52</v>
      </c>
      <c r="AZ56" s="92">
        <v>53</v>
      </c>
      <c r="BA56" s="92">
        <v>44</v>
      </c>
      <c r="BB56" s="92">
        <v>56</v>
      </c>
      <c r="BC56" s="92">
        <v>50</v>
      </c>
      <c r="BD56" s="92">
        <v>40</v>
      </c>
      <c r="BE56" s="92">
        <v>47</v>
      </c>
      <c r="BF56" s="92">
        <v>56</v>
      </c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47"/>
      <c r="DB56" s="9"/>
      <c r="DC56" s="92"/>
      <c r="DD56" s="92"/>
      <c r="DE56" s="92"/>
      <c r="DF56" s="92"/>
      <c r="DG56" s="92"/>
      <c r="DH56" s="92"/>
      <c r="DI56" s="92"/>
      <c r="DJ56" s="92"/>
      <c r="DK56" s="92">
        <f t="shared" ref="DK56:DK69" si="129">SUM(AM56:AP56)</f>
        <v>222</v>
      </c>
      <c r="DL56" s="92">
        <f t="shared" si="72"/>
        <v>241</v>
      </c>
      <c r="DM56" s="92">
        <f t="shared" si="28"/>
        <v>232</v>
      </c>
      <c r="DN56" s="92">
        <f t="shared" si="127"/>
        <v>205</v>
      </c>
      <c r="DO56" s="92">
        <f t="shared" si="128"/>
        <v>193</v>
      </c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C56" s="28"/>
    </row>
    <row r="57" spans="2:136" s="8" customFormat="1" ht="0.75" customHeight="1">
      <c r="B57" s="45" t="s">
        <v>102</v>
      </c>
      <c r="C57" s="9"/>
      <c r="D57" s="9"/>
      <c r="E57" s="9"/>
      <c r="F57" s="9"/>
      <c r="G57" s="7"/>
      <c r="H57" s="7"/>
      <c r="I57" s="92"/>
      <c r="J57" s="92"/>
      <c r="K57" s="92"/>
      <c r="L57" s="92"/>
      <c r="M57" s="92"/>
      <c r="N57" s="92"/>
      <c r="O57" s="92">
        <v>175</v>
      </c>
      <c r="P57" s="92">
        <v>185</v>
      </c>
      <c r="Q57" s="92">
        <v>180</v>
      </c>
      <c r="R57" s="92">
        <v>194</v>
      </c>
      <c r="S57" s="92">
        <v>175</v>
      </c>
      <c r="T57" s="92">
        <v>188</v>
      </c>
      <c r="U57" s="92">
        <v>186</v>
      </c>
      <c r="V57" s="92">
        <v>192</v>
      </c>
      <c r="W57" s="92">
        <v>188</v>
      </c>
      <c r="X57" s="92">
        <v>183</v>
      </c>
      <c r="Y57" s="92">
        <v>127</v>
      </c>
      <c r="Z57" s="92">
        <v>120</v>
      </c>
      <c r="AA57" s="92">
        <v>125</v>
      </c>
      <c r="AB57" s="92">
        <v>113</v>
      </c>
      <c r="AC57" s="91">
        <v>90</v>
      </c>
      <c r="AD57" s="92">
        <f>AC57</f>
        <v>90</v>
      </c>
      <c r="AE57" s="92">
        <v>85</v>
      </c>
      <c r="AF57" s="92">
        <v>86</v>
      </c>
      <c r="AG57" s="92">
        <v>81</v>
      </c>
      <c r="AH57" s="92">
        <f>AG57-2</f>
        <v>79</v>
      </c>
      <c r="AI57" s="127">
        <v>72</v>
      </c>
      <c r="AJ57" s="92">
        <v>79</v>
      </c>
      <c r="AK57" s="92">
        <v>67</v>
      </c>
      <c r="AL57" s="92">
        <v>72</v>
      </c>
      <c r="AM57" s="92">
        <v>58</v>
      </c>
      <c r="AN57" s="92">
        <v>56</v>
      </c>
      <c r="AO57" s="92">
        <v>58</v>
      </c>
      <c r="AP57" s="92">
        <v>44</v>
      </c>
      <c r="AQ57" s="92">
        <v>60</v>
      </c>
      <c r="AR57" s="92">
        <v>53</v>
      </c>
      <c r="AS57" s="92">
        <v>58</v>
      </c>
      <c r="AT57" s="92">
        <v>52</v>
      </c>
      <c r="AU57" s="92">
        <v>51</v>
      </c>
      <c r="AV57" s="92">
        <v>55</v>
      </c>
      <c r="AW57" s="92">
        <v>55</v>
      </c>
      <c r="AX57" s="92">
        <v>56</v>
      </c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47"/>
      <c r="DB57" s="9" t="s">
        <v>440</v>
      </c>
      <c r="DC57" s="96" t="s">
        <v>440</v>
      </c>
      <c r="DD57" s="92">
        <v>606</v>
      </c>
      <c r="DE57" s="92">
        <f>SUM(O57:R57)</f>
        <v>734</v>
      </c>
      <c r="DF57" s="92">
        <f>SUM(S57:V57)</f>
        <v>741</v>
      </c>
      <c r="DG57" s="92">
        <f>SUM(W57:Z57)</f>
        <v>618</v>
      </c>
      <c r="DH57" s="92">
        <f>SUM(AA57:AD57)</f>
        <v>418</v>
      </c>
      <c r="DI57" s="92">
        <f>SUM(AE57:AH57)</f>
        <v>331</v>
      </c>
      <c r="DJ57" s="92">
        <f>SUM(AI57:AL57)</f>
        <v>290</v>
      </c>
      <c r="DK57" s="92">
        <f t="shared" si="129"/>
        <v>216</v>
      </c>
      <c r="DL57" s="92">
        <f t="shared" si="72"/>
        <v>223</v>
      </c>
      <c r="DM57" s="92">
        <f t="shared" si="28"/>
        <v>217</v>
      </c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C57" s="28"/>
    </row>
    <row r="58" spans="2:136" s="8" customFormat="1" ht="0.75" customHeight="1">
      <c r="B58" s="45" t="s">
        <v>612</v>
      </c>
      <c r="C58" s="9"/>
      <c r="D58" s="9"/>
      <c r="E58" s="9"/>
      <c r="F58" s="9"/>
      <c r="G58" s="7"/>
      <c r="H58" s="7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1"/>
      <c r="AD58" s="92"/>
      <c r="AE58" s="92"/>
      <c r="AF58" s="92"/>
      <c r="AG58" s="92"/>
      <c r="AH58" s="92"/>
      <c r="AI58" s="128" t="s">
        <v>630</v>
      </c>
      <c r="AJ58" s="92">
        <v>71</v>
      </c>
      <c r="AK58" s="92">
        <v>70</v>
      </c>
      <c r="AL58" s="92">
        <v>118</v>
      </c>
      <c r="AM58" s="92">
        <v>106</v>
      </c>
      <c r="AN58" s="92">
        <v>59</v>
      </c>
      <c r="AO58" s="92">
        <v>59</v>
      </c>
      <c r="AP58" s="92">
        <v>92</v>
      </c>
      <c r="AQ58" s="92">
        <v>106</v>
      </c>
      <c r="AR58" s="92">
        <v>61</v>
      </c>
      <c r="AS58" s="92">
        <v>59</v>
      </c>
      <c r="AT58" s="92">
        <v>95</v>
      </c>
      <c r="AU58" s="92">
        <v>73</v>
      </c>
      <c r="AV58" s="92">
        <v>44</v>
      </c>
      <c r="AW58" s="92">
        <v>30</v>
      </c>
      <c r="AX58" s="92">
        <v>55</v>
      </c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47"/>
      <c r="DB58" s="9"/>
      <c r="DC58" s="92"/>
      <c r="DD58" s="92"/>
      <c r="DE58" s="92"/>
      <c r="DF58" s="92"/>
      <c r="DG58" s="92"/>
      <c r="DH58" s="92"/>
      <c r="DI58" s="92"/>
      <c r="DJ58" s="92"/>
      <c r="DK58" s="92">
        <f t="shared" si="129"/>
        <v>316</v>
      </c>
      <c r="DL58" s="92">
        <f t="shared" si="72"/>
        <v>321</v>
      </c>
      <c r="DM58" s="92">
        <f t="shared" si="28"/>
        <v>202</v>
      </c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C58" s="28"/>
    </row>
    <row r="59" spans="2:136" s="8" customFormat="1" ht="0.75" customHeight="1">
      <c r="B59" s="45" t="s">
        <v>354</v>
      </c>
      <c r="C59" s="9"/>
      <c r="D59" s="9"/>
      <c r="E59" s="9"/>
      <c r="F59" s="9"/>
      <c r="G59" s="7"/>
      <c r="H59" s="7"/>
      <c r="I59" s="92"/>
      <c r="J59" s="92"/>
      <c r="K59" s="92"/>
      <c r="L59" s="92"/>
      <c r="M59" s="92"/>
      <c r="N59" s="92"/>
      <c r="O59" s="92">
        <v>64</v>
      </c>
      <c r="P59" s="92">
        <v>64</v>
      </c>
      <c r="Q59" s="92">
        <v>65</v>
      </c>
      <c r="R59" s="92">
        <v>62</v>
      </c>
      <c r="S59" s="92">
        <v>79</v>
      </c>
      <c r="T59" s="92">
        <v>89</v>
      </c>
      <c r="U59" s="92">
        <v>91</v>
      </c>
      <c r="V59" s="92">
        <v>90</v>
      </c>
      <c r="W59" s="92">
        <v>82</v>
      </c>
      <c r="X59" s="92">
        <v>74</v>
      </c>
      <c r="Y59" s="92">
        <v>83</v>
      </c>
      <c r="Z59" s="92">
        <v>89</v>
      </c>
      <c r="AA59" s="92">
        <v>82</v>
      </c>
      <c r="AB59" s="92">
        <v>75</v>
      </c>
      <c r="AC59" s="91">
        <v>72</v>
      </c>
      <c r="AD59" s="92">
        <f>AC59</f>
        <v>72</v>
      </c>
      <c r="AE59" s="92">
        <v>75</v>
      </c>
      <c r="AF59" s="92">
        <v>79</v>
      </c>
      <c r="AG59" s="92">
        <v>69</v>
      </c>
      <c r="AH59" s="92">
        <f>AG59-1</f>
        <v>68</v>
      </c>
      <c r="AI59" s="127">
        <v>49</v>
      </c>
      <c r="AJ59" s="92">
        <v>56</v>
      </c>
      <c r="AK59" s="92">
        <v>49</v>
      </c>
      <c r="AL59" s="92">
        <v>52</v>
      </c>
      <c r="AM59" s="92">
        <v>52</v>
      </c>
      <c r="AN59" s="92">
        <v>48</v>
      </c>
      <c r="AO59" s="92">
        <v>49</v>
      </c>
      <c r="AP59" s="92">
        <v>58</v>
      </c>
      <c r="AQ59" s="92">
        <v>45</v>
      </c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47"/>
      <c r="DB59" s="9" t="s">
        <v>440</v>
      </c>
      <c r="DC59" s="92" t="s">
        <v>440</v>
      </c>
      <c r="DD59" s="92">
        <v>291</v>
      </c>
      <c r="DE59" s="92">
        <f>SUM(O59:R59)</f>
        <v>255</v>
      </c>
      <c r="DF59" s="92">
        <f>SUM(S59:V59)</f>
        <v>349</v>
      </c>
      <c r="DG59" s="92">
        <f>SUM(W59:Z59)</f>
        <v>328</v>
      </c>
      <c r="DH59" s="92">
        <f>SUM(AA59:AD59)</f>
        <v>301</v>
      </c>
      <c r="DI59" s="92">
        <f>SUM(AE59:AH59)</f>
        <v>291</v>
      </c>
      <c r="DJ59" s="92">
        <f>SUM(AI59:AL59)</f>
        <v>206</v>
      </c>
      <c r="DK59" s="92">
        <f t="shared" si="129"/>
        <v>207</v>
      </c>
      <c r="DL59" s="92">
        <f t="shared" si="72"/>
        <v>45</v>
      </c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C59" s="28"/>
    </row>
    <row r="60" spans="2:136" s="8" customFormat="1" ht="0.75" customHeight="1">
      <c r="B60" s="45" t="s">
        <v>585</v>
      </c>
      <c r="C60" s="9"/>
      <c r="D60" s="9"/>
      <c r="E60" s="9"/>
      <c r="F60" s="9"/>
      <c r="G60" s="7"/>
      <c r="H60" s="7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1"/>
      <c r="AD60" s="92"/>
      <c r="AE60" s="92"/>
      <c r="AF60" s="92"/>
      <c r="AG60" s="92"/>
      <c r="AH60" s="92"/>
      <c r="AI60" s="128" t="s">
        <v>629</v>
      </c>
      <c r="AJ60" s="92">
        <v>67</v>
      </c>
      <c r="AK60" s="92">
        <v>64</v>
      </c>
      <c r="AL60" s="92">
        <v>57</v>
      </c>
      <c r="AM60" s="92">
        <v>56</v>
      </c>
      <c r="AN60" s="92">
        <v>55</v>
      </c>
      <c r="AO60" s="92">
        <v>55</v>
      </c>
      <c r="AP60" s="92">
        <v>54</v>
      </c>
      <c r="AQ60" s="92">
        <v>53</v>
      </c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47"/>
      <c r="DB60" s="9"/>
      <c r="DC60" s="92"/>
      <c r="DD60" s="92"/>
      <c r="DE60" s="92"/>
      <c r="DF60" s="92"/>
      <c r="DG60" s="92"/>
      <c r="DH60" s="92"/>
      <c r="DI60" s="92"/>
      <c r="DJ60" s="92"/>
      <c r="DK60" s="92">
        <f t="shared" si="129"/>
        <v>220</v>
      </c>
      <c r="DL60" s="92">
        <f t="shared" si="72"/>
        <v>53</v>
      </c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C60" s="28"/>
    </row>
    <row r="61" spans="2:136" s="8" customFormat="1" ht="0.75" customHeight="1">
      <c r="B61" s="45" t="s">
        <v>101</v>
      </c>
      <c r="C61" s="9"/>
      <c r="D61" s="9"/>
      <c r="E61" s="9"/>
      <c r="F61" s="9"/>
      <c r="G61" s="7"/>
      <c r="H61" s="7"/>
      <c r="I61" s="92"/>
      <c r="J61" s="92"/>
      <c r="K61" s="92"/>
      <c r="L61" s="92"/>
      <c r="M61" s="92"/>
      <c r="N61" s="92"/>
      <c r="O61" s="92">
        <v>56</v>
      </c>
      <c r="P61" s="92">
        <v>79</v>
      </c>
      <c r="Q61" s="92">
        <v>84</v>
      </c>
      <c r="R61" s="92">
        <v>91</v>
      </c>
      <c r="S61" s="92">
        <v>78</v>
      </c>
      <c r="T61" s="92">
        <v>84</v>
      </c>
      <c r="U61" s="92">
        <v>92</v>
      </c>
      <c r="V61" s="92">
        <v>94</v>
      </c>
      <c r="W61" s="92">
        <v>93</v>
      </c>
      <c r="X61" s="92">
        <v>97</v>
      </c>
      <c r="Y61" s="92">
        <v>105</v>
      </c>
      <c r="Z61" s="92">
        <v>111</v>
      </c>
      <c r="AA61" s="92">
        <v>107</v>
      </c>
      <c r="AB61" s="92">
        <v>109</v>
      </c>
      <c r="AC61" s="91">
        <v>125</v>
      </c>
      <c r="AD61" s="92">
        <f>AC61</f>
        <v>125</v>
      </c>
      <c r="AE61" s="92">
        <v>122</v>
      </c>
      <c r="AF61" s="92">
        <v>130</v>
      </c>
      <c r="AG61" s="92">
        <v>136</v>
      </c>
      <c r="AH61" s="92">
        <f>AG61</f>
        <v>136</v>
      </c>
      <c r="AI61" s="127">
        <v>133</v>
      </c>
      <c r="AJ61" s="92">
        <v>141</v>
      </c>
      <c r="AK61" s="92">
        <v>144</v>
      </c>
      <c r="AL61" s="92">
        <v>156</v>
      </c>
      <c r="AM61" s="92">
        <v>135</v>
      </c>
      <c r="AN61" s="92">
        <v>133</v>
      </c>
      <c r="AO61" s="92">
        <v>133</v>
      </c>
      <c r="AP61" s="92">
        <v>149</v>
      </c>
      <c r="AQ61" s="92">
        <v>173</v>
      </c>
      <c r="AR61" s="92">
        <v>131</v>
      </c>
      <c r="AS61" s="92">
        <v>156</v>
      </c>
      <c r="AT61" s="92">
        <v>178</v>
      </c>
      <c r="AU61" s="92">
        <v>156</v>
      </c>
      <c r="AV61" s="92">
        <v>154</v>
      </c>
      <c r="AW61" s="92">
        <v>166</v>
      </c>
      <c r="AX61" s="92">
        <v>165</v>
      </c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47"/>
      <c r="DB61" s="9" t="s">
        <v>440</v>
      </c>
      <c r="DC61" s="92" t="s">
        <v>440</v>
      </c>
      <c r="DD61" s="92">
        <v>324</v>
      </c>
      <c r="DE61" s="92">
        <f>SUM(O61:R61)</f>
        <v>310</v>
      </c>
      <c r="DF61" s="92">
        <f>SUM(S61:V61)</f>
        <v>348</v>
      </c>
      <c r="DG61" s="92">
        <f>SUM(W61:Z61)</f>
        <v>406</v>
      </c>
      <c r="DH61" s="92">
        <f>SUM(AA61:AD61)</f>
        <v>466</v>
      </c>
      <c r="DI61" s="92">
        <f>SUM(AE61:AH61)</f>
        <v>524</v>
      </c>
      <c r="DJ61" s="92">
        <f>SUM(AI61:AL61)</f>
        <v>574</v>
      </c>
      <c r="DK61" s="92">
        <f t="shared" si="129"/>
        <v>550</v>
      </c>
      <c r="DL61" s="92">
        <f t="shared" si="72"/>
        <v>638</v>
      </c>
      <c r="DM61" s="92">
        <f t="shared" si="28"/>
        <v>641</v>
      </c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C61" s="28"/>
    </row>
    <row r="62" spans="2:136" s="8" customFormat="1" ht="0.75" customHeight="1">
      <c r="B62" s="45" t="s">
        <v>439</v>
      </c>
      <c r="C62" s="92">
        <v>315.91790000000003</v>
      </c>
      <c r="D62" s="92">
        <v>315.91802000000001</v>
      </c>
      <c r="E62" s="92">
        <v>315.00424999999996</v>
      </c>
      <c r="F62" s="92">
        <v>324.61241835208943</v>
      </c>
      <c r="G62" s="92">
        <v>417</v>
      </c>
      <c r="H62" s="92">
        <v>222</v>
      </c>
      <c r="I62" s="92">
        <v>342</v>
      </c>
      <c r="J62" s="92">
        <v>508</v>
      </c>
      <c r="K62" s="92">
        <v>464</v>
      </c>
      <c r="L62" s="92">
        <v>422</v>
      </c>
      <c r="M62" s="92">
        <v>615.75</v>
      </c>
      <c r="N62" s="92">
        <v>507.74</v>
      </c>
      <c r="O62" s="92">
        <v>623</v>
      </c>
      <c r="P62" s="92">
        <v>643</v>
      </c>
      <c r="Q62" s="92">
        <v>626</v>
      </c>
      <c r="R62" s="92">
        <v>731</v>
      </c>
      <c r="S62" s="92">
        <v>735</v>
      </c>
      <c r="T62" s="92">
        <v>730</v>
      </c>
      <c r="U62" s="92">
        <v>692</v>
      </c>
      <c r="V62" s="92">
        <v>819</v>
      </c>
      <c r="W62" s="92">
        <v>801</v>
      </c>
      <c r="X62" s="92">
        <v>950</v>
      </c>
      <c r="Y62" s="92">
        <v>868</v>
      </c>
      <c r="Z62" s="92">
        <v>960</v>
      </c>
      <c r="AA62" s="92">
        <v>1002</v>
      </c>
      <c r="AB62" s="92">
        <v>1092</v>
      </c>
      <c r="AC62" s="92">
        <v>1018</v>
      </c>
      <c r="AD62" s="92">
        <v>1020</v>
      </c>
      <c r="AE62" s="92">
        <v>1104</v>
      </c>
      <c r="AF62" s="92">
        <v>1082</v>
      </c>
      <c r="AG62" s="92">
        <v>1029</v>
      </c>
      <c r="AH62" s="92">
        <v>1060</v>
      </c>
      <c r="AI62" s="127">
        <v>1057</v>
      </c>
      <c r="AJ62" s="92">
        <v>1257</v>
      </c>
      <c r="AK62" s="92">
        <v>1085</v>
      </c>
      <c r="AL62" s="92">
        <v>1260</v>
      </c>
      <c r="AM62" s="92">
        <f>728+437</f>
        <v>1165</v>
      </c>
      <c r="AN62" s="92">
        <v>1258</v>
      </c>
      <c r="AO62" s="92">
        <v>1215</v>
      </c>
      <c r="AP62" s="92">
        <v>1349</v>
      </c>
      <c r="AQ62" s="92">
        <v>1328</v>
      </c>
      <c r="AR62" s="92">
        <v>1354</v>
      </c>
      <c r="AS62" s="92">
        <v>1336</v>
      </c>
      <c r="AT62" s="92">
        <v>1461</v>
      </c>
      <c r="AU62" s="92">
        <v>1340</v>
      </c>
      <c r="AV62" s="92">
        <v>1431</v>
      </c>
      <c r="AW62" s="92">
        <v>602</v>
      </c>
      <c r="AX62" s="92">
        <v>480</v>
      </c>
      <c r="AY62" s="92">
        <v>337</v>
      </c>
      <c r="AZ62" s="92">
        <v>281</v>
      </c>
      <c r="BA62" s="92">
        <v>280</v>
      </c>
      <c r="BB62" s="92">
        <v>298</v>
      </c>
      <c r="BC62" s="92">
        <v>271</v>
      </c>
      <c r="BD62" s="92">
        <v>284</v>
      </c>
      <c r="BE62" s="92">
        <v>218</v>
      </c>
      <c r="BF62" s="92">
        <v>319</v>
      </c>
      <c r="BG62" s="92">
        <v>245</v>
      </c>
      <c r="BH62" s="92">
        <v>212</v>
      </c>
      <c r="BI62" s="92">
        <v>201</v>
      </c>
      <c r="BJ62" s="92">
        <v>273</v>
      </c>
      <c r="BK62" s="92">
        <v>237</v>
      </c>
      <c r="BL62" s="92">
        <v>229</v>
      </c>
      <c r="BM62" s="92">
        <v>239</v>
      </c>
      <c r="BN62" s="92">
        <v>210</v>
      </c>
      <c r="BO62" s="92">
        <v>186</v>
      </c>
      <c r="BP62" s="92">
        <v>203</v>
      </c>
      <c r="BQ62" s="92">
        <v>161</v>
      </c>
      <c r="BR62" s="92">
        <v>182</v>
      </c>
      <c r="BS62" s="92">
        <v>175</v>
      </c>
      <c r="BT62" s="92">
        <v>185</v>
      </c>
      <c r="BU62" s="92">
        <v>161</v>
      </c>
      <c r="BV62" s="92">
        <v>187</v>
      </c>
      <c r="BW62" s="92">
        <v>191</v>
      </c>
      <c r="BX62" s="92">
        <v>160</v>
      </c>
      <c r="BY62" s="92">
        <v>152</v>
      </c>
      <c r="BZ62" s="92">
        <v>195</v>
      </c>
      <c r="CA62" s="92">
        <v>155</v>
      </c>
      <c r="CB62" s="92">
        <v>100</v>
      </c>
      <c r="CC62" s="94" t="s">
        <v>784</v>
      </c>
      <c r="CD62" s="92">
        <v>124</v>
      </c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47"/>
      <c r="DB62" s="92">
        <v>1271</v>
      </c>
      <c r="DC62" s="92">
        <v>1505</v>
      </c>
      <c r="DD62" s="92">
        <v>2025</v>
      </c>
      <c r="DE62" s="92">
        <f>SUM(O62:R62)</f>
        <v>2623</v>
      </c>
      <c r="DF62" s="92">
        <f>SUM(S62:V62)</f>
        <v>2976</v>
      </c>
      <c r="DG62" s="92">
        <f>SUM(W62:Z62)</f>
        <v>3579</v>
      </c>
      <c r="DH62" s="92">
        <f>SUM(AA62:AD62)</f>
        <v>4132</v>
      </c>
      <c r="DI62" s="92">
        <f>SUM(AE62:AH62)</f>
        <v>4275</v>
      </c>
      <c r="DJ62" s="92">
        <f>SUM(AI62:AL62)</f>
        <v>4659</v>
      </c>
      <c r="DK62" s="92">
        <f t="shared" si="129"/>
        <v>4987</v>
      </c>
      <c r="DL62" s="92">
        <f>SUM(AQ62:AT62)</f>
        <v>5479</v>
      </c>
      <c r="DM62" s="92">
        <f t="shared" si="28"/>
        <v>3853</v>
      </c>
      <c r="DN62" s="92">
        <f t="shared" ref="DN62" si="130">SUM(AY62:BB62)</f>
        <v>1196</v>
      </c>
      <c r="DO62" s="92">
        <f t="shared" ref="DO62" si="131">SUM(BC62:BF62)</f>
        <v>1092</v>
      </c>
      <c r="DP62" s="92">
        <f t="shared" si="31"/>
        <v>931</v>
      </c>
      <c r="DQ62" s="92">
        <f t="shared" si="32"/>
        <v>915</v>
      </c>
      <c r="DR62" s="92">
        <f t="shared" si="13"/>
        <v>732</v>
      </c>
      <c r="DS62" s="92">
        <f t="shared" si="14"/>
        <v>708</v>
      </c>
      <c r="DT62" s="92">
        <f t="shared" si="85"/>
        <v>698</v>
      </c>
      <c r="DU62" s="92">
        <f t="shared" si="86"/>
        <v>379</v>
      </c>
      <c r="DV62" s="92"/>
      <c r="DW62" s="92"/>
      <c r="DX62" s="92"/>
      <c r="DY62" s="92"/>
      <c r="DZ62" s="92"/>
      <c r="EA62" s="92"/>
      <c r="EC62" s="85"/>
      <c r="EF62" s="81"/>
    </row>
    <row r="63" spans="2:136" s="8" customFormat="1" ht="0.75" customHeight="1">
      <c r="B63" s="45" t="s">
        <v>508</v>
      </c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4" t="s">
        <v>544</v>
      </c>
      <c r="AE63" s="94" t="s">
        <v>545</v>
      </c>
      <c r="AF63" s="94" t="s">
        <v>559</v>
      </c>
      <c r="AG63" s="94" t="s">
        <v>552</v>
      </c>
      <c r="AH63" s="94" t="s">
        <v>543</v>
      </c>
      <c r="AI63" s="128" t="s">
        <v>524</v>
      </c>
      <c r="AJ63" s="94" t="s">
        <v>516</v>
      </c>
      <c r="AK63" s="94" t="s">
        <v>507</v>
      </c>
      <c r="AL63" s="92">
        <v>71</v>
      </c>
      <c r="AM63" s="92">
        <v>124</v>
      </c>
      <c r="AN63" s="92">
        <v>93</v>
      </c>
      <c r="AO63" s="92">
        <v>81</v>
      </c>
      <c r="AP63" s="92">
        <v>122</v>
      </c>
      <c r="AQ63" s="92">
        <v>120</v>
      </c>
      <c r="AR63" s="92">
        <v>65</v>
      </c>
      <c r="AS63" s="92">
        <v>55</v>
      </c>
      <c r="AT63" s="92">
        <v>74</v>
      </c>
      <c r="AU63" s="92">
        <v>87</v>
      </c>
      <c r="AV63" s="92">
        <v>48</v>
      </c>
      <c r="AW63" s="92">
        <v>47</v>
      </c>
      <c r="AX63" s="92">
        <v>63</v>
      </c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47"/>
      <c r="DB63" s="92"/>
      <c r="DC63" s="92"/>
      <c r="DD63" s="92"/>
      <c r="DE63" s="92"/>
      <c r="DF63" s="92"/>
      <c r="DG63" s="92"/>
      <c r="DH63" s="92"/>
      <c r="DI63" s="92"/>
      <c r="DJ63" s="92"/>
      <c r="DK63" s="92">
        <f t="shared" si="129"/>
        <v>420</v>
      </c>
      <c r="DL63" s="92">
        <f t="shared" si="72"/>
        <v>314</v>
      </c>
      <c r="DM63" s="92">
        <f t="shared" si="28"/>
        <v>245</v>
      </c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C63" s="28"/>
    </row>
    <row r="64" spans="2:136" s="8" customFormat="1" ht="0.75" customHeight="1">
      <c r="B64" s="45" t="s">
        <v>164</v>
      </c>
      <c r="C64" s="9"/>
      <c r="D64" s="9"/>
      <c r="E64" s="9"/>
      <c r="F64" s="9"/>
      <c r="G64" s="7"/>
      <c r="H64" s="7"/>
      <c r="I64" s="92"/>
      <c r="J64" s="92"/>
      <c r="K64" s="92"/>
      <c r="L64" s="92"/>
      <c r="M64" s="92"/>
      <c r="N64" s="92"/>
      <c r="O64" s="92">
        <v>173</v>
      </c>
      <c r="P64" s="92">
        <v>195</v>
      </c>
      <c r="Q64" s="92">
        <v>170</v>
      </c>
      <c r="R64" s="92">
        <v>182</v>
      </c>
      <c r="S64" s="92">
        <v>158</v>
      </c>
      <c r="T64" s="92">
        <v>164</v>
      </c>
      <c r="U64" s="92">
        <v>149</v>
      </c>
      <c r="V64" s="92">
        <v>152</v>
      </c>
      <c r="W64" s="92">
        <v>136</v>
      </c>
      <c r="X64" s="92">
        <v>140</v>
      </c>
      <c r="Y64" s="92">
        <v>134</v>
      </c>
      <c r="Z64" s="92">
        <v>136</v>
      </c>
      <c r="AA64" s="92">
        <v>122</v>
      </c>
      <c r="AB64" s="92">
        <v>127</v>
      </c>
      <c r="AC64" s="92">
        <v>119</v>
      </c>
      <c r="AD64" s="92">
        <f>AC64</f>
        <v>119</v>
      </c>
      <c r="AE64" s="92">
        <v>96</v>
      </c>
      <c r="AF64" s="92">
        <v>94</v>
      </c>
      <c r="AG64" s="92">
        <v>82</v>
      </c>
      <c r="AH64" s="92">
        <f>AG64-2</f>
        <v>80</v>
      </c>
      <c r="AI64" s="127">
        <v>77</v>
      </c>
      <c r="AJ64" s="92">
        <v>76</v>
      </c>
      <c r="AK64" s="92">
        <v>73</v>
      </c>
      <c r="AL64" s="92">
        <v>85</v>
      </c>
      <c r="AM64" s="92">
        <v>59</v>
      </c>
      <c r="AN64" s="92">
        <v>63</v>
      </c>
      <c r="AO64" s="92">
        <v>69</v>
      </c>
      <c r="AP64" s="92">
        <v>64</v>
      </c>
      <c r="AQ64" s="92">
        <v>57</v>
      </c>
      <c r="AR64" s="92">
        <v>59</v>
      </c>
      <c r="AS64" s="92">
        <v>57</v>
      </c>
      <c r="AT64" s="92">
        <v>58</v>
      </c>
      <c r="AU64" s="92">
        <v>53</v>
      </c>
      <c r="AV64" s="92">
        <v>49</v>
      </c>
      <c r="AW64" s="92">
        <v>42</v>
      </c>
      <c r="AX64" s="92">
        <v>48</v>
      </c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47"/>
      <c r="DB64" s="9" t="s">
        <v>440</v>
      </c>
      <c r="DC64" s="92" t="s">
        <v>440</v>
      </c>
      <c r="DD64" s="92">
        <v>765</v>
      </c>
      <c r="DE64" s="92">
        <f>SUM(O64:R64)</f>
        <v>720</v>
      </c>
      <c r="DF64" s="92">
        <f>SUM(S64:V64)</f>
        <v>623</v>
      </c>
      <c r="DG64" s="92">
        <f>SUM(W64:Z64)</f>
        <v>546</v>
      </c>
      <c r="DH64" s="92">
        <f>SUM(AA64:AD64)</f>
        <v>487</v>
      </c>
      <c r="DI64" s="92">
        <f>SUM(AE64:AH64)</f>
        <v>352</v>
      </c>
      <c r="DJ64" s="92">
        <f>SUM(AI64:AL64)</f>
        <v>311</v>
      </c>
      <c r="DK64" s="92">
        <f t="shared" si="129"/>
        <v>255</v>
      </c>
      <c r="DL64" s="92">
        <f t="shared" si="72"/>
        <v>231</v>
      </c>
      <c r="DM64" s="92">
        <f t="shared" si="28"/>
        <v>192</v>
      </c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C64" s="28"/>
    </row>
    <row r="65" spans="2:140" s="8" customFormat="1" ht="0.75" customHeight="1">
      <c r="B65" s="45" t="s">
        <v>584</v>
      </c>
      <c r="C65" s="9"/>
      <c r="D65" s="9"/>
      <c r="E65" s="9"/>
      <c r="F65" s="9"/>
      <c r="G65" s="7"/>
      <c r="H65" s="7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128" t="s">
        <v>627</v>
      </c>
      <c r="AJ65" s="92">
        <v>73</v>
      </c>
      <c r="AK65" s="92">
        <v>74</v>
      </c>
      <c r="AL65" s="92">
        <v>46</v>
      </c>
      <c r="AM65" s="92">
        <v>70</v>
      </c>
      <c r="AN65" s="92">
        <v>70</v>
      </c>
      <c r="AO65" s="92">
        <v>63</v>
      </c>
      <c r="AP65" s="92">
        <v>63</v>
      </c>
      <c r="AQ65" s="92">
        <v>64</v>
      </c>
      <c r="AR65" s="92">
        <v>56</v>
      </c>
      <c r="AS65" s="92">
        <v>53</v>
      </c>
      <c r="AT65" s="92">
        <v>57</v>
      </c>
      <c r="AU65" s="92">
        <v>53</v>
      </c>
      <c r="AV65" s="92">
        <v>60</v>
      </c>
      <c r="AW65" s="92">
        <v>48</v>
      </c>
      <c r="AX65" s="92">
        <v>51</v>
      </c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47"/>
      <c r="DB65" s="9"/>
      <c r="DC65" s="92"/>
      <c r="DD65" s="92"/>
      <c r="DE65" s="92"/>
      <c r="DF65" s="92"/>
      <c r="DG65" s="92"/>
      <c r="DH65" s="92"/>
      <c r="DI65" s="92"/>
      <c r="DJ65" s="92"/>
      <c r="DK65" s="92">
        <f t="shared" si="129"/>
        <v>266</v>
      </c>
      <c r="DL65" s="92">
        <f t="shared" si="72"/>
        <v>230</v>
      </c>
      <c r="DM65" s="92">
        <f t="shared" si="28"/>
        <v>212</v>
      </c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C65" s="28"/>
    </row>
    <row r="66" spans="2:140" s="8" customFormat="1" ht="0.75" customHeight="1">
      <c r="B66" s="45" t="s">
        <v>589</v>
      </c>
      <c r="C66" s="9"/>
      <c r="D66" s="9"/>
      <c r="E66" s="9"/>
      <c r="F66" s="9"/>
      <c r="G66" s="7"/>
      <c r="H66" s="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28" t="s">
        <v>623</v>
      </c>
      <c r="AJ66" s="92">
        <v>68</v>
      </c>
      <c r="AK66" s="92">
        <v>67</v>
      </c>
      <c r="AL66" s="92">
        <v>47</v>
      </c>
      <c r="AM66" s="92">
        <v>74</v>
      </c>
      <c r="AN66" s="92">
        <v>66</v>
      </c>
      <c r="AO66" s="92">
        <v>70</v>
      </c>
      <c r="AP66" s="92">
        <v>75</v>
      </c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47"/>
      <c r="DB66" s="9"/>
      <c r="DC66" s="92"/>
      <c r="DD66" s="92"/>
      <c r="DE66" s="92"/>
      <c r="DF66" s="92"/>
      <c r="DG66" s="92"/>
      <c r="DH66" s="92"/>
      <c r="DI66" s="92"/>
      <c r="DJ66" s="92"/>
      <c r="DK66" s="92">
        <f t="shared" si="129"/>
        <v>285</v>
      </c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C66" s="28"/>
    </row>
    <row r="67" spans="2:140" s="8" customFormat="1" ht="0.75" customHeight="1">
      <c r="B67" s="45" t="s">
        <v>588</v>
      </c>
      <c r="C67" s="9"/>
      <c r="D67" s="9"/>
      <c r="E67" s="9"/>
      <c r="F67" s="9"/>
      <c r="G67" s="7"/>
      <c r="H67" s="7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28" t="s">
        <v>622</v>
      </c>
      <c r="AJ67" s="92">
        <v>52</v>
      </c>
      <c r="AK67" s="92">
        <v>53</v>
      </c>
      <c r="AL67" s="92">
        <v>36</v>
      </c>
      <c r="AM67" s="92">
        <v>52</v>
      </c>
      <c r="AN67" s="92">
        <v>51</v>
      </c>
      <c r="AO67" s="92">
        <v>7</v>
      </c>
      <c r="AP67" s="92">
        <v>1</v>
      </c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47"/>
      <c r="DB67" s="9"/>
      <c r="DC67" s="92"/>
      <c r="DD67" s="92"/>
      <c r="DE67" s="92"/>
      <c r="DF67" s="92"/>
      <c r="DG67" s="92"/>
      <c r="DH67" s="92"/>
      <c r="DI67" s="92"/>
      <c r="DJ67" s="92"/>
      <c r="DK67" s="92">
        <f t="shared" si="129"/>
        <v>111</v>
      </c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C67" s="28"/>
    </row>
    <row r="68" spans="2:140" s="8" customFormat="1" ht="0.75" customHeight="1">
      <c r="B68" s="45" t="s">
        <v>637</v>
      </c>
      <c r="C68" s="9"/>
      <c r="D68" s="9"/>
      <c r="E68" s="9"/>
      <c r="F68" s="9"/>
      <c r="G68" s="7"/>
      <c r="H68" s="7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128" t="s">
        <v>620</v>
      </c>
      <c r="AJ68" s="92">
        <v>54</v>
      </c>
      <c r="AK68" s="92">
        <v>53</v>
      </c>
      <c r="AL68" s="92">
        <v>58</v>
      </c>
      <c r="AM68" s="92">
        <f>49+2</f>
        <v>51</v>
      </c>
      <c r="AN68" s="92">
        <v>56</v>
      </c>
      <c r="AO68" s="92">
        <v>48</v>
      </c>
      <c r="AP68" s="92">
        <v>53</v>
      </c>
      <c r="AQ68" s="92">
        <v>60</v>
      </c>
      <c r="AR68" s="92">
        <v>47</v>
      </c>
      <c r="AS68" s="92">
        <v>42</v>
      </c>
      <c r="AT68" s="92">
        <v>57</v>
      </c>
      <c r="AU68" s="92">
        <v>48</v>
      </c>
      <c r="AV68" s="92">
        <v>51</v>
      </c>
      <c r="AW68" s="92">
        <v>42</v>
      </c>
      <c r="AX68" s="92">
        <v>44</v>
      </c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47"/>
      <c r="DB68" s="9"/>
      <c r="DC68" s="92"/>
      <c r="DD68" s="92"/>
      <c r="DE68" s="92"/>
      <c r="DF68" s="92"/>
      <c r="DG68" s="92"/>
      <c r="DH68" s="92"/>
      <c r="DI68" s="92"/>
      <c r="DJ68" s="92"/>
      <c r="DK68" s="92">
        <f t="shared" si="129"/>
        <v>208</v>
      </c>
      <c r="DL68" s="92">
        <f t="shared" si="72"/>
        <v>206</v>
      </c>
      <c r="DM68" s="92">
        <f t="shared" si="28"/>
        <v>185</v>
      </c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C68" s="28"/>
      <c r="EF68" s="81"/>
    </row>
    <row r="69" spans="2:140" s="8" customFormat="1" ht="0.75" customHeight="1">
      <c r="B69" s="45" t="s">
        <v>590</v>
      </c>
      <c r="C69" s="9"/>
      <c r="D69" s="9"/>
      <c r="E69" s="9"/>
      <c r="F69" s="9"/>
      <c r="G69" s="7"/>
      <c r="H69" s="7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128" t="s">
        <v>621</v>
      </c>
      <c r="AJ69" s="92">
        <v>67</v>
      </c>
      <c r="AK69" s="92">
        <v>56</v>
      </c>
      <c r="AL69" s="92">
        <v>38</v>
      </c>
      <c r="AM69" s="92">
        <v>54</v>
      </c>
      <c r="AN69" s="92">
        <v>51</v>
      </c>
      <c r="AO69" s="92">
        <v>50</v>
      </c>
      <c r="AP69" s="92">
        <v>54</v>
      </c>
      <c r="AQ69" s="92">
        <v>49</v>
      </c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47"/>
      <c r="DB69" s="9"/>
      <c r="DC69" s="92"/>
      <c r="DD69" s="92"/>
      <c r="DE69" s="92"/>
      <c r="DF69" s="92"/>
      <c r="DG69" s="92"/>
      <c r="DH69" s="92"/>
      <c r="DI69" s="92"/>
      <c r="DJ69" s="92"/>
      <c r="DK69" s="92">
        <f t="shared" si="129"/>
        <v>209</v>
      </c>
      <c r="DL69" s="92">
        <f t="shared" si="72"/>
        <v>49</v>
      </c>
      <c r="DM69" s="92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C69" s="28"/>
    </row>
    <row r="70" spans="2:140" s="8" customFormat="1" ht="0.75" customHeight="1">
      <c r="B70" s="45" t="s">
        <v>609</v>
      </c>
      <c r="C70" s="9"/>
      <c r="D70" s="9"/>
      <c r="E70" s="9"/>
      <c r="F70" s="9"/>
      <c r="G70" s="7"/>
      <c r="H70" s="7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128" t="s">
        <v>625</v>
      </c>
      <c r="AJ70" s="92">
        <v>46</v>
      </c>
      <c r="AK70" s="92">
        <v>49</v>
      </c>
      <c r="AL70" s="92">
        <v>53</v>
      </c>
      <c r="AM70" s="92">
        <v>55</v>
      </c>
      <c r="AN70" s="92">
        <v>49</v>
      </c>
      <c r="AO70" s="92">
        <v>56</v>
      </c>
      <c r="AP70" s="92">
        <v>49</v>
      </c>
      <c r="AQ70" s="92">
        <v>59</v>
      </c>
      <c r="AR70" s="92">
        <v>66</v>
      </c>
      <c r="AS70" s="92">
        <v>74</v>
      </c>
      <c r="AT70" s="92">
        <v>69</v>
      </c>
      <c r="AU70" s="92">
        <v>67</v>
      </c>
      <c r="AV70" s="92">
        <v>72</v>
      </c>
      <c r="AW70" s="92">
        <v>64</v>
      </c>
      <c r="AX70" s="92">
        <v>68</v>
      </c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47"/>
      <c r="DB70" s="9"/>
      <c r="DC70" s="92"/>
      <c r="DD70" s="92"/>
      <c r="DE70" s="92"/>
      <c r="DF70" s="92"/>
      <c r="DG70" s="92"/>
      <c r="DH70" s="92"/>
      <c r="DI70" s="92"/>
      <c r="DJ70" s="92"/>
      <c r="DK70" s="92">
        <f>SUM(AM70:AQ70)</f>
        <v>268</v>
      </c>
      <c r="DL70" s="92">
        <f t="shared" si="72"/>
        <v>268</v>
      </c>
      <c r="DM70" s="92">
        <f t="shared" si="28"/>
        <v>271</v>
      </c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C70" s="28"/>
    </row>
    <row r="71" spans="2:140" s="8" customFormat="1" ht="0.75" customHeight="1">
      <c r="B71" s="45" t="s">
        <v>352</v>
      </c>
      <c r="C71" s="9"/>
      <c r="D71" s="9"/>
      <c r="E71" s="9"/>
      <c r="F71" s="9"/>
      <c r="G71" s="7"/>
      <c r="H71" s="7"/>
      <c r="I71" s="92"/>
      <c r="J71" s="92"/>
      <c r="K71" s="92"/>
      <c r="L71" s="92"/>
      <c r="M71" s="92"/>
      <c r="N71" s="92"/>
      <c r="O71" s="92">
        <v>52</v>
      </c>
      <c r="P71" s="92">
        <v>46</v>
      </c>
      <c r="Q71" s="92">
        <v>82</v>
      </c>
      <c r="R71" s="92">
        <v>104</v>
      </c>
      <c r="S71" s="92">
        <v>55</v>
      </c>
      <c r="T71" s="92">
        <v>57</v>
      </c>
      <c r="U71" s="92">
        <v>88</v>
      </c>
      <c r="V71" s="92">
        <v>111</v>
      </c>
      <c r="W71" s="92">
        <v>56</v>
      </c>
      <c r="X71" s="92">
        <v>67</v>
      </c>
      <c r="Y71" s="92">
        <v>97</v>
      </c>
      <c r="Z71" s="92">
        <v>134</v>
      </c>
      <c r="AA71" s="92">
        <v>92</v>
      </c>
      <c r="AB71" s="92">
        <v>96</v>
      </c>
      <c r="AC71" s="91">
        <v>97</v>
      </c>
      <c r="AD71" s="92">
        <f>AC71</f>
        <v>97</v>
      </c>
      <c r="AE71" s="92">
        <v>73</v>
      </c>
      <c r="AF71" s="92">
        <v>69</v>
      </c>
      <c r="AG71" s="92">
        <v>81</v>
      </c>
      <c r="AH71" s="92">
        <f>AG71</f>
        <v>81</v>
      </c>
      <c r="AI71" s="94" t="s">
        <v>925</v>
      </c>
      <c r="AJ71" s="94" t="s">
        <v>926</v>
      </c>
      <c r="AK71" s="94" t="s">
        <v>927</v>
      </c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47"/>
      <c r="DB71" s="9" t="s">
        <v>440</v>
      </c>
      <c r="DC71" s="92" t="s">
        <v>440</v>
      </c>
      <c r="DD71" s="92">
        <v>281</v>
      </c>
      <c r="DE71" s="92">
        <f>SUM(O71:R71)</f>
        <v>284</v>
      </c>
      <c r="DF71" s="92">
        <f>SUM(S71:V71)</f>
        <v>311</v>
      </c>
      <c r="DG71" s="92">
        <f>SUM(W71:Z71)</f>
        <v>354</v>
      </c>
      <c r="DH71" s="92">
        <f>SUM(AA71:AD71)</f>
        <v>382</v>
      </c>
      <c r="DI71" s="92">
        <f>SUM(AE71:AH71)</f>
        <v>304</v>
      </c>
      <c r="DJ71" s="92">
        <f>SUM(AI71:AL71)</f>
        <v>0</v>
      </c>
      <c r="DK71" s="92"/>
      <c r="DL71" s="92"/>
      <c r="DM71" s="92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C71" s="28"/>
    </row>
    <row r="72" spans="2:140" s="8" customFormat="1" ht="0.75" customHeight="1">
      <c r="B72" s="45" t="s">
        <v>351</v>
      </c>
      <c r="C72" s="9"/>
      <c r="D72" s="9"/>
      <c r="E72" s="9"/>
      <c r="F72" s="9"/>
      <c r="G72" s="7"/>
      <c r="H72" s="7"/>
      <c r="I72" s="92"/>
      <c r="J72" s="92"/>
      <c r="K72" s="92"/>
      <c r="L72" s="92"/>
      <c r="M72" s="92"/>
      <c r="N72" s="92"/>
      <c r="O72" s="92">
        <v>60</v>
      </c>
      <c r="P72" s="92">
        <v>43</v>
      </c>
      <c r="Q72" s="92">
        <v>48</v>
      </c>
      <c r="R72" s="92">
        <v>47</v>
      </c>
      <c r="S72" s="92">
        <v>36</v>
      </c>
      <c r="T72" s="92">
        <v>46</v>
      </c>
      <c r="U72" s="92">
        <v>65</v>
      </c>
      <c r="V72" s="92">
        <v>48</v>
      </c>
      <c r="W72" s="92">
        <v>54</v>
      </c>
      <c r="X72" s="92">
        <v>59</v>
      </c>
      <c r="Y72" s="92">
        <v>69</v>
      </c>
      <c r="Z72" s="92">
        <v>67</v>
      </c>
      <c r="AA72" s="92">
        <v>72</v>
      </c>
      <c r="AB72" s="92">
        <v>80</v>
      </c>
      <c r="AC72" s="91">
        <v>68</v>
      </c>
      <c r="AD72" s="92">
        <f>AC72</f>
        <v>68</v>
      </c>
      <c r="AE72" s="92">
        <v>34</v>
      </c>
      <c r="AF72" s="92">
        <v>38</v>
      </c>
      <c r="AG72" s="92">
        <v>36</v>
      </c>
      <c r="AH72" s="92">
        <f>AG72</f>
        <v>36</v>
      </c>
      <c r="AI72" s="94" t="s">
        <v>928</v>
      </c>
      <c r="AJ72" s="94" t="s">
        <v>929</v>
      </c>
      <c r="AK72" s="94" t="s">
        <v>930</v>
      </c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47"/>
      <c r="DB72" s="9" t="s">
        <v>440</v>
      </c>
      <c r="DC72" s="92" t="s">
        <v>440</v>
      </c>
      <c r="DD72" s="92">
        <v>241</v>
      </c>
      <c r="DE72" s="92">
        <f>SUM(O72:R72)</f>
        <v>198</v>
      </c>
      <c r="DF72" s="92">
        <f>SUM(S72:V72)</f>
        <v>195</v>
      </c>
      <c r="DG72" s="92">
        <f>SUM(W72:Z72)</f>
        <v>249</v>
      </c>
      <c r="DH72" s="92">
        <f>SUM(AA72:AD72)</f>
        <v>288</v>
      </c>
      <c r="DI72" s="92">
        <f>SUM(AE72:AH72)</f>
        <v>144</v>
      </c>
      <c r="DJ72" s="92">
        <f>SUM(AI72:AL72)</f>
        <v>0</v>
      </c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C72" s="28"/>
    </row>
    <row r="73" spans="2:140" s="8" customFormat="1" ht="0.75" customHeight="1">
      <c r="B73" s="45" t="s">
        <v>357</v>
      </c>
      <c r="C73" s="9"/>
      <c r="D73" s="9"/>
      <c r="E73" s="9"/>
      <c r="F73" s="9"/>
      <c r="G73" s="7"/>
      <c r="H73" s="7"/>
      <c r="I73" s="92"/>
      <c r="J73" s="92"/>
      <c r="K73" s="92"/>
      <c r="L73" s="92"/>
      <c r="M73" s="92"/>
      <c r="N73" s="92"/>
      <c r="O73" s="92">
        <v>37</v>
      </c>
      <c r="P73" s="92">
        <v>39</v>
      </c>
      <c r="Q73" s="92">
        <v>38</v>
      </c>
      <c r="R73" s="92">
        <v>43</v>
      </c>
      <c r="S73" s="92">
        <v>32</v>
      </c>
      <c r="T73" s="92">
        <v>37</v>
      </c>
      <c r="U73" s="92">
        <v>35</v>
      </c>
      <c r="V73" s="92">
        <v>35</v>
      </c>
      <c r="W73" s="92">
        <v>30</v>
      </c>
      <c r="X73" s="92">
        <v>33</v>
      </c>
      <c r="Y73" s="92">
        <v>31</v>
      </c>
      <c r="Z73" s="92">
        <v>33</v>
      </c>
      <c r="AA73" s="92">
        <v>29</v>
      </c>
      <c r="AB73" s="92">
        <v>31</v>
      </c>
      <c r="AC73" s="91">
        <v>28</v>
      </c>
      <c r="AD73" s="92">
        <f>AC73</f>
        <v>28</v>
      </c>
      <c r="AE73" s="92">
        <v>29</v>
      </c>
      <c r="AF73" s="92">
        <v>32</v>
      </c>
      <c r="AG73" s="92">
        <v>30</v>
      </c>
      <c r="AH73" s="92">
        <f>AG73</f>
        <v>30</v>
      </c>
      <c r="AI73" s="94" t="s">
        <v>785</v>
      </c>
      <c r="AJ73" s="94" t="s">
        <v>931</v>
      </c>
      <c r="AK73" s="94" t="s">
        <v>785</v>
      </c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47"/>
      <c r="DB73" s="9" t="s">
        <v>440</v>
      </c>
      <c r="DC73" s="96" t="s">
        <v>440</v>
      </c>
      <c r="DD73" s="92">
        <v>160</v>
      </c>
      <c r="DE73" s="92">
        <f>SUM(O73:R73)</f>
        <v>157</v>
      </c>
      <c r="DF73" s="92">
        <f>SUM(S73:V73)</f>
        <v>139</v>
      </c>
      <c r="DG73" s="92">
        <f>SUM(W73:Z73)</f>
        <v>127</v>
      </c>
      <c r="DH73" s="92">
        <f>SUM(AA73:AD73)</f>
        <v>116</v>
      </c>
      <c r="DI73" s="92">
        <f>SUM(AE73:AH73)</f>
        <v>121</v>
      </c>
      <c r="DJ73" s="92">
        <f>SUM(AI73:AL73)</f>
        <v>0</v>
      </c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C73" s="28"/>
    </row>
    <row r="74" spans="2:140" s="8" customFormat="1" ht="0.75" customHeight="1">
      <c r="B74" s="45" t="s">
        <v>586</v>
      </c>
      <c r="C74" s="9"/>
      <c r="D74" s="9"/>
      <c r="E74" s="9"/>
      <c r="F74" s="9"/>
      <c r="G74" s="7"/>
      <c r="H74" s="7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1"/>
      <c r="AD74" s="92"/>
      <c r="AE74" s="92"/>
      <c r="AF74" s="92"/>
      <c r="AG74" s="92"/>
      <c r="AH74" s="92"/>
      <c r="AI74" s="128" t="s">
        <v>621</v>
      </c>
      <c r="AJ74" s="92">
        <v>56</v>
      </c>
      <c r="AK74" s="92">
        <v>59</v>
      </c>
      <c r="AL74" s="92">
        <v>56</v>
      </c>
      <c r="AM74" s="92">
        <v>57</v>
      </c>
      <c r="AN74" s="92">
        <v>55</v>
      </c>
      <c r="AO74" s="92">
        <v>43</v>
      </c>
      <c r="AP74" s="92">
        <v>55</v>
      </c>
      <c r="AQ74" s="92">
        <v>42</v>
      </c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47"/>
      <c r="DB74" s="9"/>
      <c r="DC74" s="96"/>
      <c r="DD74" s="92"/>
      <c r="DE74" s="92"/>
      <c r="DF74" s="92"/>
      <c r="DG74" s="92"/>
      <c r="DH74" s="92"/>
      <c r="DI74" s="92"/>
      <c r="DJ74" s="92"/>
      <c r="DK74" s="92">
        <f>SUM(AM74:AP74)</f>
        <v>210</v>
      </c>
      <c r="DL74" s="92">
        <f t="shared" si="72"/>
        <v>42</v>
      </c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C74" s="28"/>
    </row>
    <row r="75" spans="2:140" s="8" customFormat="1" ht="0.75" customHeight="1">
      <c r="B75" s="45" t="s">
        <v>100</v>
      </c>
      <c r="C75" s="9"/>
      <c r="D75" s="9"/>
      <c r="E75" s="9"/>
      <c r="F75" s="9"/>
      <c r="G75" s="7"/>
      <c r="H75" s="7"/>
      <c r="I75" s="92"/>
      <c r="J75" s="92"/>
      <c r="K75" s="92"/>
      <c r="L75" s="92"/>
      <c r="M75" s="92"/>
      <c r="N75" s="92"/>
      <c r="O75" s="92">
        <v>22</v>
      </c>
      <c r="P75" s="92">
        <v>21</v>
      </c>
      <c r="Q75" s="92">
        <v>19</v>
      </c>
      <c r="R75" s="92">
        <v>22</v>
      </c>
      <c r="S75" s="92">
        <v>23</v>
      </c>
      <c r="T75" s="92">
        <v>23</v>
      </c>
      <c r="U75" s="92">
        <v>21</v>
      </c>
      <c r="V75" s="92">
        <v>21</v>
      </c>
      <c r="W75" s="92">
        <v>22</v>
      </c>
      <c r="X75" s="92">
        <v>23</v>
      </c>
      <c r="Y75" s="92">
        <v>22</v>
      </c>
      <c r="Z75" s="92">
        <v>19</v>
      </c>
      <c r="AA75" s="92">
        <v>24</v>
      </c>
      <c r="AB75" s="92">
        <v>20</v>
      </c>
      <c r="AC75" s="92">
        <v>21</v>
      </c>
      <c r="AD75" s="92">
        <f>AC75</f>
        <v>21</v>
      </c>
      <c r="AE75" s="92" t="s">
        <v>440</v>
      </c>
      <c r="AF75" s="92" t="s">
        <v>440</v>
      </c>
      <c r="AG75" s="92" t="s">
        <v>440</v>
      </c>
      <c r="AH75" s="92" t="s">
        <v>440</v>
      </c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47"/>
      <c r="DB75" s="9" t="s">
        <v>440</v>
      </c>
      <c r="DC75" s="92">
        <v>115</v>
      </c>
      <c r="DD75" s="92">
        <v>96</v>
      </c>
      <c r="DE75" s="92">
        <f>SUM(O75:R75)</f>
        <v>84</v>
      </c>
      <c r="DF75" s="92">
        <f>SUM(S75:V75)</f>
        <v>88</v>
      </c>
      <c r="DG75" s="92">
        <f>SUM(W75:Z75)</f>
        <v>86</v>
      </c>
      <c r="DH75" s="92">
        <f>SUM(AA75:AD75)</f>
        <v>86</v>
      </c>
      <c r="DI75" s="92">
        <f>SUM(AE75:AH75)</f>
        <v>0</v>
      </c>
      <c r="DJ75" s="92">
        <f>SUM(AI75:AL75)</f>
        <v>0</v>
      </c>
      <c r="DK75" s="92"/>
      <c r="DL75" s="92"/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C75" s="28"/>
    </row>
    <row r="76" spans="2:140" s="8" customFormat="1" ht="0.75" customHeight="1">
      <c r="B76" s="45" t="s">
        <v>180</v>
      </c>
      <c r="C76" s="9"/>
      <c r="D76" s="9"/>
      <c r="E76" s="9"/>
      <c r="F76" s="9"/>
      <c r="G76" s="7"/>
      <c r="H76" s="7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>
        <v>1</v>
      </c>
      <c r="AA76" s="92">
        <v>2</v>
      </c>
      <c r="AB76" s="92">
        <v>3</v>
      </c>
      <c r="AC76" s="92">
        <v>3</v>
      </c>
      <c r="AD76" s="92">
        <f>AC76</f>
        <v>3</v>
      </c>
      <c r="AE76" s="92">
        <v>4</v>
      </c>
      <c r="AF76" s="92">
        <v>3</v>
      </c>
      <c r="AG76" s="92">
        <v>4</v>
      </c>
      <c r="AH76" s="92">
        <f>AG76</f>
        <v>4</v>
      </c>
      <c r="AI76" s="92">
        <v>5</v>
      </c>
      <c r="AJ76" s="92">
        <v>4</v>
      </c>
      <c r="AK76" s="92">
        <v>5</v>
      </c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47"/>
      <c r="DB76" s="9" t="s">
        <v>440</v>
      </c>
      <c r="DC76" s="92" t="s">
        <v>440</v>
      </c>
      <c r="DD76" s="92" t="s">
        <v>440</v>
      </c>
      <c r="DE76" s="92" t="s">
        <v>440</v>
      </c>
      <c r="DF76" s="92">
        <f>SUM(S76:V76)</f>
        <v>0</v>
      </c>
      <c r="DG76" s="92">
        <f>SUM(W76:Z76)</f>
        <v>1</v>
      </c>
      <c r="DH76" s="92">
        <f>SUM(AA76:AD76)</f>
        <v>11</v>
      </c>
      <c r="DI76" s="92">
        <f>SUM(AE76:AH76)</f>
        <v>15</v>
      </c>
      <c r="DJ76" s="92">
        <f>SUM(AI76:AL76)</f>
        <v>14</v>
      </c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C76" s="28"/>
    </row>
    <row r="77" spans="2:140" s="8" customFormat="1" ht="12.75" customHeight="1">
      <c r="B77" s="45" t="s">
        <v>485</v>
      </c>
      <c r="C77" s="9"/>
      <c r="D77" s="9"/>
      <c r="E77" s="9"/>
      <c r="F77" s="9"/>
      <c r="G77" s="7"/>
      <c r="H77" s="7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>
        <v>759</v>
      </c>
      <c r="AG77" s="92"/>
      <c r="AH77" s="92"/>
      <c r="AI77" s="128" t="s">
        <v>613</v>
      </c>
      <c r="AJ77" s="94">
        <v>672</v>
      </c>
      <c r="AK77" s="92">
        <v>664</v>
      </c>
      <c r="AL77" s="92">
        <v>759</v>
      </c>
      <c r="AM77" s="92">
        <v>709</v>
      </c>
      <c r="AN77" s="92">
        <v>731</v>
      </c>
      <c r="AO77" s="92">
        <v>687</v>
      </c>
      <c r="AP77" s="92">
        <v>815</v>
      </c>
      <c r="AQ77" s="92">
        <v>758</v>
      </c>
      <c r="AR77" s="92">
        <v>802</v>
      </c>
      <c r="AS77" s="92">
        <v>826</v>
      </c>
      <c r="AT77" s="92">
        <v>868</v>
      </c>
      <c r="AU77" s="92">
        <v>821</v>
      </c>
      <c r="AV77" s="92">
        <v>865</v>
      </c>
      <c r="AW77" s="92">
        <v>815</v>
      </c>
      <c r="AX77" s="92">
        <v>898</v>
      </c>
      <c r="AY77" s="92">
        <v>840</v>
      </c>
      <c r="AZ77" s="92">
        <v>851</v>
      </c>
      <c r="BA77" s="92">
        <v>800</v>
      </c>
      <c r="BB77" s="92">
        <v>871</v>
      </c>
      <c r="BC77" s="92">
        <v>813</v>
      </c>
      <c r="BD77" s="92">
        <v>872</v>
      </c>
      <c r="BE77" s="92">
        <v>885</v>
      </c>
      <c r="BF77" s="92">
        <v>885</v>
      </c>
      <c r="BG77" s="92">
        <v>831</v>
      </c>
      <c r="BH77" s="92">
        <v>842</v>
      </c>
      <c r="BI77" s="92">
        <v>827</v>
      </c>
      <c r="BJ77" s="92">
        <v>832</v>
      </c>
      <c r="BK77" s="92">
        <v>829</v>
      </c>
      <c r="BL77" s="92">
        <v>900</v>
      </c>
      <c r="BM77" s="92">
        <v>865</v>
      </c>
      <c r="BN77" s="92">
        <v>884</v>
      </c>
      <c r="BO77" s="92">
        <v>939</v>
      </c>
      <c r="BP77" s="92">
        <v>955</v>
      </c>
      <c r="BQ77" s="92">
        <v>1000</v>
      </c>
      <c r="BR77" s="92">
        <v>981</v>
      </c>
      <c r="BS77" s="92">
        <v>1065</v>
      </c>
      <c r="BT77" s="92">
        <v>1090</v>
      </c>
      <c r="BU77" s="92">
        <v>1021</v>
      </c>
      <c r="BV77" s="92">
        <v>1036</v>
      </c>
      <c r="BW77" s="92">
        <v>1025</v>
      </c>
      <c r="BX77" s="92">
        <v>1124</v>
      </c>
      <c r="BY77" s="92">
        <v>1122</v>
      </c>
      <c r="BZ77" s="92">
        <v>1122</v>
      </c>
      <c r="CA77" s="92">
        <v>1214</v>
      </c>
      <c r="CB77" s="92">
        <v>1101</v>
      </c>
      <c r="CC77" s="92">
        <v>1220</v>
      </c>
      <c r="CD77" s="92">
        <v>1168</v>
      </c>
      <c r="CE77" s="92">
        <v>1418</v>
      </c>
      <c r="CF77" s="92">
        <v>1472</v>
      </c>
      <c r="CG77" s="92">
        <v>1417</v>
      </c>
      <c r="CH77" s="92">
        <v>1261</v>
      </c>
      <c r="CI77" s="92">
        <v>1482</v>
      </c>
      <c r="CJ77" s="92">
        <v>1467</v>
      </c>
      <c r="CK77" s="92">
        <v>1371</v>
      </c>
      <c r="CL77" s="92">
        <v>1230</v>
      </c>
      <c r="CM77" s="92">
        <v>1491</v>
      </c>
      <c r="CN77" s="92">
        <v>1456</v>
      </c>
      <c r="CO77" s="92">
        <v>1400</v>
      </c>
      <c r="CP77" s="92">
        <v>1278</v>
      </c>
      <c r="CQ77" s="92">
        <v>1511</v>
      </c>
      <c r="CR77" s="92">
        <v>1482</v>
      </c>
      <c r="CS77" s="92">
        <v>1487</v>
      </c>
      <c r="CT77" s="92">
        <v>1397</v>
      </c>
      <c r="CU77" s="92">
        <f t="shared" ref="CU77:CX77" si="132">+CQ77*1.05</f>
        <v>1586.55</v>
      </c>
      <c r="CV77" s="92">
        <f t="shared" si="132"/>
        <v>1556.1000000000001</v>
      </c>
      <c r="CW77" s="92">
        <f t="shared" si="132"/>
        <v>1561.3500000000001</v>
      </c>
      <c r="CX77" s="92">
        <f t="shared" si="132"/>
        <v>1466.8500000000001</v>
      </c>
      <c r="CY77" s="92"/>
      <c r="CZ77" s="92"/>
      <c r="DA77" s="47"/>
      <c r="DB77" s="9"/>
      <c r="DC77" s="92"/>
      <c r="DD77" s="92"/>
      <c r="DE77" s="92"/>
      <c r="DF77" s="92"/>
      <c r="DG77" s="92"/>
      <c r="DH77" s="92"/>
      <c r="DI77" s="92"/>
      <c r="DJ77" s="92"/>
      <c r="DK77" s="92">
        <f>SUM(AM77:AP77)</f>
        <v>2942</v>
      </c>
      <c r="DL77" s="92">
        <f t="shared" si="72"/>
        <v>3254</v>
      </c>
      <c r="DM77" s="92">
        <f t="shared" ref="DM77:DM86" si="133">SUM(AU77:AX77)</f>
        <v>3399</v>
      </c>
      <c r="DN77" s="92">
        <f t="shared" ref="DN77:DN86" si="134">SUM(AY77:BB77)</f>
        <v>3362</v>
      </c>
      <c r="DO77" s="92">
        <f t="shared" ref="DO77:DO86" si="135">SUM(BC77:BF77)</f>
        <v>3455</v>
      </c>
      <c r="DP77" s="92">
        <f t="shared" ref="DP77:DP86" si="136">SUM(BG77:BJ77)</f>
        <v>3332</v>
      </c>
      <c r="DQ77" s="92">
        <f t="shared" ref="DQ77:DQ86" si="137">SUM(BK77:BN77)</f>
        <v>3478</v>
      </c>
      <c r="DR77" s="92">
        <f t="shared" ref="DR77:DR86" si="138">SUM(BO77:BR77)</f>
        <v>3875</v>
      </c>
      <c r="DS77" s="92">
        <f t="shared" ref="DS77:DS86" si="139">SUM(BS77:BV77)</f>
        <v>4212</v>
      </c>
      <c r="DT77" s="92">
        <f t="shared" si="85"/>
        <v>4393</v>
      </c>
      <c r="DU77" s="92">
        <f t="shared" si="86"/>
        <v>4703</v>
      </c>
      <c r="DV77" s="92">
        <f t="shared" si="87"/>
        <v>5568</v>
      </c>
      <c r="DW77" s="92">
        <f t="shared" si="88"/>
        <v>5550</v>
      </c>
      <c r="DX77" s="92">
        <f t="shared" ref="DX77" si="140">SUM(CM77:CP77)</f>
        <v>5625</v>
      </c>
      <c r="DY77" s="92">
        <f t="shared" ref="DY77:EA77" si="141">DX77*1.02</f>
        <v>5737.5</v>
      </c>
      <c r="DZ77" s="92">
        <f t="shared" si="141"/>
        <v>5852.25</v>
      </c>
      <c r="EA77" s="92">
        <f t="shared" si="141"/>
        <v>5969.2950000000001</v>
      </c>
      <c r="EB77" s="92">
        <f t="shared" ref="EB77" si="142">EA77*1.02</f>
        <v>6088.6809000000003</v>
      </c>
      <c r="EC77" s="92">
        <f t="shared" ref="EC77" si="143">EB77*1.02</f>
        <v>6210.4545180000005</v>
      </c>
      <c r="ED77" s="92">
        <f t="shared" ref="ED77" si="144">EC77*1.02</f>
        <v>6334.6636083600006</v>
      </c>
      <c r="EE77" s="92">
        <f t="shared" ref="EE77" si="145">ED77*1.02</f>
        <v>6461.3568805272007</v>
      </c>
      <c r="EF77" s="92">
        <f t="shared" ref="EF77" si="146">EE77*1.02</f>
        <v>6590.5840181377453</v>
      </c>
      <c r="EG77" s="92">
        <f t="shared" ref="EG77" si="147">EF77*1.02</f>
        <v>6722.3956985005007</v>
      </c>
      <c r="EH77" s="92">
        <f t="shared" ref="EH77" si="148">EG77*1.02</f>
        <v>6856.8436124705104</v>
      </c>
      <c r="EI77" s="92">
        <f t="shared" ref="EI77" si="149">EH77*1.02</f>
        <v>6993.9804847199212</v>
      </c>
      <c r="EJ77" s="92">
        <f t="shared" ref="EJ77" si="150">EI77*1.02</f>
        <v>7133.86009441432</v>
      </c>
    </row>
    <row r="78" spans="2:140" s="8" customFormat="1" ht="4.5" customHeight="1">
      <c r="B78" s="45" t="s">
        <v>486</v>
      </c>
      <c r="C78" s="9"/>
      <c r="D78" s="9"/>
      <c r="E78" s="9"/>
      <c r="F78" s="9"/>
      <c r="G78" s="7"/>
      <c r="H78" s="7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128" t="s">
        <v>628</v>
      </c>
      <c r="AJ78" s="92">
        <v>381</v>
      </c>
      <c r="AK78" s="92">
        <v>283</v>
      </c>
      <c r="AL78" s="92">
        <v>232</v>
      </c>
      <c r="AM78" s="92">
        <v>379</v>
      </c>
      <c r="AN78" s="92">
        <v>422</v>
      </c>
      <c r="AO78" s="92">
        <v>291</v>
      </c>
      <c r="AP78" s="92">
        <v>251</v>
      </c>
      <c r="AQ78" s="92">
        <v>517</v>
      </c>
      <c r="AR78" s="92">
        <v>541</v>
      </c>
      <c r="AS78" s="92">
        <v>421</v>
      </c>
      <c r="AT78" s="92">
        <v>361</v>
      </c>
      <c r="AU78" s="92">
        <v>554</v>
      </c>
      <c r="AV78" s="92">
        <v>552</v>
      </c>
      <c r="AW78" s="92">
        <v>451</v>
      </c>
      <c r="AX78" s="92">
        <v>395</v>
      </c>
      <c r="AY78" s="92">
        <v>571</v>
      </c>
      <c r="AZ78" s="92">
        <v>490</v>
      </c>
      <c r="BA78" s="92">
        <v>443</v>
      </c>
      <c r="BB78" s="92">
        <v>390</v>
      </c>
      <c r="BC78" s="92">
        <v>546</v>
      </c>
      <c r="BD78" s="92">
        <v>583</v>
      </c>
      <c r="BE78" s="92">
        <v>401</v>
      </c>
      <c r="BF78" s="92">
        <v>16</v>
      </c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47"/>
      <c r="DB78" s="9"/>
      <c r="DC78" s="92"/>
      <c r="DD78" s="92"/>
      <c r="DE78" s="92"/>
      <c r="DF78" s="92"/>
      <c r="DG78" s="92"/>
      <c r="DH78" s="92"/>
      <c r="DI78" s="92"/>
      <c r="DJ78" s="92"/>
      <c r="DK78" s="92">
        <f>SUM(AM78:AP78)</f>
        <v>1343</v>
      </c>
      <c r="DL78" s="92">
        <f t="shared" si="72"/>
        <v>1840</v>
      </c>
      <c r="DM78" s="92">
        <f t="shared" si="133"/>
        <v>1952</v>
      </c>
      <c r="DN78" s="92">
        <f t="shared" si="134"/>
        <v>1894</v>
      </c>
      <c r="DO78" s="92">
        <f t="shared" si="135"/>
        <v>1546</v>
      </c>
      <c r="DP78" s="92"/>
      <c r="DQ78" s="92"/>
      <c r="DR78" s="92"/>
      <c r="DS78" s="92"/>
      <c r="DT78" s="92"/>
      <c r="DU78" s="92"/>
      <c r="DV78" s="92"/>
      <c r="DW78" s="92"/>
      <c r="DX78" s="92"/>
      <c r="DY78" s="92"/>
      <c r="DZ78" s="92"/>
      <c r="EA78" s="92"/>
      <c r="EC78" s="28"/>
    </row>
    <row r="79" spans="2:140" s="8" customFormat="1" ht="3.75" customHeight="1">
      <c r="B79" s="45" t="s">
        <v>98</v>
      </c>
      <c r="C79" s="9"/>
      <c r="D79" s="9"/>
      <c r="E79" s="9"/>
      <c r="F79" s="9"/>
      <c r="G79" s="7"/>
      <c r="H79" s="7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92"/>
      <c r="Z79" s="31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47"/>
      <c r="DB79" s="23"/>
      <c r="DC79" s="92">
        <v>480</v>
      </c>
      <c r="DD79" s="92">
        <v>115</v>
      </c>
      <c r="DE79" s="92">
        <v>47</v>
      </c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82"/>
      <c r="DY79" s="82"/>
      <c r="DZ79" s="82"/>
      <c r="EA79" s="82"/>
      <c r="EC79" s="28"/>
    </row>
    <row r="80" spans="2:140" s="8" customFormat="1" ht="3.75" customHeight="1">
      <c r="B80" s="45" t="s">
        <v>611</v>
      </c>
      <c r="C80" s="9"/>
      <c r="D80" s="9"/>
      <c r="E80" s="9"/>
      <c r="F80" s="9"/>
      <c r="G80" s="7"/>
      <c r="H80" s="7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92"/>
      <c r="Z80" s="31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47"/>
      <c r="DB80" s="23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82"/>
      <c r="DY80" s="82"/>
      <c r="DZ80" s="82"/>
      <c r="EA80" s="82"/>
      <c r="EC80" s="28"/>
    </row>
    <row r="81" spans="2:140" s="8" customFormat="1" ht="3.75" customHeight="1">
      <c r="B81" s="45" t="s">
        <v>104</v>
      </c>
      <c r="C81" s="9"/>
      <c r="D81" s="9"/>
      <c r="E81" s="9"/>
      <c r="F81" s="9"/>
      <c r="G81" s="7"/>
      <c r="H81" s="7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92"/>
      <c r="Z81" s="31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47"/>
      <c r="DB81" s="23"/>
      <c r="DC81" s="92">
        <v>55</v>
      </c>
      <c r="DD81" s="92">
        <v>37</v>
      </c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24"/>
      <c r="DY81" s="24"/>
      <c r="DZ81" s="24"/>
      <c r="EA81" s="24"/>
      <c r="EC81" s="28"/>
    </row>
    <row r="82" spans="2:140" s="8" customFormat="1" ht="3.75" customHeight="1">
      <c r="B82" s="45" t="s">
        <v>99</v>
      </c>
      <c r="C82" s="9"/>
      <c r="D82" s="9"/>
      <c r="E82" s="9"/>
      <c r="F82" s="9"/>
      <c r="G82" s="7"/>
      <c r="H82" s="7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92"/>
      <c r="Z82" s="31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47"/>
      <c r="DB82" s="23"/>
      <c r="DC82" s="92">
        <v>110</v>
      </c>
      <c r="DD82" s="92">
        <v>56</v>
      </c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24"/>
      <c r="DY82" s="24"/>
      <c r="DZ82" s="24"/>
      <c r="EA82" s="24"/>
      <c r="EC82" s="28"/>
    </row>
    <row r="83" spans="2:140" s="8" customFormat="1" ht="3.75" customHeight="1">
      <c r="B83" s="45" t="s">
        <v>97</v>
      </c>
      <c r="C83" s="92">
        <v>554.31479999999999</v>
      </c>
      <c r="D83" s="92">
        <v>554.31549999999993</v>
      </c>
      <c r="E83" s="92">
        <v>731.20980000000009</v>
      </c>
      <c r="F83" s="92">
        <v>510.72115509097432</v>
      </c>
      <c r="G83" s="92">
        <v>598</v>
      </c>
      <c r="H83" s="92">
        <v>788</v>
      </c>
      <c r="I83" s="92">
        <v>756</v>
      </c>
      <c r="J83" s="92">
        <v>386</v>
      </c>
      <c r="K83" s="92">
        <v>521</v>
      </c>
      <c r="L83" s="92">
        <v>814</v>
      </c>
      <c r="M83" s="92">
        <v>529.25</v>
      </c>
      <c r="N83" s="92">
        <v>754.25</v>
      </c>
      <c r="O83" s="92">
        <v>661</v>
      </c>
      <c r="P83" s="92">
        <v>653</v>
      </c>
      <c r="Q83" s="92">
        <v>175</v>
      </c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47"/>
      <c r="DB83" s="92">
        <v>2350.5626944231763</v>
      </c>
      <c r="DC83" s="92">
        <v>2530</v>
      </c>
      <c r="DD83" s="92">
        <v>2569</v>
      </c>
      <c r="DE83" s="92">
        <f>SUM(O83:R83)</f>
        <v>1489</v>
      </c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24"/>
      <c r="DY83" s="24"/>
      <c r="DZ83" s="24"/>
      <c r="EA83" s="24"/>
      <c r="EC83" s="28"/>
    </row>
    <row r="84" spans="2:140" s="8" customFormat="1" ht="3.75" customHeight="1">
      <c r="B84" s="45" t="s">
        <v>165</v>
      </c>
      <c r="C84" s="24"/>
      <c r="D84" s="24"/>
      <c r="E84" s="24"/>
      <c r="F84" s="24"/>
      <c r="G84" s="24"/>
      <c r="H84" s="2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2"/>
      <c r="Z84" s="9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47"/>
      <c r="DB84" s="25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92"/>
      <c r="DY84" s="92"/>
      <c r="DZ84" s="92"/>
      <c r="EA84" s="92"/>
      <c r="EC84" s="28"/>
    </row>
    <row r="85" spans="2:140" s="8" customFormat="1" ht="12.75" customHeight="1">
      <c r="B85" s="45" t="s">
        <v>487</v>
      </c>
      <c r="C85" s="24"/>
      <c r="D85" s="24"/>
      <c r="E85" s="24"/>
      <c r="F85" s="24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2"/>
      <c r="Z85" s="9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47"/>
      <c r="DB85" s="25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C85" s="28"/>
    </row>
    <row r="86" spans="2:140" s="8" customFormat="1" ht="12.75" customHeight="1">
      <c r="B86" s="45" t="s">
        <v>79</v>
      </c>
      <c r="C86" s="24"/>
      <c r="D86" s="24"/>
      <c r="E86" s="24"/>
      <c r="F86" s="24"/>
      <c r="G86" s="24"/>
      <c r="H86" s="24"/>
      <c r="I86" s="92"/>
      <c r="J86" s="92"/>
      <c r="K86" s="92"/>
      <c r="L86" s="92"/>
      <c r="M86" s="92"/>
      <c r="N86" s="92"/>
      <c r="O86" s="92">
        <f>5631-SUM(O14:O47,O9:O83)</f>
        <v>-2217</v>
      </c>
      <c r="P86" s="92">
        <f>6022-SUM(P14:P47,P9:P83)</f>
        <v>-2365</v>
      </c>
      <c r="Q86" s="92">
        <f>5538-SUM(Q14:Q47,Q9:Q83)</f>
        <v>-2202</v>
      </c>
      <c r="R86" s="92">
        <f>5748-SUM(R14:R47,R9:R82)</f>
        <v>-2512</v>
      </c>
      <c r="S86" s="92">
        <f>5362-SUM(S14:S47,S9:S82)</f>
        <v>-2259</v>
      </c>
      <c r="T86" s="92">
        <f>5468-SUM(T14:T47,T9:T82)</f>
        <v>-2552</v>
      </c>
      <c r="U86" s="92">
        <f>5416-SUM(U14:U47,U9:U82)</f>
        <v>-2410</v>
      </c>
      <c r="V86" s="92">
        <f>5766-SUM(V14:V47,V9:V82)</f>
        <v>-2465</v>
      </c>
      <c r="W86" s="92">
        <f>5410-SUM(W14:W47,W9:W82)</f>
        <v>-2521.1999999999998</v>
      </c>
      <c r="X86" s="92">
        <f>5772-SUM(X14:X47,X9:X82)</f>
        <v>-2713.3999999999996</v>
      </c>
      <c r="Y86" s="92">
        <f>5410-SUM((Y9:Y76,Y14:Y54))</f>
        <v>-3932</v>
      </c>
      <c r="Z86" s="92">
        <f>6044-SUM((Z10:Z76,Z14:Z54))</f>
        <v>-3726</v>
      </c>
      <c r="AA86" s="92">
        <f>5769-SUM((AA10:AA76,AA14:AA54))</f>
        <v>-3875.5999999999985</v>
      </c>
      <c r="AB86" s="92">
        <f>6111-SUM((AB10:AB76,AB14:AB54))</f>
        <v>-4092.7999999999993</v>
      </c>
      <c r="AC86" s="92">
        <f>6074-SUM((AC10:AC76,AC14:AC54))</f>
        <v>-4262</v>
      </c>
      <c r="AD86" s="92"/>
      <c r="AE86" s="92">
        <f>5822-SUM((AE10:AE76,AE14:AE54))</f>
        <v>-4062.8000000000011</v>
      </c>
      <c r="AF86" s="92">
        <f>6052-SUM((AF10:AF76,AF14:AF54))</f>
        <v>-4036</v>
      </c>
      <c r="AG86" s="92">
        <f>5944-SUM((AG10:AG76,AG14:AG54))</f>
        <v>-3689</v>
      </c>
      <c r="AH86" s="92">
        <f>6032-SUM((AH10:AH76,AH14:AH54))</f>
        <v>-2307.6000000000004</v>
      </c>
      <c r="AI86" s="127">
        <f>443+945</f>
        <v>1388</v>
      </c>
      <c r="AJ86" s="92"/>
      <c r="AK86" s="92"/>
      <c r="AL86" s="92">
        <f>781+379-1</f>
        <v>1159</v>
      </c>
      <c r="AM86" s="92">
        <f>975+542</f>
        <v>1517</v>
      </c>
      <c r="AN86" s="92">
        <f>417+986</f>
        <v>1403</v>
      </c>
      <c r="AO86" s="92">
        <f>1049+487</f>
        <v>1536</v>
      </c>
      <c r="AP86" s="92">
        <f>1160+447</f>
        <v>1607</v>
      </c>
      <c r="AQ86" s="92">
        <f>486+892-AQ74-AQ69-AQ60-AQ59</f>
        <v>1189</v>
      </c>
      <c r="AR86" s="92">
        <f>448+1064</f>
        <v>1512</v>
      </c>
      <c r="AS86" s="92">
        <f>1015+421</f>
        <v>1436</v>
      </c>
      <c r="AT86" s="92">
        <f>1064+310</f>
        <v>1374</v>
      </c>
      <c r="AU86" s="92">
        <f>274+1013</f>
        <v>1287</v>
      </c>
      <c r="AV86" s="92">
        <f>985+333</f>
        <v>1318</v>
      </c>
      <c r="AW86" s="92">
        <f>1023+347</f>
        <v>1370</v>
      </c>
      <c r="AX86" s="92">
        <f>1113+360</f>
        <v>1473</v>
      </c>
      <c r="AY86" s="92">
        <f>1361+369</f>
        <v>1730</v>
      </c>
      <c r="AZ86" s="92">
        <f>1430+359</f>
        <v>1789</v>
      </c>
      <c r="BA86" s="92">
        <f>1350+314</f>
        <v>1664</v>
      </c>
      <c r="BB86" s="92">
        <f>1435+298</f>
        <v>1733</v>
      </c>
      <c r="BC86" s="92">
        <f>1175+454</f>
        <v>1629</v>
      </c>
      <c r="BD86" s="92">
        <f>1209+392</f>
        <v>1601</v>
      </c>
      <c r="BE86" s="92">
        <f>1225+137</f>
        <v>1362</v>
      </c>
      <c r="BF86" s="92">
        <f>1174+211</f>
        <v>1385</v>
      </c>
      <c r="BG86" s="92">
        <f>1235+328</f>
        <v>1563</v>
      </c>
      <c r="BH86" s="92">
        <f>1274+379</f>
        <v>1653</v>
      </c>
      <c r="BI86" s="92">
        <f>1298+321</f>
        <v>1619</v>
      </c>
      <c r="BJ86" s="92">
        <f>1300+356</f>
        <v>1656</v>
      </c>
      <c r="BK86" s="92">
        <f>1093+379</f>
        <v>1472</v>
      </c>
      <c r="BL86" s="92">
        <f>1151+244</f>
        <v>1395</v>
      </c>
      <c r="BM86" s="92">
        <f>1224+228</f>
        <v>1452</v>
      </c>
      <c r="BN86" s="92">
        <f>1234+327</f>
        <v>1561</v>
      </c>
      <c r="BO86" s="92">
        <f>995+310</f>
        <v>1305</v>
      </c>
      <c r="BP86" s="92">
        <f>1064+216</f>
        <v>1280</v>
      </c>
      <c r="BQ86" s="92">
        <f>952+169</f>
        <v>1121</v>
      </c>
      <c r="BR86" s="92">
        <f>1048+162</f>
        <v>1210</v>
      </c>
      <c r="BS86" s="92">
        <f>989+53</f>
        <v>1042</v>
      </c>
      <c r="BT86" s="92">
        <f>1053+93</f>
        <v>1146</v>
      </c>
      <c r="BU86" s="92">
        <f>980+115</f>
        <v>1095</v>
      </c>
      <c r="BV86" s="92">
        <f>1062+132</f>
        <v>1194</v>
      </c>
      <c r="BW86" s="92">
        <f>1082+128</f>
        <v>1210</v>
      </c>
      <c r="BX86" s="92">
        <f>1203+176</f>
        <v>1379</v>
      </c>
      <c r="BY86" s="92">
        <f>1149+180</f>
        <v>1329</v>
      </c>
      <c r="BZ86" s="92">
        <f>1183+213</f>
        <v>1396</v>
      </c>
      <c r="CA86" s="92">
        <f>1194+188</f>
        <v>1382</v>
      </c>
      <c r="CB86" s="92">
        <f>1103+92</f>
        <v>1195</v>
      </c>
      <c r="CC86" s="92">
        <f>-5+526</f>
        <v>521</v>
      </c>
      <c r="CD86" s="92">
        <f>1228-21</f>
        <v>1207</v>
      </c>
      <c r="CE86" s="92">
        <f>554-29</f>
        <v>525</v>
      </c>
      <c r="CF86" s="92">
        <f>512-50</f>
        <v>462</v>
      </c>
      <c r="CG86" s="92">
        <f>518+241</f>
        <v>759</v>
      </c>
      <c r="CH86" s="92">
        <f>533+221</f>
        <v>754</v>
      </c>
      <c r="CI86" s="92">
        <f>520+312-CI7-CI16</f>
        <v>809</v>
      </c>
      <c r="CJ86" s="92">
        <f>370+479-CJ7-CJ16</f>
        <v>810</v>
      </c>
      <c r="CK86" s="92">
        <f>625+564-CK7-CK16</f>
        <v>1135</v>
      </c>
      <c r="CL86" s="92">
        <f>420+685-CL7-CL16</f>
        <v>927</v>
      </c>
      <c r="CM86" s="92">
        <f>275+584-CM29-CM30</f>
        <v>781</v>
      </c>
      <c r="CN86" s="92">
        <f>122+560</f>
        <v>682</v>
      </c>
      <c r="CO86" s="92">
        <f>299+568</f>
        <v>867</v>
      </c>
      <c r="CP86" s="92">
        <f>211+576</f>
        <v>787</v>
      </c>
      <c r="CQ86" s="92">
        <f>258+576</f>
        <v>834</v>
      </c>
      <c r="CR86" s="92">
        <f>573+222</f>
        <v>795</v>
      </c>
      <c r="CS86" s="92">
        <f>227+644</f>
        <v>871</v>
      </c>
      <c r="CT86" s="92">
        <f>713+185</f>
        <v>898</v>
      </c>
      <c r="CU86" s="92">
        <f t="shared" ref="CU86:CX86" si="151">+CQ86*0.95</f>
        <v>792.3</v>
      </c>
      <c r="CV86" s="92">
        <f t="shared" si="151"/>
        <v>755.25</v>
      </c>
      <c r="CW86" s="92">
        <f t="shared" si="151"/>
        <v>827.44999999999993</v>
      </c>
      <c r="CX86" s="92">
        <f t="shared" si="151"/>
        <v>853.09999999999991</v>
      </c>
      <c r="CY86" s="92"/>
      <c r="CZ86" s="92"/>
      <c r="DA86" s="47"/>
      <c r="DB86" s="25"/>
      <c r="DC86" s="92"/>
      <c r="DD86" s="92"/>
      <c r="DE86" s="92">
        <f>SUM(O86:R86)</f>
        <v>-9296</v>
      </c>
      <c r="DF86" s="92">
        <f>SUM(S86:V86)</f>
        <v>-9686</v>
      </c>
      <c r="DG86" s="92">
        <f>SUM(W86:Z86)</f>
        <v>-12892.599999999999</v>
      </c>
      <c r="DH86" s="92">
        <f>SUM(AA86:AD86)</f>
        <v>-12230.399999999998</v>
      </c>
      <c r="DI86" s="92">
        <f>SUM(AE86:AH86)</f>
        <v>-14095.400000000001</v>
      </c>
      <c r="DJ86" s="92">
        <f>SUM(AI86:AL86)</f>
        <v>2547</v>
      </c>
      <c r="DK86" s="92">
        <f>SUM(AM86:AP86)</f>
        <v>6063</v>
      </c>
      <c r="DL86" s="92">
        <f t="shared" si="72"/>
        <v>5511</v>
      </c>
      <c r="DM86" s="92">
        <f t="shared" si="133"/>
        <v>5448</v>
      </c>
      <c r="DN86" s="92">
        <f t="shared" si="134"/>
        <v>6916</v>
      </c>
      <c r="DO86" s="92">
        <f t="shared" si="135"/>
        <v>5977</v>
      </c>
      <c r="DP86" s="92">
        <f t="shared" si="136"/>
        <v>6491</v>
      </c>
      <c r="DQ86" s="92">
        <f t="shared" si="137"/>
        <v>5880</v>
      </c>
      <c r="DR86" s="92">
        <f t="shared" si="138"/>
        <v>4916</v>
      </c>
      <c r="DS86" s="92">
        <f t="shared" si="139"/>
        <v>4477</v>
      </c>
      <c r="DT86" s="92">
        <f t="shared" si="85"/>
        <v>5314</v>
      </c>
      <c r="DU86" s="92">
        <f t="shared" si="86"/>
        <v>4305</v>
      </c>
      <c r="DV86" s="92">
        <f t="shared" si="87"/>
        <v>2500</v>
      </c>
      <c r="DW86" s="92">
        <f>SUM(CI86:CL86)</f>
        <v>3681</v>
      </c>
      <c r="DX86" s="92">
        <f>SUM(CM86:CP86)</f>
        <v>3117</v>
      </c>
      <c r="DY86" s="92">
        <f t="shared" ref="DY86:EA86" si="152">DX86*0.9</f>
        <v>2805.3</v>
      </c>
      <c r="DZ86" s="92">
        <f t="shared" si="152"/>
        <v>2524.7700000000004</v>
      </c>
      <c r="EA86" s="92">
        <f t="shared" si="152"/>
        <v>2272.2930000000006</v>
      </c>
      <c r="EB86" s="92">
        <f t="shared" ref="EB86" si="153">EA86*0.9</f>
        <v>2045.0637000000006</v>
      </c>
      <c r="EC86" s="92">
        <f t="shared" ref="EC86" si="154">EB86*0.9</f>
        <v>1840.5573300000005</v>
      </c>
      <c r="ED86" s="92">
        <f t="shared" ref="ED86" si="155">EC86*0.9</f>
        <v>1656.5015970000006</v>
      </c>
      <c r="EE86" s="92">
        <f t="shared" ref="EE86" si="156">ED86*0.9</f>
        <v>1490.8514373000005</v>
      </c>
      <c r="EF86" s="92">
        <f t="shared" ref="EF86" si="157">EE86*0.9</f>
        <v>1341.7662935700005</v>
      </c>
      <c r="EG86" s="92">
        <f t="shared" ref="EG86" si="158">EF86*0.9</f>
        <v>1207.5896642130006</v>
      </c>
      <c r="EH86" s="92">
        <f t="shared" ref="EH86" si="159">EG86*0.9</f>
        <v>1086.8306977917005</v>
      </c>
      <c r="EI86" s="92">
        <f t="shared" ref="EI86" si="160">EH86*0.9</f>
        <v>978.14762801253039</v>
      </c>
      <c r="EJ86" s="92">
        <f t="shared" ref="EJ86" si="161">EI86*0.9</f>
        <v>880.33286521127741</v>
      </c>
    </row>
    <row r="87" spans="2:140" s="39" customFormat="1" ht="12.75" customHeight="1">
      <c r="B87" s="34" t="s">
        <v>699</v>
      </c>
      <c r="C87" s="26">
        <v>4895.8</v>
      </c>
      <c r="D87" s="26">
        <v>5287.8</v>
      </c>
      <c r="E87" s="26">
        <v>5443.7</v>
      </c>
      <c r="F87" s="26">
        <v>5571.6</v>
      </c>
      <c r="G87" s="26"/>
      <c r="H87" s="26"/>
      <c r="I87" s="26"/>
      <c r="J87" s="26"/>
      <c r="K87" s="26"/>
      <c r="L87" s="26"/>
      <c r="M87" s="26"/>
      <c r="N87" s="26"/>
      <c r="O87" s="26">
        <f t="shared" ref="O87:AH87" si="162">SUM(O14:O84)+O86</f>
        <v>3060</v>
      </c>
      <c r="P87" s="26">
        <f t="shared" si="162"/>
        <v>3276</v>
      </c>
      <c r="Q87" s="26">
        <f t="shared" si="162"/>
        <v>2902</v>
      </c>
      <c r="R87" s="26">
        <f t="shared" si="162"/>
        <v>2929</v>
      </c>
      <c r="S87" s="26">
        <f t="shared" si="162"/>
        <v>2839</v>
      </c>
      <c r="T87" s="26">
        <f t="shared" si="162"/>
        <v>2796</v>
      </c>
      <c r="U87" s="26">
        <f t="shared" si="162"/>
        <v>2867</v>
      </c>
      <c r="V87" s="26">
        <f t="shared" si="162"/>
        <v>3199</v>
      </c>
      <c r="W87" s="26">
        <f t="shared" si="162"/>
        <v>2905.0000000000009</v>
      </c>
      <c r="X87" s="26">
        <f t="shared" si="162"/>
        <v>3201</v>
      </c>
      <c r="Y87" s="26">
        <f t="shared" si="162"/>
        <v>1392.5</v>
      </c>
      <c r="Z87" s="26">
        <f t="shared" si="162"/>
        <v>1909</v>
      </c>
      <c r="AA87" s="26">
        <f t="shared" si="162"/>
        <v>1656.2000000000016</v>
      </c>
      <c r="AB87" s="26">
        <f t="shared" si="162"/>
        <v>1675.1000000000004</v>
      </c>
      <c r="AC87" s="26">
        <f t="shared" si="162"/>
        <v>1460</v>
      </c>
      <c r="AD87" s="26">
        <f t="shared" si="162"/>
        <v>5640</v>
      </c>
      <c r="AE87" s="26">
        <f t="shared" si="162"/>
        <v>1465.0999999999985</v>
      </c>
      <c r="AF87" s="26">
        <f t="shared" si="162"/>
        <v>2265.5</v>
      </c>
      <c r="AG87" s="26">
        <f t="shared" si="162"/>
        <v>1500.5</v>
      </c>
      <c r="AH87" s="26">
        <f t="shared" si="162"/>
        <v>2488.1999999999998</v>
      </c>
      <c r="AI87" s="26">
        <f t="shared" ref="AI87:BN87" si="163">SUM(AI3:AI86)</f>
        <v>7155</v>
      </c>
      <c r="AJ87" s="26">
        <f t="shared" si="163"/>
        <v>8095</v>
      </c>
      <c r="AK87" s="26">
        <f t="shared" si="163"/>
        <v>8175</v>
      </c>
      <c r="AL87" s="26">
        <f t="shared" si="163"/>
        <v>11147</v>
      </c>
      <c r="AM87" s="26">
        <f t="shared" si="163"/>
        <v>11423</v>
      </c>
      <c r="AN87" s="39">
        <f t="shared" si="163"/>
        <v>11348</v>
      </c>
      <c r="AO87" s="39">
        <f t="shared" si="163"/>
        <v>11125</v>
      </c>
      <c r="AP87" s="39">
        <f t="shared" si="163"/>
        <v>12094</v>
      </c>
      <c r="AQ87" s="39">
        <f t="shared" si="163"/>
        <v>11581</v>
      </c>
      <c r="AR87" s="39">
        <f t="shared" si="163"/>
        <v>12153</v>
      </c>
      <c r="AS87" s="39">
        <f t="shared" si="163"/>
        <v>12022</v>
      </c>
      <c r="AT87" s="39">
        <f t="shared" si="163"/>
        <v>12298</v>
      </c>
      <c r="AU87" s="39">
        <f t="shared" si="163"/>
        <v>11731</v>
      </c>
      <c r="AV87" s="39">
        <f t="shared" si="163"/>
        <v>12310</v>
      </c>
      <c r="AW87" s="39">
        <f t="shared" si="163"/>
        <v>11488</v>
      </c>
      <c r="AX87" s="39">
        <f t="shared" si="163"/>
        <v>11741</v>
      </c>
      <c r="AY87" s="39">
        <f t="shared" si="163"/>
        <v>10671</v>
      </c>
      <c r="AZ87" s="39">
        <f t="shared" si="163"/>
        <v>11010</v>
      </c>
      <c r="BA87" s="39">
        <f t="shared" si="163"/>
        <v>11032</v>
      </c>
      <c r="BB87" s="39">
        <f t="shared" si="163"/>
        <v>11319</v>
      </c>
      <c r="BC87" s="39">
        <f t="shared" si="163"/>
        <v>10264</v>
      </c>
      <c r="BD87" s="39">
        <f t="shared" si="163"/>
        <v>10934</v>
      </c>
      <c r="BE87" s="39">
        <f t="shared" si="163"/>
        <v>10557</v>
      </c>
      <c r="BF87" s="39">
        <f t="shared" si="163"/>
        <v>10482</v>
      </c>
      <c r="BG87" s="39">
        <f t="shared" si="163"/>
        <v>9425</v>
      </c>
      <c r="BH87" s="39">
        <f t="shared" si="163"/>
        <v>9785</v>
      </c>
      <c r="BI87" s="39">
        <f t="shared" si="163"/>
        <v>10073</v>
      </c>
      <c r="BJ87" s="39">
        <f t="shared" si="163"/>
        <v>10215</v>
      </c>
      <c r="BK87" s="39">
        <f t="shared" si="163"/>
        <v>9312</v>
      </c>
      <c r="BL87" s="39">
        <f t="shared" si="163"/>
        <v>9844</v>
      </c>
      <c r="BM87" s="39">
        <f t="shared" si="163"/>
        <v>10536</v>
      </c>
      <c r="BN87" s="39">
        <f t="shared" si="163"/>
        <v>10115</v>
      </c>
      <c r="BO87" s="39">
        <f t="shared" ref="BO87:CX87" si="164">SUM(BO3:BO86)</f>
        <v>9434</v>
      </c>
      <c r="BP87" s="39">
        <f t="shared" si="164"/>
        <v>9930</v>
      </c>
      <c r="BQ87" s="39">
        <f t="shared" si="164"/>
        <v>10325</v>
      </c>
      <c r="BR87" s="39">
        <f t="shared" si="164"/>
        <v>10433</v>
      </c>
      <c r="BS87" s="39">
        <f t="shared" si="164"/>
        <v>10037</v>
      </c>
      <c r="BT87" s="39">
        <f t="shared" si="164"/>
        <v>10465</v>
      </c>
      <c r="BU87" s="39">
        <f t="shared" si="164"/>
        <v>10794</v>
      </c>
      <c r="BV87" s="39">
        <f t="shared" si="164"/>
        <v>10998</v>
      </c>
      <c r="BW87" s="39">
        <f t="shared" si="164"/>
        <v>10816</v>
      </c>
      <c r="BX87" s="39">
        <f t="shared" si="164"/>
        <v>11760</v>
      </c>
      <c r="BY87" s="39">
        <f t="shared" si="164"/>
        <v>12397</v>
      </c>
      <c r="BZ87" s="39">
        <f t="shared" si="164"/>
        <v>11868</v>
      </c>
      <c r="CA87" s="39">
        <f t="shared" si="164"/>
        <v>12057</v>
      </c>
      <c r="CB87" s="39">
        <f t="shared" si="164"/>
        <v>10872</v>
      </c>
      <c r="CC87" s="39">
        <f t="shared" si="164"/>
        <v>10929</v>
      </c>
      <c r="CD87" s="39">
        <f t="shared" si="164"/>
        <v>12514</v>
      </c>
      <c r="CE87" s="39">
        <f t="shared" si="164"/>
        <v>10627</v>
      </c>
      <c r="CF87" s="39">
        <f t="shared" si="164"/>
        <v>11402</v>
      </c>
      <c r="CG87" s="39">
        <f t="shared" si="164"/>
        <v>13154</v>
      </c>
      <c r="CH87" s="39">
        <f t="shared" si="164"/>
        <v>13521</v>
      </c>
      <c r="CI87" s="39">
        <f t="shared" si="164"/>
        <v>15901</v>
      </c>
      <c r="CJ87" s="39">
        <f t="shared" si="164"/>
        <v>14593</v>
      </c>
      <c r="CK87" s="39">
        <f t="shared" si="164"/>
        <v>14959</v>
      </c>
      <c r="CL87" s="39">
        <f t="shared" si="164"/>
        <v>13830</v>
      </c>
      <c r="CM87" s="39">
        <f>SUM(CM3:CM86)</f>
        <v>14487</v>
      </c>
      <c r="CN87" s="39">
        <f>SUM(CN3:CN86)</f>
        <v>15035</v>
      </c>
      <c r="CO87" s="39">
        <f t="shared" si="164"/>
        <v>15962</v>
      </c>
      <c r="CP87" s="39">
        <f t="shared" si="164"/>
        <v>14630</v>
      </c>
      <c r="CQ87" s="39">
        <f t="shared" si="164"/>
        <v>15775</v>
      </c>
      <c r="CR87" s="39">
        <f t="shared" si="164"/>
        <v>16112</v>
      </c>
      <c r="CS87" s="39">
        <f t="shared" si="164"/>
        <v>16657</v>
      </c>
      <c r="CT87" s="39">
        <f t="shared" si="164"/>
        <v>15624</v>
      </c>
      <c r="CU87" s="39">
        <f t="shared" si="164"/>
        <v>16359.889999999998</v>
      </c>
      <c r="CV87" s="39">
        <f t="shared" si="164"/>
        <v>16901.349999999999</v>
      </c>
      <c r="CW87" s="39">
        <f t="shared" si="164"/>
        <v>17180.285</v>
      </c>
      <c r="CX87" s="39">
        <f t="shared" si="164"/>
        <v>16638.302499999998</v>
      </c>
      <c r="DA87" s="46"/>
      <c r="DB87" s="26">
        <f>SUM(C87:F87)+0.1</f>
        <v>21199</v>
      </c>
      <c r="DC87" s="26">
        <f>SUM(G87:J87)</f>
        <v>0</v>
      </c>
      <c r="DD87" s="26">
        <f>SUM(K87:N87)</f>
        <v>0</v>
      </c>
      <c r="DE87" s="26">
        <f>SUM(DE14:DE84)+DE86</f>
        <v>12214</v>
      </c>
      <c r="DF87" s="26">
        <f>SUM(DF14:DF84)+DF86</f>
        <v>11701</v>
      </c>
      <c r="DG87" s="26">
        <f>SUM(DG14:DG84)+DG86</f>
        <v>9407.5</v>
      </c>
      <c r="DH87" s="26">
        <f>SUM(DH14:DH84)+DH86</f>
        <v>10431.300000000003</v>
      </c>
      <c r="DI87" s="26">
        <f>SUM(DI14:DI84)+DI86</f>
        <v>6960.2999999999993</v>
      </c>
      <c r="DJ87" s="26">
        <f>SUM(DJ3:DJ85)+DJ86</f>
        <v>28009</v>
      </c>
      <c r="DK87" s="26">
        <f t="shared" ref="DK87:EJ87" si="165">SUM(DK3:DK86)</f>
        <v>46049</v>
      </c>
      <c r="DL87" s="26">
        <f t="shared" si="165"/>
        <v>47986</v>
      </c>
      <c r="DM87" s="26">
        <f t="shared" si="165"/>
        <v>47270</v>
      </c>
      <c r="DN87" s="26">
        <f t="shared" si="165"/>
        <v>44032</v>
      </c>
      <c r="DO87" s="26">
        <f t="shared" si="165"/>
        <v>42237</v>
      </c>
      <c r="DP87" s="26">
        <f t="shared" si="165"/>
        <v>39498</v>
      </c>
      <c r="DQ87" s="26">
        <f t="shared" si="165"/>
        <v>39807</v>
      </c>
      <c r="DR87" s="26">
        <f t="shared" si="165"/>
        <v>40122</v>
      </c>
      <c r="DS87" s="26">
        <f t="shared" si="165"/>
        <v>42294</v>
      </c>
      <c r="DT87" s="26">
        <f t="shared" si="165"/>
        <v>46841</v>
      </c>
      <c r="DU87" s="26">
        <f t="shared" si="165"/>
        <v>46372</v>
      </c>
      <c r="DV87" s="26">
        <f t="shared" si="165"/>
        <v>48704</v>
      </c>
      <c r="DW87" s="26">
        <f t="shared" si="165"/>
        <v>59283</v>
      </c>
      <c r="DX87" s="26">
        <f t="shared" si="165"/>
        <v>60164</v>
      </c>
      <c r="DY87" s="26">
        <f t="shared" si="165"/>
        <v>63209.37</v>
      </c>
      <c r="DZ87" s="26">
        <f t="shared" si="165"/>
        <v>64366.13489999999</v>
      </c>
      <c r="EA87" s="26">
        <f t="shared" si="165"/>
        <v>64006.437877000004</v>
      </c>
      <c r="EB87" s="26">
        <f t="shared" si="165"/>
        <v>64443.433678790003</v>
      </c>
      <c r="EC87" s="26">
        <f t="shared" si="165"/>
        <v>56545.252550143319</v>
      </c>
      <c r="ED87" s="26">
        <f t="shared" si="165"/>
        <v>47663.123203645788</v>
      </c>
      <c r="EE87" s="26">
        <f t="shared" si="165"/>
        <v>39552.489435946445</v>
      </c>
      <c r="EF87" s="26">
        <f t="shared" si="165"/>
        <v>35954.992778290027</v>
      </c>
      <c r="EG87" s="26">
        <f t="shared" si="165"/>
        <v>33506.89877524889</v>
      </c>
      <c r="EH87" s="26">
        <f t="shared" si="165"/>
        <v>31275.550986330905</v>
      </c>
      <c r="EI87" s="26">
        <f t="shared" si="165"/>
        <v>29648.23551602833</v>
      </c>
      <c r="EJ87" s="26">
        <f t="shared" si="165"/>
        <v>28794.998444759833</v>
      </c>
    </row>
    <row r="88" spans="2:140" s="90" customFormat="1" ht="12.75" customHeight="1">
      <c r="B88" s="98" t="s">
        <v>778</v>
      </c>
      <c r="C88" s="91">
        <v>862.8</v>
      </c>
      <c r="D88" s="91">
        <v>886</v>
      </c>
      <c r="E88" s="91">
        <v>917.3</v>
      </c>
      <c r="F88" s="91">
        <v>958.7</v>
      </c>
      <c r="G88" s="92">
        <v>864.2</v>
      </c>
      <c r="H88" s="92">
        <f>942.1</f>
        <v>942.1</v>
      </c>
      <c r="I88" s="92">
        <f>973.2</f>
        <v>973.2</v>
      </c>
      <c r="J88" s="92">
        <f>1125.7</f>
        <v>1125.7</v>
      </c>
      <c r="K88" s="92">
        <f>1046.8</f>
        <v>1046.8</v>
      </c>
      <c r="L88" s="92">
        <f>988.5</f>
        <v>988.5</v>
      </c>
      <c r="M88" s="92">
        <v>1083.4000000000001</v>
      </c>
      <c r="N88" s="92">
        <v>1228.3</v>
      </c>
      <c r="O88" s="92">
        <f>1115.8+32</f>
        <v>1147.8</v>
      </c>
      <c r="P88" s="92">
        <f>1131.3+32.9</f>
        <v>1164.2</v>
      </c>
      <c r="Q88" s="92">
        <v>1364.2</v>
      </c>
      <c r="R88" s="92">
        <v>1283.5999999999999</v>
      </c>
      <c r="S88" s="92">
        <v>1271.4000000000001</v>
      </c>
      <c r="T88" s="92">
        <v>1160.5999999999999</v>
      </c>
      <c r="U88" s="92">
        <v>1238.8</v>
      </c>
      <c r="V88" s="92">
        <f>1478.8-177</f>
        <v>1301.8</v>
      </c>
      <c r="W88" s="92">
        <f>1342.7-205</f>
        <v>1137.7</v>
      </c>
      <c r="X88" s="92">
        <f>1445.2-167.5</f>
        <v>1277.7</v>
      </c>
      <c r="Y88" s="92">
        <v>1544.1</v>
      </c>
      <c r="Z88" s="92">
        <f>1669.1-164.3</f>
        <v>1504.8</v>
      </c>
      <c r="AA88" s="92">
        <v>1525.8</v>
      </c>
      <c r="AB88" s="92">
        <v>1552.3</v>
      </c>
      <c r="AC88" s="92">
        <v>1517.7</v>
      </c>
      <c r="AD88" s="92"/>
      <c r="AE88" s="92">
        <f>1238.1-14.9</f>
        <v>1223.1999999999998</v>
      </c>
      <c r="AF88" s="92">
        <v>1396.5</v>
      </c>
      <c r="AG88" s="92">
        <v>1477.9</v>
      </c>
      <c r="AH88" s="92">
        <v>1470</v>
      </c>
      <c r="AI88" s="92">
        <f>1333.8-22</f>
        <v>1311.8</v>
      </c>
      <c r="AJ88" s="92">
        <f>1353.9-47</f>
        <v>1306.9000000000001</v>
      </c>
      <c r="AK88" s="92">
        <v>1430.3</v>
      </c>
      <c r="AL88" s="92">
        <v>2595.8000000000002</v>
      </c>
      <c r="AM88" s="92">
        <v>2811.7</v>
      </c>
      <c r="AN88" s="92">
        <v>2662.5</v>
      </c>
      <c r="AO88" s="92">
        <v>2796.2</v>
      </c>
      <c r="AP88" s="92">
        <v>3129</v>
      </c>
      <c r="AQ88" s="92">
        <v>2690</v>
      </c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>
        <v>2572</v>
      </c>
      <c r="CD88" s="92">
        <v>2739</v>
      </c>
      <c r="CE88" s="92">
        <v>2487</v>
      </c>
      <c r="CF88" s="92">
        <v>2684</v>
      </c>
      <c r="CG88" s="92">
        <v>3056</v>
      </c>
      <c r="CH88" s="92">
        <v>3411</v>
      </c>
      <c r="CI88" s="92">
        <v>4654</v>
      </c>
      <c r="CJ88" s="92">
        <v>3698</v>
      </c>
      <c r="CK88" s="92">
        <v>3434</v>
      </c>
      <c r="CL88" s="92">
        <v>3361</v>
      </c>
      <c r="CM88" s="92">
        <v>3352</v>
      </c>
      <c r="CN88" s="92">
        <v>3525</v>
      </c>
      <c r="CO88" s="92">
        <v>3679</v>
      </c>
      <c r="CP88" s="92">
        <v>3340</v>
      </c>
      <c r="CQ88" s="92">
        <v>2961</v>
      </c>
      <c r="CR88" s="92">
        <v>3073</v>
      </c>
      <c r="CS88" s="92">
        <v>3249</v>
      </c>
      <c r="CT88" s="92">
        <v>3006</v>
      </c>
      <c r="CU88" s="92"/>
      <c r="CV88" s="92"/>
      <c r="CW88" s="92"/>
      <c r="CX88" s="92"/>
      <c r="CY88" s="92"/>
      <c r="CZ88" s="92"/>
      <c r="DA88" s="93"/>
      <c r="DB88" s="92">
        <f>SUM(C88:F88)</f>
        <v>3624.8</v>
      </c>
      <c r="DC88" s="91">
        <f>SUM(G88:J88)+1.9</f>
        <v>3907.1</v>
      </c>
      <c r="DD88" s="92">
        <f>SUM(K88:N88)</f>
        <v>4347</v>
      </c>
      <c r="DE88" s="92">
        <f>SUM(O88:R88)</f>
        <v>4959.7999999999993</v>
      </c>
      <c r="DF88" s="92">
        <f>SUM(S88:V88)</f>
        <v>4972.6000000000004</v>
      </c>
      <c r="DG88" s="92">
        <f>SUM(W88:Z88)</f>
        <v>5464.3</v>
      </c>
      <c r="DH88" s="92">
        <f>SUM(AA88:AD88)</f>
        <v>4595.8</v>
      </c>
      <c r="DI88" s="92">
        <f>SUM(AE88:AH88)</f>
        <v>5567.6</v>
      </c>
      <c r="DJ88" s="92"/>
      <c r="DK88" s="92"/>
      <c r="DL88" s="92">
        <f t="shared" ref="DL88:EA88" si="166">DL87-DL89</f>
        <v>12044.485999999997</v>
      </c>
      <c r="DM88" s="92">
        <f t="shared" si="166"/>
        <v>47270</v>
      </c>
      <c r="DN88" s="92">
        <f t="shared" si="166"/>
        <v>44032</v>
      </c>
      <c r="DO88" s="92">
        <f t="shared" si="166"/>
        <v>42237</v>
      </c>
      <c r="DP88" s="92">
        <f t="shared" si="166"/>
        <v>39498</v>
      </c>
      <c r="DQ88" s="92">
        <f t="shared" si="166"/>
        <v>39807</v>
      </c>
      <c r="DR88" s="92">
        <f t="shared" si="166"/>
        <v>40122</v>
      </c>
      <c r="DS88" s="92">
        <f t="shared" si="166"/>
        <v>42294</v>
      </c>
      <c r="DT88" s="92">
        <f t="shared" si="166"/>
        <v>46841</v>
      </c>
      <c r="DU88" s="92">
        <f t="shared" si="166"/>
        <v>46372</v>
      </c>
      <c r="DV88" s="92">
        <f t="shared" ref="DV88" si="167">SUM(CE88:CH88)</f>
        <v>11638</v>
      </c>
      <c r="DW88" s="92">
        <f>SUM(CI88:CL88)</f>
        <v>15147</v>
      </c>
      <c r="DX88" s="92">
        <f>SUM(CM88:CP88)</f>
        <v>13896</v>
      </c>
      <c r="DY88" s="90">
        <f t="shared" si="166"/>
        <v>12641.873999999996</v>
      </c>
      <c r="DZ88" s="90">
        <f t="shared" si="166"/>
        <v>12873.226979999992</v>
      </c>
      <c r="EA88" s="90">
        <f t="shared" si="166"/>
        <v>12801.287575399998</v>
      </c>
      <c r="EB88" s="90">
        <f>EB87-EB89</f>
        <v>12888.686735757998</v>
      </c>
      <c r="EC88" s="90">
        <f t="shared" ref="EC88:EJ88" si="168">EC87-EC89</f>
        <v>11309.050510028661</v>
      </c>
      <c r="ED88" s="90">
        <f t="shared" si="168"/>
        <v>9532.6246407291546</v>
      </c>
      <c r="EE88" s="90">
        <f t="shared" si="168"/>
        <v>7910.497887189289</v>
      </c>
      <c r="EF88" s="90">
        <f t="shared" si="168"/>
        <v>7190.9985556580032</v>
      </c>
      <c r="EG88" s="90">
        <f t="shared" si="168"/>
        <v>6701.3797550497766</v>
      </c>
      <c r="EH88" s="90">
        <f t="shared" si="168"/>
        <v>6255.1101972661781</v>
      </c>
      <c r="EI88" s="90">
        <f t="shared" si="168"/>
        <v>5929.6471032056652</v>
      </c>
      <c r="EJ88" s="90">
        <f t="shared" si="168"/>
        <v>5758.9996889519643</v>
      </c>
    </row>
    <row r="89" spans="2:140" s="90" customFormat="1" ht="12.75" customHeight="1">
      <c r="B89" s="98" t="s">
        <v>377</v>
      </c>
      <c r="C89" s="91"/>
      <c r="D89" s="91"/>
      <c r="E89" s="91"/>
      <c r="F89" s="91"/>
      <c r="G89" s="92"/>
      <c r="H89" s="92"/>
      <c r="I89" s="92"/>
      <c r="J89" s="92"/>
      <c r="K89" s="92"/>
      <c r="L89" s="92"/>
      <c r="M89" s="92"/>
      <c r="N89" s="92"/>
      <c r="O89" s="92" t="e">
        <f>#REF!-O88</f>
        <v>#REF!</v>
      </c>
      <c r="P89" s="92" t="e">
        <f>#REF!-P88</f>
        <v>#REF!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>
        <f>+AL87-AL88</f>
        <v>8551.2000000000007</v>
      </c>
      <c r="AM89" s="92">
        <f>AM87-AM88</f>
        <v>8611.2999999999993</v>
      </c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>
        <f t="shared" ref="CC89:CJ89" si="169">+CC87-CC88</f>
        <v>8357</v>
      </c>
      <c r="CD89" s="92">
        <f t="shared" si="169"/>
        <v>9775</v>
      </c>
      <c r="CE89" s="92">
        <f t="shared" si="169"/>
        <v>8140</v>
      </c>
      <c r="CF89" s="92">
        <f t="shared" si="169"/>
        <v>8718</v>
      </c>
      <c r="CG89" s="92">
        <f t="shared" si="169"/>
        <v>10098</v>
      </c>
      <c r="CH89" s="92">
        <f t="shared" si="169"/>
        <v>10110</v>
      </c>
      <c r="CI89" s="92">
        <f t="shared" si="169"/>
        <v>11247</v>
      </c>
      <c r="CJ89" s="92">
        <f t="shared" si="169"/>
        <v>10895</v>
      </c>
      <c r="CK89" s="92">
        <f>+CK87-CK88</f>
        <v>11525</v>
      </c>
      <c r="CL89" s="92">
        <f>+CL87-CL88</f>
        <v>10469</v>
      </c>
      <c r="CM89" s="92">
        <f>CM87-CM88</f>
        <v>11135</v>
      </c>
      <c r="CN89" s="92">
        <f t="shared" ref="CN89:CS89" si="170">+CN87-CN88</f>
        <v>11510</v>
      </c>
      <c r="CO89" s="92">
        <f t="shared" si="170"/>
        <v>12283</v>
      </c>
      <c r="CP89" s="92">
        <f t="shared" si="170"/>
        <v>11290</v>
      </c>
      <c r="CQ89" s="92">
        <f t="shared" si="170"/>
        <v>12814</v>
      </c>
      <c r="CR89" s="92">
        <f t="shared" si="170"/>
        <v>13039</v>
      </c>
      <c r="CS89" s="92">
        <f t="shared" si="170"/>
        <v>13408</v>
      </c>
      <c r="CT89" s="92">
        <f>+CT87-CT88</f>
        <v>12618</v>
      </c>
      <c r="CU89" s="92"/>
      <c r="CV89" s="92"/>
      <c r="CW89" s="92"/>
      <c r="CX89" s="92"/>
      <c r="CY89" s="92"/>
      <c r="CZ89" s="92"/>
      <c r="DA89" s="93"/>
      <c r="DB89" s="92">
        <f>+DB87-DB88</f>
        <v>17574.2</v>
      </c>
      <c r="DC89" s="92"/>
      <c r="DD89" s="92"/>
      <c r="DE89" s="92"/>
      <c r="DF89" s="92"/>
      <c r="DG89" s="92"/>
      <c r="DH89" s="92"/>
      <c r="DI89" s="92"/>
      <c r="DJ89" s="92"/>
      <c r="DK89" s="92"/>
      <c r="DL89" s="92">
        <f t="shared" ref="DL89:DU89" si="171">DL87*DL107</f>
        <v>35941.514000000003</v>
      </c>
      <c r="DM89" s="92">
        <f t="shared" si="171"/>
        <v>0</v>
      </c>
      <c r="DN89" s="92">
        <f t="shared" si="171"/>
        <v>0</v>
      </c>
      <c r="DO89" s="92">
        <f t="shared" si="171"/>
        <v>0</v>
      </c>
      <c r="DP89" s="92">
        <f t="shared" si="171"/>
        <v>0</v>
      </c>
      <c r="DQ89" s="92">
        <f t="shared" si="171"/>
        <v>0</v>
      </c>
      <c r="DR89" s="92">
        <f t="shared" si="171"/>
        <v>0</v>
      </c>
      <c r="DS89" s="92">
        <f t="shared" si="171"/>
        <v>0</v>
      </c>
      <c r="DT89" s="92">
        <f t="shared" si="171"/>
        <v>0</v>
      </c>
      <c r="DU89" s="92">
        <f t="shared" si="171"/>
        <v>0</v>
      </c>
      <c r="DV89" s="92">
        <f>DV87-DV88</f>
        <v>37066</v>
      </c>
      <c r="DW89" s="92">
        <f>DW87-DW88</f>
        <v>44136</v>
      </c>
      <c r="DX89" s="92">
        <f>DX87-DX88</f>
        <v>46268</v>
      </c>
      <c r="DY89" s="90">
        <f t="shared" ref="DY89:EA89" si="172">DY87*0.8</f>
        <v>50567.496000000006</v>
      </c>
      <c r="DZ89" s="90">
        <f t="shared" si="172"/>
        <v>51492.907919999998</v>
      </c>
      <c r="EA89" s="90">
        <f t="shared" si="172"/>
        <v>51205.150301600006</v>
      </c>
      <c r="EB89" s="90">
        <f>EB87*0.8</f>
        <v>51554.746943032005</v>
      </c>
      <c r="EC89" s="90">
        <f t="shared" ref="EC89:EJ89" si="173">EC87*0.8</f>
        <v>45236.202040114658</v>
      </c>
      <c r="ED89" s="90">
        <f t="shared" si="173"/>
        <v>38130.498562916633</v>
      </c>
      <c r="EE89" s="90">
        <f t="shared" si="173"/>
        <v>31641.991548757156</v>
      </c>
      <c r="EF89" s="90">
        <f t="shared" si="173"/>
        <v>28763.994222632024</v>
      </c>
      <c r="EG89" s="90">
        <f t="shared" si="173"/>
        <v>26805.519020199114</v>
      </c>
      <c r="EH89" s="90">
        <f t="shared" si="173"/>
        <v>25020.440789064727</v>
      </c>
      <c r="EI89" s="90">
        <f t="shared" si="173"/>
        <v>23718.588412822664</v>
      </c>
      <c r="EJ89" s="90">
        <f t="shared" si="173"/>
        <v>23035.998755807868</v>
      </c>
    </row>
    <row r="90" spans="2:140" s="90" customFormat="1" ht="12.75" customHeight="1">
      <c r="B90" s="98" t="s">
        <v>378</v>
      </c>
      <c r="C90" s="91">
        <v>1362.53</v>
      </c>
      <c r="D90" s="91">
        <v>1478.33</v>
      </c>
      <c r="E90" s="91">
        <v>1438.64</v>
      </c>
      <c r="F90" s="91">
        <v>1421.1</v>
      </c>
      <c r="G90" s="91">
        <v>1343.3</v>
      </c>
      <c r="H90" s="91">
        <v>1362.9</v>
      </c>
      <c r="I90" s="91">
        <f>1317.6+90</f>
        <v>1407.6</v>
      </c>
      <c r="J90" s="91">
        <v>1538.4</v>
      </c>
      <c r="K90" s="91">
        <v>1547.3</v>
      </c>
      <c r="L90" s="91">
        <v>1589.9</v>
      </c>
      <c r="M90" s="91">
        <v>1463.6</v>
      </c>
      <c r="N90" s="91">
        <v>1794.1</v>
      </c>
      <c r="O90" s="91">
        <f>1611.4-34</f>
        <v>1577.4</v>
      </c>
      <c r="P90" s="91">
        <f>1616.2-21</f>
        <v>1595.2</v>
      </c>
      <c r="Q90" s="91">
        <v>1752.9</v>
      </c>
      <c r="R90" s="91">
        <f>2365.8-604</f>
        <v>1761.8000000000002</v>
      </c>
      <c r="S90" s="91">
        <v>1613.3</v>
      </c>
      <c r="T90" s="91">
        <v>1755.3</v>
      </c>
      <c r="U90" s="91">
        <f>1741.2-80</f>
        <v>1661.2</v>
      </c>
      <c r="V90" s="91">
        <f>2139-295</f>
        <v>1844</v>
      </c>
      <c r="W90" s="91">
        <v>1715</v>
      </c>
      <c r="X90" s="91">
        <v>1734</v>
      </c>
      <c r="Y90" s="91">
        <v>2370.6</v>
      </c>
      <c r="Z90" s="91">
        <f>2345.8-75-48</f>
        <v>2222.8000000000002</v>
      </c>
      <c r="AA90" s="92">
        <v>1802</v>
      </c>
      <c r="AB90" s="91">
        <v>2083.6999999999998</v>
      </c>
      <c r="AC90" s="91">
        <v>1951.4</v>
      </c>
      <c r="AD90" s="91"/>
      <c r="AE90" s="91">
        <f>1854.4-40</f>
        <v>1814.4</v>
      </c>
      <c r="AF90" s="91">
        <v>1930.2</v>
      </c>
      <c r="AG90" s="91">
        <v>1730.3</v>
      </c>
      <c r="AH90" s="91">
        <v>1862.1</v>
      </c>
      <c r="AI90" s="91">
        <f>1632.9-7</f>
        <v>1625.9</v>
      </c>
      <c r="AJ90" s="91">
        <f>1729.5-44-25</f>
        <v>1660.5</v>
      </c>
      <c r="AK90" s="91">
        <v>1725.5</v>
      </c>
      <c r="AL90" s="91">
        <v>3190.2</v>
      </c>
      <c r="AM90" s="91">
        <v>3166.7</v>
      </c>
      <c r="AN90" s="91">
        <v>3127.9</v>
      </c>
      <c r="AO90" s="91">
        <v>3023.7</v>
      </c>
      <c r="AP90" s="91">
        <v>3406</v>
      </c>
      <c r="AQ90" s="91">
        <v>3083</v>
      </c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>
        <v>2020</v>
      </c>
      <c r="CD90" s="91">
        <v>2567</v>
      </c>
      <c r="CE90" s="91">
        <v>2174</v>
      </c>
      <c r="CF90" s="91">
        <v>2254</v>
      </c>
      <c r="CG90" s="91">
        <v>2270</v>
      </c>
      <c r="CH90" s="91">
        <v>2594</v>
      </c>
      <c r="CI90" s="91">
        <v>2252</v>
      </c>
      <c r="CJ90" s="91">
        <v>2420</v>
      </c>
      <c r="CK90" s="91">
        <v>2472</v>
      </c>
      <c r="CL90" s="91">
        <v>2628</v>
      </c>
      <c r="CM90" s="91">
        <v>2458</v>
      </c>
      <c r="CN90" s="91">
        <v>2625</v>
      </c>
      <c r="CO90" s="91">
        <v>2462</v>
      </c>
      <c r="CP90" s="91">
        <v>2751</v>
      </c>
      <c r="CQ90" s="91">
        <v>2457</v>
      </c>
      <c r="CR90" s="91">
        <v>2684</v>
      </c>
      <c r="CS90" s="91">
        <v>2657</v>
      </c>
      <c r="CT90" s="91">
        <v>2819</v>
      </c>
      <c r="CU90" s="91"/>
      <c r="CV90" s="91"/>
      <c r="CW90" s="91"/>
      <c r="CX90" s="91"/>
      <c r="CY90" s="91"/>
      <c r="CZ90" s="91"/>
      <c r="DA90" s="93"/>
      <c r="DB90" s="91">
        <f>SUM(C90:F90)</f>
        <v>5700.6</v>
      </c>
      <c r="DC90" s="91">
        <f>SUM(G90:J90)</f>
        <v>5652.1999999999989</v>
      </c>
      <c r="DD90" s="91">
        <f>SUM(K90:N90)</f>
        <v>6394.9</v>
      </c>
      <c r="DE90" s="91">
        <f>SUM(O90:R90)</f>
        <v>6687.3</v>
      </c>
      <c r="DF90" s="91">
        <f>SUM(S90:V90)</f>
        <v>6873.8</v>
      </c>
      <c r="DG90" s="91">
        <f>SUM(W90:Z90)</f>
        <v>8042.4000000000005</v>
      </c>
      <c r="DH90" s="91">
        <f>SUM(AA90:AD90)</f>
        <v>5837.1</v>
      </c>
      <c r="DI90" s="91">
        <f>SUM(AE90:AH90)</f>
        <v>7337</v>
      </c>
      <c r="DJ90" s="91">
        <f>SUM(AI90:AL90)</f>
        <v>8202.0999999999985</v>
      </c>
      <c r="DK90" s="92">
        <f>SUM(AM90:AP90)</f>
        <v>12724.3</v>
      </c>
      <c r="DL90" s="91">
        <f t="shared" ref="DL90:DT90" si="174">DL87*DL108</f>
        <v>13292.122000000001</v>
      </c>
      <c r="DM90" s="91">
        <f t="shared" si="174"/>
        <v>12999.250000000002</v>
      </c>
      <c r="DN90" s="91">
        <f t="shared" si="174"/>
        <v>11976.704000000002</v>
      </c>
      <c r="DO90" s="91">
        <f t="shared" si="174"/>
        <v>11403.990000000002</v>
      </c>
      <c r="DP90" s="91">
        <f t="shared" si="174"/>
        <v>10664.460000000001</v>
      </c>
      <c r="DQ90" s="91">
        <f t="shared" si="174"/>
        <v>10747.890000000001</v>
      </c>
      <c r="DR90" s="91">
        <f t="shared" si="174"/>
        <v>10832.94</v>
      </c>
      <c r="DS90" s="91">
        <f t="shared" si="174"/>
        <v>11419.380000000001</v>
      </c>
      <c r="DT90" s="91">
        <f t="shared" si="174"/>
        <v>12647.070000000002</v>
      </c>
      <c r="DU90" s="91">
        <f t="shared" ref="DU90:EA90" si="175">+DT90</f>
        <v>12647.070000000002</v>
      </c>
      <c r="DV90" s="92">
        <f t="shared" ref="DV90:DV91" si="176">SUM(CE90:CH90)</f>
        <v>9292</v>
      </c>
      <c r="DW90" s="92">
        <f>SUM(CI90:CL90)</f>
        <v>9772</v>
      </c>
      <c r="DX90" s="92">
        <f>SUM(CM90:CP90)</f>
        <v>10296</v>
      </c>
      <c r="DY90" s="91">
        <f t="shared" si="175"/>
        <v>10296</v>
      </c>
      <c r="DZ90" s="91">
        <f t="shared" si="175"/>
        <v>10296</v>
      </c>
      <c r="EA90" s="91">
        <f t="shared" si="175"/>
        <v>10296</v>
      </c>
      <c r="EB90" s="90">
        <f>EB87*0.25</f>
        <v>16110.858419697501</v>
      </c>
      <c r="EC90" s="90">
        <f t="shared" ref="EC90:EJ90" si="177">EC87*0.25</f>
        <v>14136.31313753583</v>
      </c>
      <c r="ED90" s="90">
        <f t="shared" si="177"/>
        <v>11915.780800911447</v>
      </c>
      <c r="EE90" s="90">
        <f t="shared" si="177"/>
        <v>9888.1223589866113</v>
      </c>
      <c r="EF90" s="90">
        <f t="shared" si="177"/>
        <v>8988.7481945725067</v>
      </c>
      <c r="EG90" s="90">
        <f t="shared" si="177"/>
        <v>8376.7246938122225</v>
      </c>
      <c r="EH90" s="90">
        <f t="shared" si="177"/>
        <v>7818.8877465827263</v>
      </c>
      <c r="EI90" s="90">
        <f t="shared" si="177"/>
        <v>7412.0588790070824</v>
      </c>
      <c r="EJ90" s="90">
        <f t="shared" si="177"/>
        <v>7198.7496111899582</v>
      </c>
    </row>
    <row r="91" spans="2:140" s="81" customFormat="1" ht="12.75" customHeight="1">
      <c r="B91" s="98" t="s">
        <v>379</v>
      </c>
      <c r="C91" s="91">
        <v>547.4</v>
      </c>
      <c r="D91" s="91">
        <v>602.4</v>
      </c>
      <c r="E91" s="91">
        <v>590.29999999999995</v>
      </c>
      <c r="F91" s="91">
        <v>716.4</v>
      </c>
      <c r="G91" s="91">
        <v>530.29999999999995</v>
      </c>
      <c r="H91" s="91">
        <v>631.20000000000005</v>
      </c>
      <c r="I91" s="91">
        <v>676.9</v>
      </c>
      <c r="J91" s="91">
        <v>838.8</v>
      </c>
      <c r="K91" s="91">
        <v>720.3</v>
      </c>
      <c r="L91" s="91">
        <v>786.4</v>
      </c>
      <c r="M91" s="91">
        <v>776.5</v>
      </c>
      <c r="N91" s="91">
        <v>894.9</v>
      </c>
      <c r="O91" s="91">
        <f>996.3-125</f>
        <v>871.3</v>
      </c>
      <c r="P91" s="91">
        <f>986-120</f>
        <v>866</v>
      </c>
      <c r="Q91" s="91">
        <f>919.3-35</f>
        <v>884.3</v>
      </c>
      <c r="R91" s="91">
        <v>1108.5999999999999</v>
      </c>
      <c r="S91" s="91">
        <v>846.6</v>
      </c>
      <c r="T91" s="91">
        <v>946.8</v>
      </c>
      <c r="U91" s="91">
        <v>942.6</v>
      </c>
      <c r="V91" s="91">
        <f>1112-19</f>
        <v>1093</v>
      </c>
      <c r="W91" s="91">
        <f>942-55</f>
        <v>887</v>
      </c>
      <c r="X91" s="91">
        <f>1173-296.3</f>
        <v>876.7</v>
      </c>
      <c r="Y91" s="91">
        <v>945.4</v>
      </c>
      <c r="Z91" s="91">
        <f>1722.9-466.2</f>
        <v>1256.7</v>
      </c>
      <c r="AA91" s="92">
        <v>1030</v>
      </c>
      <c r="AB91" s="91">
        <v>1030.5</v>
      </c>
      <c r="AC91" s="91">
        <f>1440.5-325.1</f>
        <v>1115.4000000000001</v>
      </c>
      <c r="AD91" s="91"/>
      <c r="AE91" s="91">
        <v>1078.3</v>
      </c>
      <c r="AF91" s="91">
        <v>1169.3</v>
      </c>
      <c r="AG91" s="91">
        <v>1171.0999999999999</v>
      </c>
      <c r="AH91" s="91">
        <v>1386.6</v>
      </c>
      <c r="AI91" s="91">
        <f>1224.2-88</f>
        <v>1136.2</v>
      </c>
      <c r="AJ91" s="91">
        <f>1395.3-108</f>
        <v>1287.3</v>
      </c>
      <c r="AK91" s="91">
        <v>1254</v>
      </c>
      <c r="AL91" s="91">
        <v>1984</v>
      </c>
      <c r="AM91" s="91">
        <v>1993.8</v>
      </c>
      <c r="AN91" s="91">
        <v>2007.2</v>
      </c>
      <c r="AO91" s="91">
        <v>1944.1</v>
      </c>
      <c r="AP91" s="91">
        <v>2177</v>
      </c>
      <c r="AQ91" s="91">
        <v>1811</v>
      </c>
      <c r="AR91" s="91">
        <f>AN91</f>
        <v>2007.2</v>
      </c>
      <c r="AS91" s="91">
        <f>AO91</f>
        <v>1944.1</v>
      </c>
      <c r="AT91" s="91">
        <f>AP91</f>
        <v>2177</v>
      </c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>
        <v>2229</v>
      </c>
      <c r="CD91" s="91">
        <v>2595</v>
      </c>
      <c r="CE91" s="91">
        <v>2387</v>
      </c>
      <c r="CF91" s="91">
        <v>4299</v>
      </c>
      <c r="CG91" s="91">
        <v>2476</v>
      </c>
      <c r="CH91" s="91">
        <v>2681</v>
      </c>
      <c r="CI91" s="91">
        <v>2547</v>
      </c>
      <c r="CJ91" s="91">
        <v>2764</v>
      </c>
      <c r="CK91" s="91">
        <v>3496</v>
      </c>
      <c r="CL91" s="91">
        <v>3035</v>
      </c>
      <c r="CM91" s="91">
        <v>4266</v>
      </c>
      <c r="CN91" s="91">
        <f>13311-10200</f>
        <v>3111</v>
      </c>
      <c r="CO91" s="91">
        <v>3297</v>
      </c>
      <c r="CP91" s="91">
        <f>8838-5500</f>
        <v>3338</v>
      </c>
      <c r="CQ91" s="91">
        <v>3974</v>
      </c>
      <c r="CR91" s="91">
        <v>3480</v>
      </c>
      <c r="CS91" s="91">
        <v>5838</v>
      </c>
      <c r="CT91" s="91">
        <v>4574</v>
      </c>
      <c r="CU91" s="91"/>
      <c r="CV91" s="91"/>
      <c r="CW91" s="91"/>
      <c r="CX91" s="91"/>
      <c r="CY91" s="91"/>
      <c r="CZ91" s="91"/>
      <c r="DA91" s="73"/>
      <c r="DB91" s="91">
        <f>SUM(C91:F91)-0.1</f>
        <v>2456.4</v>
      </c>
      <c r="DC91" s="91">
        <f>SUM(G91:J91)</f>
        <v>2677.2</v>
      </c>
      <c r="DD91" s="91">
        <f>SUM(K91:N91)</f>
        <v>3178.1</v>
      </c>
      <c r="DE91" s="91">
        <f>SUM(O91:R91)</f>
        <v>3730.2</v>
      </c>
      <c r="DF91" s="91">
        <f>SUM(S91:V91)</f>
        <v>3829</v>
      </c>
      <c r="DG91" s="91">
        <f>SUM(W91:Z91)</f>
        <v>3965.8</v>
      </c>
      <c r="DH91" s="91">
        <f>SUM(AA91:AD91)</f>
        <v>3175.9</v>
      </c>
      <c r="DI91" s="91">
        <f>SUM(AE91:AH91)</f>
        <v>4805.2999999999993</v>
      </c>
      <c r="DJ91" s="91">
        <f>SUM(AI91:AL91)</f>
        <v>5661.5</v>
      </c>
      <c r="DK91" s="91">
        <f>SUM(AM91:AP91)</f>
        <v>8122.1</v>
      </c>
      <c r="DL91" s="91">
        <f>SUM(AQ91:AT91)</f>
        <v>7939.2999999999993</v>
      </c>
      <c r="DM91" s="91"/>
      <c r="DN91" s="91"/>
      <c r="DO91" s="91"/>
      <c r="DP91" s="91"/>
      <c r="DQ91" s="91"/>
      <c r="DR91" s="91"/>
      <c r="DS91" s="91"/>
      <c r="DT91" s="91"/>
      <c r="DU91" s="91"/>
      <c r="DV91" s="92">
        <f t="shared" si="176"/>
        <v>11843</v>
      </c>
      <c r="DW91" s="92">
        <f>SUM(CI91:CL91)</f>
        <v>11842</v>
      </c>
      <c r="DX91" s="92">
        <f>SUM(CM91:CP91)</f>
        <v>14012</v>
      </c>
      <c r="DY91" s="91">
        <f>SUM(CQ91:CT91)</f>
        <v>17866</v>
      </c>
      <c r="DZ91" s="91"/>
      <c r="EA91" s="91"/>
      <c r="EC91" s="85"/>
    </row>
    <row r="92" spans="2:140" s="90" customFormat="1" ht="12.75" customHeight="1">
      <c r="B92" s="98" t="s">
        <v>62</v>
      </c>
      <c r="C92" s="91">
        <f t="shared" ref="C92:N92" si="178">SUM(C88:C91)</f>
        <v>2772.73</v>
      </c>
      <c r="D92" s="91">
        <f t="shared" si="178"/>
        <v>2966.73</v>
      </c>
      <c r="E92" s="91">
        <f t="shared" si="178"/>
        <v>2946.24</v>
      </c>
      <c r="F92" s="91">
        <f t="shared" si="178"/>
        <v>3096.2000000000003</v>
      </c>
      <c r="G92" s="91">
        <f t="shared" si="178"/>
        <v>2737.8</v>
      </c>
      <c r="H92" s="91">
        <f t="shared" si="178"/>
        <v>2936.2</v>
      </c>
      <c r="I92" s="91">
        <f t="shared" si="178"/>
        <v>3057.7000000000003</v>
      </c>
      <c r="J92" s="91">
        <f t="shared" si="178"/>
        <v>3502.9000000000005</v>
      </c>
      <c r="K92" s="92">
        <f t="shared" si="178"/>
        <v>3314.3999999999996</v>
      </c>
      <c r="L92" s="92">
        <f t="shared" si="178"/>
        <v>3364.8</v>
      </c>
      <c r="M92" s="92">
        <f t="shared" si="178"/>
        <v>3323.5</v>
      </c>
      <c r="N92" s="92">
        <f t="shared" si="178"/>
        <v>3917.2999999999997</v>
      </c>
      <c r="O92" s="92">
        <f t="shared" ref="O92:AH92" si="179">O91+O90</f>
        <v>2448.6999999999998</v>
      </c>
      <c r="P92" s="92">
        <f t="shared" si="179"/>
        <v>2461.1999999999998</v>
      </c>
      <c r="Q92" s="92">
        <f t="shared" si="179"/>
        <v>2637.2</v>
      </c>
      <c r="R92" s="92">
        <f t="shared" si="179"/>
        <v>2870.4</v>
      </c>
      <c r="S92" s="92">
        <f t="shared" si="179"/>
        <v>2459.9</v>
      </c>
      <c r="T92" s="92">
        <f t="shared" si="179"/>
        <v>2702.1</v>
      </c>
      <c r="U92" s="92">
        <f t="shared" si="179"/>
        <v>2603.8000000000002</v>
      </c>
      <c r="V92" s="92">
        <f t="shared" si="179"/>
        <v>2937</v>
      </c>
      <c r="W92" s="92">
        <f t="shared" si="179"/>
        <v>2602</v>
      </c>
      <c r="X92" s="92">
        <f t="shared" si="179"/>
        <v>2610.6999999999998</v>
      </c>
      <c r="Y92" s="92">
        <f t="shared" si="179"/>
        <v>3316</v>
      </c>
      <c r="Z92" s="92">
        <f t="shared" si="179"/>
        <v>3479.5</v>
      </c>
      <c r="AA92" s="92">
        <f t="shared" si="179"/>
        <v>2832</v>
      </c>
      <c r="AB92" s="92">
        <f t="shared" si="179"/>
        <v>3114.2</v>
      </c>
      <c r="AC92" s="92">
        <f t="shared" si="179"/>
        <v>3066.8</v>
      </c>
      <c r="AD92" s="92"/>
      <c r="AE92" s="92">
        <f>AE91+AE90</f>
        <v>2892.7</v>
      </c>
      <c r="AF92" s="92">
        <f t="shared" si="179"/>
        <v>3099.5</v>
      </c>
      <c r="AG92" s="92">
        <f>AG91+AG90</f>
        <v>2901.3999999999996</v>
      </c>
      <c r="AH92" s="92">
        <f t="shared" si="179"/>
        <v>3248.7</v>
      </c>
      <c r="AI92" s="92">
        <f t="shared" ref="AI92:AN92" si="180">AI91+AI90</f>
        <v>2762.1000000000004</v>
      </c>
      <c r="AJ92" s="92">
        <f t="shared" si="180"/>
        <v>2947.8</v>
      </c>
      <c r="AK92" s="92">
        <f t="shared" si="180"/>
        <v>2979.5</v>
      </c>
      <c r="AL92" s="92">
        <f>AL91+AL90</f>
        <v>5174.2</v>
      </c>
      <c r="AM92" s="92">
        <f t="shared" si="180"/>
        <v>5160.5</v>
      </c>
      <c r="AN92" s="92">
        <f t="shared" si="180"/>
        <v>5135.1000000000004</v>
      </c>
      <c r="AO92" s="92">
        <f>AO91+AO90</f>
        <v>4967.7999999999993</v>
      </c>
      <c r="AP92" s="92">
        <f>AP91+AP90</f>
        <v>5583</v>
      </c>
      <c r="AQ92" s="92">
        <f>AQ91+AQ90</f>
        <v>4894</v>
      </c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>
        <f>+CC90+CC91</f>
        <v>4249</v>
      </c>
      <c r="CD92" s="92">
        <f>+CD90+CD91</f>
        <v>5162</v>
      </c>
      <c r="CE92" s="92">
        <f>+CE90+CE91</f>
        <v>4561</v>
      </c>
      <c r="CF92" s="92">
        <f>+CF90+CF91</f>
        <v>6553</v>
      </c>
      <c r="CG92" s="92">
        <f t="shared" ref="CG92" si="181">+CG90+CG91</f>
        <v>4746</v>
      </c>
      <c r="CH92" s="92">
        <f>+CH90+CH91</f>
        <v>5275</v>
      </c>
      <c r="CI92" s="92">
        <f>+CI90+CI91</f>
        <v>4799</v>
      </c>
      <c r="CJ92" s="92">
        <f>+CJ90+CJ91</f>
        <v>5184</v>
      </c>
      <c r="CK92" s="92">
        <f t="shared" ref="CK92:CQ92" si="182">+CK90+CK91</f>
        <v>5968</v>
      </c>
      <c r="CL92" s="92">
        <f t="shared" si="182"/>
        <v>5663</v>
      </c>
      <c r="CM92" s="92">
        <f>+CM90+CM91</f>
        <v>6724</v>
      </c>
      <c r="CN92" s="92">
        <f t="shared" si="182"/>
        <v>5736</v>
      </c>
      <c r="CO92" s="92">
        <f t="shared" si="182"/>
        <v>5759</v>
      </c>
      <c r="CP92" s="92">
        <f t="shared" si="182"/>
        <v>6089</v>
      </c>
      <c r="CQ92" s="92">
        <f t="shared" si="182"/>
        <v>6431</v>
      </c>
      <c r="CR92" s="92">
        <f t="shared" ref="CR92:CT92" si="183">+CR90+CR91</f>
        <v>6164</v>
      </c>
      <c r="CS92" s="92">
        <f t="shared" si="183"/>
        <v>8495</v>
      </c>
      <c r="CT92" s="92">
        <f t="shared" si="183"/>
        <v>7393</v>
      </c>
      <c r="CU92" s="92"/>
      <c r="CV92" s="92"/>
      <c r="CW92" s="92"/>
      <c r="CX92" s="92"/>
      <c r="CY92" s="92"/>
      <c r="CZ92" s="92"/>
      <c r="DA92" s="93"/>
      <c r="DB92" s="92">
        <f t="shared" ref="DB92:DJ92" si="184">DB91+DB90</f>
        <v>8157</v>
      </c>
      <c r="DC92" s="92">
        <f t="shared" si="184"/>
        <v>8329.3999999999978</v>
      </c>
      <c r="DD92" s="92">
        <f t="shared" si="184"/>
        <v>9573</v>
      </c>
      <c r="DE92" s="92">
        <f t="shared" si="184"/>
        <v>10417.5</v>
      </c>
      <c r="DF92" s="92">
        <f t="shared" si="184"/>
        <v>10702.8</v>
      </c>
      <c r="DG92" s="92">
        <f t="shared" si="184"/>
        <v>12008.2</v>
      </c>
      <c r="DH92" s="92">
        <f t="shared" si="184"/>
        <v>9013</v>
      </c>
      <c r="DI92" s="92">
        <f t="shared" si="184"/>
        <v>12142.3</v>
      </c>
      <c r="DJ92" s="92">
        <f t="shared" si="184"/>
        <v>13863.599999999999</v>
      </c>
      <c r="DK92" s="92">
        <f>DK91+DK90</f>
        <v>20846.400000000001</v>
      </c>
      <c r="DL92" s="92">
        <f>DL91+DL90</f>
        <v>21231.421999999999</v>
      </c>
      <c r="DM92" s="92">
        <f t="shared" ref="DM92:DT92" si="185">DM91+DM90</f>
        <v>12999.250000000002</v>
      </c>
      <c r="DN92" s="92">
        <f t="shared" si="185"/>
        <v>11976.704000000002</v>
      </c>
      <c r="DO92" s="92">
        <f t="shared" si="185"/>
        <v>11403.990000000002</v>
      </c>
      <c r="DP92" s="92">
        <f t="shared" si="185"/>
        <v>10664.460000000001</v>
      </c>
      <c r="DQ92" s="92">
        <f t="shared" si="185"/>
        <v>10747.890000000001</v>
      </c>
      <c r="DR92" s="92">
        <f t="shared" si="185"/>
        <v>10832.94</v>
      </c>
      <c r="DS92" s="92">
        <f t="shared" si="185"/>
        <v>11419.380000000001</v>
      </c>
      <c r="DT92" s="92">
        <f t="shared" si="185"/>
        <v>12647.070000000002</v>
      </c>
      <c r="DU92" s="92">
        <f t="shared" ref="DU92:EA92" si="186">DU91+DU90</f>
        <v>12647.070000000002</v>
      </c>
      <c r="DV92" s="92">
        <f t="shared" si="186"/>
        <v>21135</v>
      </c>
      <c r="DW92" s="92">
        <f>DW91+DW90</f>
        <v>21614</v>
      </c>
      <c r="DX92" s="92">
        <f>DX91+DX90</f>
        <v>24308</v>
      </c>
      <c r="DY92" s="92">
        <f t="shared" si="186"/>
        <v>28162</v>
      </c>
      <c r="DZ92" s="92">
        <f t="shared" si="186"/>
        <v>10296</v>
      </c>
      <c r="EA92" s="92">
        <f t="shared" si="186"/>
        <v>10296</v>
      </c>
      <c r="EB92" s="92">
        <f t="shared" ref="EB92:EJ92" si="187">EB91+EB90</f>
        <v>16110.858419697501</v>
      </c>
      <c r="EC92" s="92">
        <f t="shared" si="187"/>
        <v>14136.31313753583</v>
      </c>
      <c r="ED92" s="92">
        <f t="shared" si="187"/>
        <v>11915.780800911447</v>
      </c>
      <c r="EE92" s="92">
        <f t="shared" si="187"/>
        <v>9888.1223589866113</v>
      </c>
      <c r="EF92" s="92">
        <f t="shared" si="187"/>
        <v>8988.7481945725067</v>
      </c>
      <c r="EG92" s="92">
        <f t="shared" si="187"/>
        <v>8376.7246938122225</v>
      </c>
      <c r="EH92" s="92">
        <f t="shared" si="187"/>
        <v>7818.8877465827263</v>
      </c>
      <c r="EI92" s="92">
        <f t="shared" si="187"/>
        <v>7412.0588790070824</v>
      </c>
      <c r="EJ92" s="92">
        <f t="shared" si="187"/>
        <v>7198.7496111899582</v>
      </c>
    </row>
    <row r="93" spans="2:140" s="90" customFormat="1" ht="12.75" customHeight="1">
      <c r="B93" s="98" t="s">
        <v>63</v>
      </c>
      <c r="C93" s="91">
        <f t="shared" ref="C93:N93" si="188">C87-C92</f>
        <v>2123.0700000000002</v>
      </c>
      <c r="D93" s="91">
        <f t="shared" si="188"/>
        <v>2321.0700000000002</v>
      </c>
      <c r="E93" s="91">
        <f t="shared" si="188"/>
        <v>2497.46</v>
      </c>
      <c r="F93" s="91">
        <f t="shared" si="188"/>
        <v>2475.4</v>
      </c>
      <c r="G93" s="91">
        <f t="shared" si="188"/>
        <v>-2737.8</v>
      </c>
      <c r="H93" s="91">
        <f t="shared" si="188"/>
        <v>-2936.2</v>
      </c>
      <c r="I93" s="91">
        <f t="shared" si="188"/>
        <v>-3057.7000000000003</v>
      </c>
      <c r="J93" s="91">
        <f t="shared" si="188"/>
        <v>-3502.9000000000005</v>
      </c>
      <c r="K93" s="91">
        <f t="shared" si="188"/>
        <v>-3314.3999999999996</v>
      </c>
      <c r="L93" s="91">
        <f t="shared" si="188"/>
        <v>-3364.8</v>
      </c>
      <c r="M93" s="91">
        <f t="shared" si="188"/>
        <v>-3323.5</v>
      </c>
      <c r="N93" s="91">
        <f t="shared" si="188"/>
        <v>-3917.2999999999997</v>
      </c>
      <c r="O93" s="91" t="e">
        <f t="shared" ref="O93:AH93" si="189">O89-O92</f>
        <v>#REF!</v>
      </c>
      <c r="P93" s="91" t="e">
        <f t="shared" si="189"/>
        <v>#REF!</v>
      </c>
      <c r="Q93" s="91">
        <f t="shared" si="189"/>
        <v>-2637.2</v>
      </c>
      <c r="R93" s="91">
        <f t="shared" si="189"/>
        <v>-2870.4</v>
      </c>
      <c r="S93" s="91">
        <f t="shared" si="189"/>
        <v>-2459.9</v>
      </c>
      <c r="T93" s="91">
        <f t="shared" si="189"/>
        <v>-2702.1</v>
      </c>
      <c r="U93" s="91">
        <f t="shared" si="189"/>
        <v>-2603.8000000000002</v>
      </c>
      <c r="V93" s="91">
        <f t="shared" si="189"/>
        <v>-2937</v>
      </c>
      <c r="W93" s="91">
        <f t="shared" si="189"/>
        <v>-2602</v>
      </c>
      <c r="X93" s="91">
        <f t="shared" si="189"/>
        <v>-2610.6999999999998</v>
      </c>
      <c r="Y93" s="91">
        <f t="shared" si="189"/>
        <v>-3316</v>
      </c>
      <c r="Z93" s="91">
        <f t="shared" si="189"/>
        <v>-3479.5</v>
      </c>
      <c r="AA93" s="91">
        <f t="shared" si="189"/>
        <v>-2832</v>
      </c>
      <c r="AB93" s="91">
        <f t="shared" si="189"/>
        <v>-3114.2</v>
      </c>
      <c r="AC93" s="92">
        <f t="shared" si="189"/>
        <v>-3066.8</v>
      </c>
      <c r="AD93" s="92"/>
      <c r="AE93" s="92">
        <f>AE89-AE92</f>
        <v>-2892.7</v>
      </c>
      <c r="AF93" s="92">
        <f t="shared" si="189"/>
        <v>-3099.5</v>
      </c>
      <c r="AG93" s="92">
        <f>AG89-AG92</f>
        <v>-2901.3999999999996</v>
      </c>
      <c r="AH93" s="92">
        <f t="shared" si="189"/>
        <v>-3248.7</v>
      </c>
      <c r="AI93" s="92">
        <f t="shared" ref="AI93:AN93" si="190">AI89-AI92</f>
        <v>-2762.1000000000004</v>
      </c>
      <c r="AJ93" s="92">
        <f t="shared" si="190"/>
        <v>-2947.8</v>
      </c>
      <c r="AK93" s="92">
        <f t="shared" si="190"/>
        <v>-2979.5</v>
      </c>
      <c r="AL93" s="92">
        <f t="shared" si="190"/>
        <v>3377.0000000000009</v>
      </c>
      <c r="AM93" s="92">
        <f t="shared" si="190"/>
        <v>3450.7999999999993</v>
      </c>
      <c r="AN93" s="92">
        <f t="shared" si="190"/>
        <v>-5135.1000000000004</v>
      </c>
      <c r="AO93" s="92">
        <f>AO89-AO92</f>
        <v>-4967.7999999999993</v>
      </c>
      <c r="AP93" s="92">
        <f>AP89-AP92</f>
        <v>-5583</v>
      </c>
      <c r="AQ93" s="92">
        <f>AQ89-AQ92</f>
        <v>-4894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>
        <f>+CC89-CC92</f>
        <v>4108</v>
      </c>
      <c r="CD93" s="92">
        <f>+CD89-CD92</f>
        <v>4613</v>
      </c>
      <c r="CE93" s="92">
        <f>+CE89-CE92</f>
        <v>3579</v>
      </c>
      <c r="CF93" s="92">
        <f>+CF89-CF92</f>
        <v>2165</v>
      </c>
      <c r="CG93" s="92">
        <f t="shared" ref="CG93" si="191">+CG89-CG92</f>
        <v>5352</v>
      </c>
      <c r="CH93" s="92">
        <f>+CH89-CH92</f>
        <v>4835</v>
      </c>
      <c r="CI93" s="92">
        <f>+CI89-CI92</f>
        <v>6448</v>
      </c>
      <c r="CJ93" s="92">
        <f>+CJ89-CJ92</f>
        <v>5711</v>
      </c>
      <c r="CK93" s="92">
        <f t="shared" ref="CK93:CQ93" si="192">+CK89-CK92</f>
        <v>5557</v>
      </c>
      <c r="CL93" s="92">
        <f t="shared" si="192"/>
        <v>4806</v>
      </c>
      <c r="CM93" s="92">
        <f>+CM89-CM92</f>
        <v>4411</v>
      </c>
      <c r="CN93" s="92">
        <f t="shared" si="192"/>
        <v>5774</v>
      </c>
      <c r="CO93" s="92">
        <f t="shared" si="192"/>
        <v>6524</v>
      </c>
      <c r="CP93" s="92">
        <f t="shared" si="192"/>
        <v>5201</v>
      </c>
      <c r="CQ93" s="92">
        <f t="shared" si="192"/>
        <v>6383</v>
      </c>
      <c r="CR93" s="92">
        <f t="shared" ref="CR93:CT93" si="193">+CR89-CR92</f>
        <v>6875</v>
      </c>
      <c r="CS93" s="92">
        <f t="shared" si="193"/>
        <v>4913</v>
      </c>
      <c r="CT93" s="92">
        <f t="shared" si="193"/>
        <v>5225</v>
      </c>
      <c r="CU93" s="92"/>
      <c r="CV93" s="92"/>
      <c r="CW93" s="92"/>
      <c r="CX93" s="92"/>
      <c r="CY93" s="92"/>
      <c r="CZ93" s="92"/>
      <c r="DA93" s="93"/>
      <c r="DB93" s="92">
        <f t="shared" ref="DB93:DJ93" si="194">DB89-DB92</f>
        <v>9417.2000000000007</v>
      </c>
      <c r="DC93" s="92">
        <f t="shared" si="194"/>
        <v>-8329.3999999999978</v>
      </c>
      <c r="DD93" s="92">
        <f t="shared" si="194"/>
        <v>-9573</v>
      </c>
      <c r="DE93" s="92">
        <f t="shared" si="194"/>
        <v>-10417.5</v>
      </c>
      <c r="DF93" s="92">
        <f t="shared" si="194"/>
        <v>-10702.8</v>
      </c>
      <c r="DG93" s="92">
        <f t="shared" si="194"/>
        <v>-12008.2</v>
      </c>
      <c r="DH93" s="92">
        <f t="shared" si="194"/>
        <v>-9013</v>
      </c>
      <c r="DI93" s="92">
        <f t="shared" si="194"/>
        <v>-12142.3</v>
      </c>
      <c r="DJ93" s="92">
        <f t="shared" si="194"/>
        <v>-13863.599999999999</v>
      </c>
      <c r="DK93" s="92">
        <f>DK89-DK92</f>
        <v>-20846.400000000001</v>
      </c>
      <c r="DL93" s="92">
        <f>DL89-DL92</f>
        <v>14710.092000000004</v>
      </c>
      <c r="DM93" s="92">
        <f t="shared" ref="DM93:DT93" si="195">DM89-DM92</f>
        <v>-12999.250000000002</v>
      </c>
      <c r="DN93" s="92">
        <f t="shared" si="195"/>
        <v>-11976.704000000002</v>
      </c>
      <c r="DO93" s="92">
        <f t="shared" si="195"/>
        <v>-11403.990000000002</v>
      </c>
      <c r="DP93" s="92">
        <f t="shared" si="195"/>
        <v>-10664.460000000001</v>
      </c>
      <c r="DQ93" s="92">
        <f t="shared" si="195"/>
        <v>-10747.890000000001</v>
      </c>
      <c r="DR93" s="92">
        <f t="shared" si="195"/>
        <v>-10832.94</v>
      </c>
      <c r="DS93" s="92">
        <f t="shared" si="195"/>
        <v>-11419.380000000001</v>
      </c>
      <c r="DT93" s="92">
        <f t="shared" si="195"/>
        <v>-12647.070000000002</v>
      </c>
      <c r="DU93" s="92">
        <f t="shared" ref="DU93:EA93" si="196">DU89-DU92</f>
        <v>-12647.070000000002</v>
      </c>
      <c r="DV93" s="92">
        <f t="shared" si="196"/>
        <v>15931</v>
      </c>
      <c r="DW93" s="92">
        <f>DW89-DW92</f>
        <v>22522</v>
      </c>
      <c r="DX93" s="92">
        <f>DX89-DX92</f>
        <v>21960</v>
      </c>
      <c r="DY93" s="92">
        <f t="shared" si="196"/>
        <v>22405.496000000006</v>
      </c>
      <c r="DZ93" s="92">
        <f t="shared" si="196"/>
        <v>41196.907919999998</v>
      </c>
      <c r="EA93" s="92">
        <f t="shared" si="196"/>
        <v>40909.150301600006</v>
      </c>
      <c r="EB93" s="92">
        <f t="shared" ref="EB93:EJ93" si="197">EB89-EB92</f>
        <v>35443.888523334506</v>
      </c>
      <c r="EC93" s="92">
        <f t="shared" si="197"/>
        <v>31099.88890257883</v>
      </c>
      <c r="ED93" s="92">
        <f t="shared" si="197"/>
        <v>26214.717762005188</v>
      </c>
      <c r="EE93" s="92">
        <f t="shared" si="197"/>
        <v>21753.869189770543</v>
      </c>
      <c r="EF93" s="92">
        <f t="shared" si="197"/>
        <v>19775.246028059519</v>
      </c>
      <c r="EG93" s="92">
        <f t="shared" si="197"/>
        <v>18428.794326386891</v>
      </c>
      <c r="EH93" s="92">
        <f t="shared" si="197"/>
        <v>17201.553042482003</v>
      </c>
      <c r="EI93" s="92">
        <f t="shared" si="197"/>
        <v>16306.529533815581</v>
      </c>
      <c r="EJ93" s="92">
        <f t="shared" si="197"/>
        <v>15837.24914461791</v>
      </c>
    </row>
    <row r="94" spans="2:140" s="81" customFormat="1" ht="12.75" customHeight="1">
      <c r="B94" s="98" t="s">
        <v>64</v>
      </c>
      <c r="C94" s="91"/>
      <c r="D94" s="91"/>
      <c r="E94" s="91"/>
      <c r="F94" s="91"/>
      <c r="G94" s="91">
        <f>-203.9-H94+2</f>
        <v>-96.4</v>
      </c>
      <c r="H94" s="91">
        <v>-105.5</v>
      </c>
      <c r="I94" s="91">
        <v>-106.5</v>
      </c>
      <c r="J94" s="91">
        <v>-107.3</v>
      </c>
      <c r="K94" s="92">
        <v>-87.5</v>
      </c>
      <c r="L94" s="92">
        <v>-82.1</v>
      </c>
      <c r="M94" s="92">
        <v>-66.900000000000006</v>
      </c>
      <c r="N94" s="92">
        <v>-72.2</v>
      </c>
      <c r="O94" s="92">
        <v>65.7</v>
      </c>
      <c r="P94" s="92">
        <v>68.5</v>
      </c>
      <c r="Q94" s="92">
        <v>75.7</v>
      </c>
      <c r="R94" s="92">
        <v>90.2</v>
      </c>
      <c r="S94" s="92">
        <v>93.8</v>
      </c>
      <c r="T94" s="92">
        <v>98.7</v>
      </c>
      <c r="U94" s="92">
        <v>122.3</v>
      </c>
      <c r="V94" s="92">
        <v>166</v>
      </c>
      <c r="W94" s="92">
        <v>181.7</v>
      </c>
      <c r="X94" s="92">
        <v>187.9</v>
      </c>
      <c r="Y94" s="92">
        <v>195</v>
      </c>
      <c r="Z94" s="92">
        <v>199.7</v>
      </c>
      <c r="AA94" s="92">
        <v>181.7</v>
      </c>
      <c r="AB94" s="91">
        <v>172.3</v>
      </c>
      <c r="AC94" s="92">
        <v>186.9</v>
      </c>
      <c r="AD94" s="92"/>
      <c r="AE94" s="92"/>
      <c r="AF94" s="92">
        <v>81.900000000000006</v>
      </c>
      <c r="AG94" s="92">
        <v>61.8</v>
      </c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73"/>
      <c r="DB94" s="92"/>
      <c r="DC94" s="92">
        <f t="shared" ref="DC94:DC99" si="198">SUM(G94:J94)</f>
        <v>-415.7</v>
      </c>
      <c r="DD94" s="92">
        <f t="shared" ref="DD94:DD99" si="199">SUM(K94:N94)</f>
        <v>-308.7</v>
      </c>
      <c r="DE94" s="92">
        <f t="shared" ref="DE94:DE99" si="200">SUM(O94:R94)</f>
        <v>300.09999999999997</v>
      </c>
      <c r="DF94" s="92">
        <f t="shared" ref="DF94:DF99" si="201">SUM(S94:V94)</f>
        <v>480.8</v>
      </c>
      <c r="DG94" s="91">
        <f t="shared" ref="DG94:DG99" si="202">SUM(W94:Z94)</f>
        <v>764.3</v>
      </c>
      <c r="DH94" s="91">
        <f t="shared" ref="DH94:DH99" si="203">SUM(AA94:AD94)</f>
        <v>540.9</v>
      </c>
      <c r="DI94" s="91">
        <f>SUM(AE94:AH94)</f>
        <v>143.69999999999999</v>
      </c>
      <c r="DJ94" s="92"/>
      <c r="DK94" s="92"/>
      <c r="DL94" s="92"/>
      <c r="DM94" s="92"/>
      <c r="DN94" s="92"/>
      <c r="DO94" s="92"/>
      <c r="DP94" s="92"/>
      <c r="DQ94" s="92"/>
      <c r="DR94" s="92"/>
      <c r="DS94" s="92"/>
      <c r="DT94" s="92"/>
      <c r="DU94" s="92"/>
      <c r="DV94" s="92"/>
      <c r="DW94" s="92"/>
      <c r="DX94" s="92"/>
      <c r="DY94" s="92"/>
      <c r="DZ94" s="92"/>
      <c r="EA94" s="92"/>
      <c r="EC94" s="85"/>
    </row>
    <row r="95" spans="2:140" s="81" customFormat="1" ht="12.75" customHeight="1">
      <c r="B95" s="98" t="s">
        <v>65</v>
      </c>
      <c r="C95" s="91"/>
      <c r="D95" s="91"/>
      <c r="E95" s="91"/>
      <c r="F95" s="91"/>
      <c r="G95" s="91">
        <f>192.8-H95</f>
        <v>95.300000000000011</v>
      </c>
      <c r="H95" s="91">
        <v>97.5</v>
      </c>
      <c r="I95" s="91">
        <v>99.9</v>
      </c>
      <c r="J95" s="91">
        <v>98.1</v>
      </c>
      <c r="K95" s="92">
        <v>94.9</v>
      </c>
      <c r="L95" s="92">
        <v>94.9</v>
      </c>
      <c r="M95" s="92">
        <v>81.099999999999994</v>
      </c>
      <c r="N95" s="92">
        <v>80</v>
      </c>
      <c r="O95" s="92">
        <v>72.8</v>
      </c>
      <c r="P95" s="92">
        <v>71.599999999999994</v>
      </c>
      <c r="Q95" s="92">
        <v>72.400000000000006</v>
      </c>
      <c r="R95" s="92">
        <v>77</v>
      </c>
      <c r="S95" s="92">
        <v>84.5</v>
      </c>
      <c r="T95" s="92">
        <v>93.1</v>
      </c>
      <c r="U95" s="92">
        <v>99.6</v>
      </c>
      <c r="V95" s="92">
        <v>108.2</v>
      </c>
      <c r="W95" s="92">
        <v>98.2</v>
      </c>
      <c r="X95" s="92">
        <v>91.9</v>
      </c>
      <c r="Y95" s="92">
        <v>87.7</v>
      </c>
      <c r="Z95" s="92">
        <v>97.2</v>
      </c>
      <c r="AA95" s="92">
        <v>102.4</v>
      </c>
      <c r="AB95" s="91">
        <v>103.3</v>
      </c>
      <c r="AC95" s="91">
        <v>91.5</v>
      </c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>
        <v>-35</v>
      </c>
      <c r="CD95" s="92">
        <v>-100</v>
      </c>
      <c r="CE95" s="92">
        <v>-134</v>
      </c>
      <c r="CF95" s="92">
        <v>-38</v>
      </c>
      <c r="CG95" s="92">
        <v>-244</v>
      </c>
      <c r="CH95" s="92">
        <v>-51</v>
      </c>
      <c r="CI95" s="92">
        <v>-139</v>
      </c>
      <c r="CJ95" s="92">
        <v>-202</v>
      </c>
      <c r="CK95" s="92">
        <v>-105</v>
      </c>
      <c r="CL95" s="92">
        <v>86</v>
      </c>
      <c r="CM95" s="92">
        <v>70</v>
      </c>
      <c r="CN95" s="92">
        <v>-19</v>
      </c>
      <c r="CO95" s="92">
        <v>-133</v>
      </c>
      <c r="CP95" s="92">
        <v>-174</v>
      </c>
      <c r="CQ95" s="92">
        <v>-87</v>
      </c>
      <c r="CR95" s="92">
        <v>-108</v>
      </c>
      <c r="CS95" s="92">
        <v>193</v>
      </c>
      <c r="CT95" s="92">
        <v>-5</v>
      </c>
      <c r="CU95" s="92"/>
      <c r="CV95" s="92"/>
      <c r="CW95" s="92"/>
      <c r="CX95" s="92"/>
      <c r="CY95" s="92"/>
      <c r="CZ95" s="92"/>
      <c r="DA95" s="73"/>
      <c r="DB95" s="92"/>
      <c r="DC95" s="92">
        <f t="shared" si="198"/>
        <v>390.80000000000007</v>
      </c>
      <c r="DD95" s="92">
        <f t="shared" si="199"/>
        <v>350.9</v>
      </c>
      <c r="DE95" s="92">
        <f t="shared" si="200"/>
        <v>293.79999999999995</v>
      </c>
      <c r="DF95" s="92">
        <f t="shared" si="201"/>
        <v>385.4</v>
      </c>
      <c r="DG95" s="91">
        <f t="shared" si="202"/>
        <v>375</v>
      </c>
      <c r="DH95" s="91">
        <f t="shared" si="203"/>
        <v>297.2</v>
      </c>
      <c r="DI95" s="92"/>
      <c r="DJ95" s="96"/>
      <c r="DK95" s="96"/>
      <c r="DL95" s="96"/>
      <c r="DM95" s="96"/>
      <c r="DN95" s="96"/>
      <c r="DO95" s="96"/>
      <c r="DP95" s="82"/>
      <c r="DQ95" s="82"/>
      <c r="DR95" s="82"/>
      <c r="DS95" s="82"/>
      <c r="DT95" s="82"/>
      <c r="DU95" s="82"/>
      <c r="DV95" s="92">
        <f t="shared" ref="DV95" si="204">SUM(CE95:CH95)</f>
        <v>-467</v>
      </c>
      <c r="DW95" s="92">
        <f>SUM(CI95:CL95)</f>
        <v>-360</v>
      </c>
      <c r="DX95" s="92">
        <f t="shared" ref="DX95" si="205">SUM(CM95:CP95)</f>
        <v>-256</v>
      </c>
      <c r="DY95" s="85">
        <f t="shared" ref="DY95:EJ95" si="206">-DX122*$EM$107</f>
        <v>277.10000000000002</v>
      </c>
      <c r="DZ95" s="85">
        <f t="shared" si="206"/>
        <v>111.13702999999994</v>
      </c>
      <c r="EA95" s="85">
        <f t="shared" si="206"/>
        <v>-197.00625167500007</v>
      </c>
      <c r="EB95" s="85">
        <f t="shared" si="206"/>
        <v>-505.30242582456253</v>
      </c>
      <c r="EC95" s="85">
        <f t="shared" si="206"/>
        <v>-774.92135794325554</v>
      </c>
      <c r="ED95" s="85">
        <f t="shared" si="206"/>
        <v>-1013.9824348971712</v>
      </c>
      <c r="EE95" s="85">
        <f t="shared" si="206"/>
        <v>-1218.197686373939</v>
      </c>
      <c r="EF95" s="85">
        <f t="shared" si="206"/>
        <v>-1390.4881879450227</v>
      </c>
      <c r="EG95" s="85">
        <f t="shared" si="206"/>
        <v>-1549.2311945650567</v>
      </c>
      <c r="EH95" s="85">
        <f t="shared" si="206"/>
        <v>-1699.0663859721963</v>
      </c>
      <c r="EI95" s="85">
        <f t="shared" si="206"/>
        <v>-1840.8210316856027</v>
      </c>
      <c r="EJ95" s="85">
        <f t="shared" si="206"/>
        <v>-1976.9261609268617</v>
      </c>
    </row>
    <row r="96" spans="2:140" s="81" customFormat="1" ht="3.75" customHeight="1">
      <c r="B96" s="98" t="s">
        <v>66</v>
      </c>
      <c r="C96" s="91"/>
      <c r="D96" s="91"/>
      <c r="E96" s="91"/>
      <c r="F96" s="91"/>
      <c r="G96" s="91">
        <f>2.6-H96</f>
        <v>-2.6999999999999997</v>
      </c>
      <c r="H96" s="91">
        <v>5.3</v>
      </c>
      <c r="I96" s="91">
        <v>8.3000000000000007</v>
      </c>
      <c r="J96" s="91">
        <v>-18.7</v>
      </c>
      <c r="K96" s="92">
        <v>-7.2</v>
      </c>
      <c r="L96" s="92">
        <v>-16.2</v>
      </c>
      <c r="M96" s="92">
        <v>-1.7</v>
      </c>
      <c r="N96" s="92">
        <v>-3.3</v>
      </c>
      <c r="O96" s="92">
        <v>-7.8</v>
      </c>
      <c r="P96" s="92">
        <v>-14.9</v>
      </c>
      <c r="Q96" s="92">
        <v>-2.8</v>
      </c>
      <c r="R96" s="92">
        <v>28.3</v>
      </c>
      <c r="S96" s="92">
        <v>0.7</v>
      </c>
      <c r="T96" s="92">
        <v>8.4</v>
      </c>
      <c r="U96" s="92">
        <v>7.4</v>
      </c>
      <c r="V96" s="92">
        <v>-0.4</v>
      </c>
      <c r="W96" s="92">
        <v>0.4</v>
      </c>
      <c r="X96" s="92">
        <v>-7.4</v>
      </c>
      <c r="Y96" s="92">
        <v>11.5</v>
      </c>
      <c r="Z96" s="92">
        <v>20.5</v>
      </c>
      <c r="AA96" s="92">
        <v>19.600000000000001</v>
      </c>
      <c r="AB96" s="91">
        <v>12</v>
      </c>
      <c r="AC96" s="91">
        <v>8.3000000000000007</v>
      </c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73"/>
      <c r="DB96" s="92"/>
      <c r="DC96" s="92">
        <f t="shared" si="198"/>
        <v>-7.7999999999999989</v>
      </c>
      <c r="DD96" s="92">
        <f t="shared" si="199"/>
        <v>-28.4</v>
      </c>
      <c r="DE96" s="92">
        <f t="shared" si="200"/>
        <v>2.8000000000000007</v>
      </c>
      <c r="DF96" s="92">
        <f t="shared" si="201"/>
        <v>16.100000000000001</v>
      </c>
      <c r="DG96" s="91">
        <f t="shared" si="202"/>
        <v>25</v>
      </c>
      <c r="DH96" s="91">
        <f t="shared" si="203"/>
        <v>39.900000000000006</v>
      </c>
      <c r="DI96" s="92"/>
      <c r="DJ96" s="96"/>
      <c r="DK96" s="96"/>
      <c r="DL96" s="96"/>
      <c r="DM96" s="96"/>
      <c r="DN96" s="96"/>
      <c r="DO96" s="96"/>
      <c r="DP96" s="82"/>
      <c r="DQ96" s="82"/>
      <c r="DR96" s="82"/>
      <c r="DS96" s="82"/>
      <c r="DT96" s="82"/>
      <c r="DU96" s="82"/>
      <c r="DV96" s="82"/>
      <c r="DW96" s="92"/>
      <c r="DX96" s="92"/>
      <c r="DY96" s="82"/>
      <c r="DZ96" s="82"/>
      <c r="EA96" s="82"/>
      <c r="EC96" s="85"/>
    </row>
    <row r="97" spans="2:250" s="81" customFormat="1" ht="3.75" customHeight="1">
      <c r="B97" s="98" t="s">
        <v>67</v>
      </c>
      <c r="C97" s="91"/>
      <c r="D97" s="91"/>
      <c r="E97" s="91"/>
      <c r="F97" s="91"/>
      <c r="G97" s="91">
        <f>110.6-H97</f>
        <v>50.699999999999996</v>
      </c>
      <c r="H97" s="91">
        <v>59.9</v>
      </c>
      <c r="I97" s="91">
        <v>59.1</v>
      </c>
      <c r="J97" s="91">
        <v>44.5</v>
      </c>
      <c r="K97" s="92">
        <v>51.7</v>
      </c>
      <c r="L97" s="92">
        <v>40.700000000000003</v>
      </c>
      <c r="M97" s="92">
        <v>39.1</v>
      </c>
      <c r="N97" s="92">
        <v>37.200000000000003</v>
      </c>
      <c r="O97" s="92">
        <v>-39.6</v>
      </c>
      <c r="P97" s="92">
        <v>-36.799999999999997</v>
      </c>
      <c r="Q97" s="92">
        <v>-37.6</v>
      </c>
      <c r="R97" s="92">
        <v>-40.299999999999997</v>
      </c>
      <c r="S97" s="92">
        <v>-30.4</v>
      </c>
      <c r="T97" s="92">
        <v>-30.3</v>
      </c>
      <c r="U97" s="92">
        <v>-30.9</v>
      </c>
      <c r="V97" s="92">
        <v>-30.2</v>
      </c>
      <c r="W97" s="92">
        <v>-29.9</v>
      </c>
      <c r="X97" s="92">
        <v>-30</v>
      </c>
      <c r="Y97" s="92">
        <v>-30.7</v>
      </c>
      <c r="Z97" s="92">
        <v>-29.9</v>
      </c>
      <c r="AA97" s="92">
        <v>-30.6</v>
      </c>
      <c r="AB97" s="91">
        <v>-30.8</v>
      </c>
      <c r="AC97" s="91">
        <v>-30.6</v>
      </c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73"/>
      <c r="DB97" s="92"/>
      <c r="DC97" s="92">
        <f t="shared" si="198"/>
        <v>214.2</v>
      </c>
      <c r="DD97" s="92">
        <f t="shared" si="199"/>
        <v>168.7</v>
      </c>
      <c r="DE97" s="92">
        <f t="shared" si="200"/>
        <v>-154.30000000000001</v>
      </c>
      <c r="DF97" s="92">
        <f t="shared" si="201"/>
        <v>-121.8</v>
      </c>
      <c r="DG97" s="91">
        <f t="shared" si="202"/>
        <v>-120.5</v>
      </c>
      <c r="DH97" s="91">
        <f t="shared" si="203"/>
        <v>-92</v>
      </c>
      <c r="DI97" s="92"/>
      <c r="DJ97" s="96"/>
      <c r="DK97" s="96"/>
      <c r="DL97" s="96"/>
      <c r="DM97" s="96"/>
      <c r="DN97" s="96"/>
      <c r="DO97" s="96"/>
      <c r="DP97" s="82"/>
      <c r="DQ97" s="82"/>
      <c r="DR97" s="82"/>
      <c r="DS97" s="82"/>
      <c r="DT97" s="82"/>
      <c r="DU97" s="82"/>
      <c r="DV97" s="82"/>
      <c r="DW97" s="92"/>
      <c r="DX97" s="92"/>
      <c r="DY97" s="82"/>
      <c r="DZ97" s="82"/>
      <c r="EA97" s="82"/>
      <c r="EC97" s="85"/>
    </row>
    <row r="98" spans="2:250" s="81" customFormat="1" ht="3.75" customHeight="1">
      <c r="B98" s="98" t="s">
        <v>68</v>
      </c>
      <c r="C98" s="91">
        <v>-185.9</v>
      </c>
      <c r="D98" s="91">
        <v>-185.9</v>
      </c>
      <c r="E98" s="91">
        <v>-185.9</v>
      </c>
      <c r="F98" s="91">
        <v>-128.19999999999999</v>
      </c>
      <c r="G98" s="91">
        <v>-171.8</v>
      </c>
      <c r="H98" s="91">
        <v>-190.2</v>
      </c>
      <c r="I98" s="91">
        <v>-188.7</v>
      </c>
      <c r="J98" s="91">
        <v>-94</v>
      </c>
      <c r="K98" s="92">
        <v>-97.3</v>
      </c>
      <c r="L98" s="92">
        <v>-187.4</v>
      </c>
      <c r="M98" s="92">
        <v>-183.4</v>
      </c>
      <c r="N98" s="92">
        <v>-6</v>
      </c>
      <c r="O98" s="92">
        <v>194.7</v>
      </c>
      <c r="P98" s="92">
        <v>220.5</v>
      </c>
      <c r="Q98" s="92">
        <v>307.10000000000002</v>
      </c>
      <c r="R98" s="92">
        <v>285.89999999999998</v>
      </c>
      <c r="S98" s="92">
        <v>316.3</v>
      </c>
      <c r="T98" s="92">
        <v>334.1</v>
      </c>
      <c r="U98" s="92">
        <v>480.1</v>
      </c>
      <c r="V98" s="92">
        <v>586.6</v>
      </c>
      <c r="W98" s="92">
        <v>503.4</v>
      </c>
      <c r="X98" s="92">
        <v>611.29999999999995</v>
      </c>
      <c r="Y98" s="92">
        <v>595</v>
      </c>
      <c r="Z98" s="92">
        <v>584.20000000000005</v>
      </c>
      <c r="AA98" s="92">
        <v>652.6</v>
      </c>
      <c r="AB98" s="91">
        <v>759.1</v>
      </c>
      <c r="AC98" s="91">
        <v>768.5</v>
      </c>
      <c r="AD98" s="92"/>
      <c r="AE98" s="92">
        <v>652.1</v>
      </c>
      <c r="AF98" s="92">
        <v>523</v>
      </c>
      <c r="AG98" s="92">
        <v>665.6</v>
      </c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73"/>
      <c r="DB98" s="92">
        <f>SUM(C98:F98)</f>
        <v>-685.90000000000009</v>
      </c>
      <c r="DC98" s="92">
        <f t="shared" si="198"/>
        <v>-644.70000000000005</v>
      </c>
      <c r="DD98" s="92">
        <f t="shared" si="199"/>
        <v>-474.1</v>
      </c>
      <c r="DE98" s="92">
        <f t="shared" si="200"/>
        <v>1008.1999999999999</v>
      </c>
      <c r="DF98" s="92">
        <f t="shared" si="201"/>
        <v>1717.1</v>
      </c>
      <c r="DG98" s="91">
        <f t="shared" si="202"/>
        <v>2293.8999999999996</v>
      </c>
      <c r="DH98" s="91">
        <f>SUM(AA98:AD98)</f>
        <v>2180.1999999999998</v>
      </c>
      <c r="DI98" s="91">
        <f>SUM(AE98:AH98)</f>
        <v>1840.6999999999998</v>
      </c>
      <c r="DJ98" s="92">
        <f>SUM(AI98:AL98)</f>
        <v>0</v>
      </c>
      <c r="DK98" s="92"/>
      <c r="DL98" s="92"/>
      <c r="DM98" s="92"/>
      <c r="DN98" s="92"/>
      <c r="DO98" s="92"/>
      <c r="DP98" s="92"/>
      <c r="DQ98" s="92"/>
      <c r="DR98" s="92"/>
      <c r="DS98" s="92"/>
      <c r="DT98" s="92"/>
      <c r="DU98" s="92"/>
      <c r="DV98" s="92"/>
      <c r="DW98" s="92"/>
      <c r="DX98" s="92"/>
      <c r="DY98" s="92"/>
      <c r="DZ98" s="92"/>
      <c r="EA98" s="92"/>
      <c r="EC98" s="85"/>
    </row>
    <row r="99" spans="2:250" s="81" customFormat="1" ht="3.75" customHeight="1">
      <c r="B99" s="98" t="s">
        <v>70</v>
      </c>
      <c r="C99" s="91">
        <v>29.47</v>
      </c>
      <c r="D99" s="91">
        <v>29.47</v>
      </c>
      <c r="E99" s="91">
        <v>29.47</v>
      </c>
      <c r="F99" s="91">
        <v>66.599999999999994</v>
      </c>
      <c r="G99" s="91">
        <f>23.4-SUM(G94:G97)</f>
        <v>-23.5</v>
      </c>
      <c r="H99" s="91">
        <f>61.8-SUM(H94:H97)</f>
        <v>4.6000000000000014</v>
      </c>
      <c r="I99" s="91">
        <f>46.8-SUM(I94:I97)</f>
        <v>-14.000000000000014</v>
      </c>
      <c r="J99" s="91">
        <f>70.3-SUM(J94:J97)</f>
        <v>53.7</v>
      </c>
      <c r="K99" s="92">
        <f>47.8+90.4-SUM(K94:K97)</f>
        <v>86.299999999999983</v>
      </c>
      <c r="L99" s="92">
        <f>-121.8-SUM(L94:L97)</f>
        <v>-159.10000000000002</v>
      </c>
      <c r="M99" s="92">
        <v>-38.9</v>
      </c>
      <c r="N99" s="92">
        <f>-56.5-SUM(N94:N97)+11.4</f>
        <v>-86.8</v>
      </c>
      <c r="O99" s="92">
        <v>0</v>
      </c>
      <c r="P99" s="92">
        <v>22.1</v>
      </c>
      <c r="Q99" s="92">
        <v>45.9</v>
      </c>
      <c r="R99" s="92">
        <v>107.1</v>
      </c>
      <c r="S99" s="92">
        <v>-6.1</v>
      </c>
      <c r="T99" s="92">
        <v>2.2999999999999998</v>
      </c>
      <c r="U99" s="92">
        <v>25.5</v>
      </c>
      <c r="V99" s="92">
        <v>99.1</v>
      </c>
      <c r="W99" s="92">
        <v>46.6</v>
      </c>
      <c r="X99" s="92">
        <v>11.5</v>
      </c>
      <c r="Y99" s="92">
        <v>46.6</v>
      </c>
      <c r="Z99" s="92">
        <v>-16</v>
      </c>
      <c r="AA99" s="92">
        <v>187.7</v>
      </c>
      <c r="AB99" s="91">
        <v>33.799999999999997</v>
      </c>
      <c r="AC99" s="91">
        <v>107.8</v>
      </c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73"/>
      <c r="DB99" s="92">
        <f>SUM(C99:F99)</f>
        <v>155.01</v>
      </c>
      <c r="DC99" s="92">
        <f t="shared" si="198"/>
        <v>20.79999999999999</v>
      </c>
      <c r="DD99" s="92">
        <f t="shared" si="199"/>
        <v>-198.50000000000006</v>
      </c>
      <c r="DE99" s="92">
        <f t="shared" si="200"/>
        <v>175.1</v>
      </c>
      <c r="DF99" s="92">
        <f t="shared" si="201"/>
        <v>120.8</v>
      </c>
      <c r="DG99" s="91">
        <f t="shared" si="202"/>
        <v>88.7</v>
      </c>
      <c r="DH99" s="91">
        <f t="shared" si="203"/>
        <v>329.3</v>
      </c>
      <c r="DI99" s="96"/>
      <c r="DJ99" s="96"/>
      <c r="DK99" s="96"/>
      <c r="DL99" s="96"/>
      <c r="DM99" s="96"/>
      <c r="DN99" s="96"/>
      <c r="DO99" s="96"/>
      <c r="DP99" s="82"/>
      <c r="DQ99" s="82"/>
      <c r="DR99" s="82"/>
      <c r="DS99" s="82"/>
      <c r="DT99" s="82"/>
      <c r="DU99" s="82"/>
      <c r="DV99" s="82"/>
      <c r="DW99" s="92"/>
      <c r="DX99" s="92"/>
      <c r="DY99" s="82"/>
      <c r="DZ99" s="82"/>
      <c r="EA99" s="82"/>
      <c r="EC99" s="85"/>
    </row>
    <row r="100" spans="2:250" s="81" customFormat="1" ht="3.75" customHeight="1">
      <c r="B100" s="98" t="s">
        <v>71</v>
      </c>
      <c r="C100" s="91">
        <f>SUM(C98:C99)</f>
        <v>-156.43</v>
      </c>
      <c r="D100" s="91">
        <f>SUM(D98:D99)</f>
        <v>-156.43</v>
      </c>
      <c r="E100" s="91">
        <f>SUM(E98:E99)</f>
        <v>-156.43</v>
      </c>
      <c r="F100" s="91">
        <f>SUM(F98:F99)</f>
        <v>-61.599999999999994</v>
      </c>
      <c r="G100" s="91">
        <f t="shared" ref="G100:N100" si="207">SUM(G94:G99)</f>
        <v>-148.4</v>
      </c>
      <c r="H100" s="91">
        <f t="shared" si="207"/>
        <v>-128.4</v>
      </c>
      <c r="I100" s="91">
        <f t="shared" si="207"/>
        <v>-141.89999999999998</v>
      </c>
      <c r="J100" s="91">
        <f t="shared" si="207"/>
        <v>-23.700000000000003</v>
      </c>
      <c r="K100" s="91">
        <f t="shared" si="207"/>
        <v>40.899999999999991</v>
      </c>
      <c r="L100" s="91">
        <f t="shared" si="207"/>
        <v>-309.20000000000005</v>
      </c>
      <c r="M100" s="91">
        <f t="shared" si="207"/>
        <v>-170.70000000000002</v>
      </c>
      <c r="N100" s="91">
        <f t="shared" si="207"/>
        <v>-51.099999999999994</v>
      </c>
      <c r="O100" s="91">
        <f t="shared" ref="O100:Y100" si="208">O94-O95+O96+O97+O98+O99</f>
        <v>140.19999999999999</v>
      </c>
      <c r="P100" s="91">
        <f t="shared" si="208"/>
        <v>187.8</v>
      </c>
      <c r="Q100" s="91">
        <f t="shared" si="208"/>
        <v>315.89999999999998</v>
      </c>
      <c r="R100" s="91">
        <f t="shared" si="208"/>
        <v>394.19999999999993</v>
      </c>
      <c r="S100" s="91">
        <f t="shared" si="208"/>
        <v>289.8</v>
      </c>
      <c r="T100" s="91">
        <f t="shared" si="208"/>
        <v>320.10000000000002</v>
      </c>
      <c r="U100" s="91">
        <f t="shared" si="208"/>
        <v>504.8</v>
      </c>
      <c r="V100" s="91">
        <f t="shared" si="208"/>
        <v>712.90000000000009</v>
      </c>
      <c r="W100" s="91">
        <f t="shared" si="208"/>
        <v>604</v>
      </c>
      <c r="X100" s="91">
        <f t="shared" si="208"/>
        <v>681.4</v>
      </c>
      <c r="Y100" s="91">
        <f t="shared" si="208"/>
        <v>729.7</v>
      </c>
      <c r="Z100" s="91">
        <f>Z94-Z95+Z96+Z97+Z98+Z99</f>
        <v>661.30000000000007</v>
      </c>
      <c r="AA100" s="91">
        <f>AA94-AA95+AA96+AA97+AA98+AA99</f>
        <v>908.59999999999991</v>
      </c>
      <c r="AB100" s="91">
        <f>AB94-AB95+AB96+AB97+AB98+AB99</f>
        <v>843.1</v>
      </c>
      <c r="AC100" s="91">
        <f>AC94-AC95+AC96+AC97+AC98+AC99</f>
        <v>949.4</v>
      </c>
      <c r="AD100" s="91"/>
      <c r="AE100" s="91">
        <f>AE94-AE95+AE96+AE97+AE98+AE99</f>
        <v>652.1</v>
      </c>
      <c r="AF100" s="91">
        <f>AF94-AF95+AF96+AF97+AF98+AF99</f>
        <v>604.9</v>
      </c>
      <c r="AG100" s="91">
        <f>AG94-AG95+AG96+AG97+AG98+AG99</f>
        <v>727.4</v>
      </c>
      <c r="AH100" s="91">
        <f>720+26.8</f>
        <v>746.8</v>
      </c>
      <c r="AI100" s="91">
        <v>665</v>
      </c>
      <c r="AJ100" s="91">
        <v>633.5</v>
      </c>
      <c r="AK100" s="91">
        <v>688.2</v>
      </c>
      <c r="AL100" s="91">
        <f>373.8-92</f>
        <v>281.8</v>
      </c>
      <c r="AM100" s="91">
        <v>-22.9</v>
      </c>
      <c r="AN100" s="91">
        <f>42.9-152.8</f>
        <v>-109.9</v>
      </c>
      <c r="AO100" s="91">
        <f>236.4-158.3</f>
        <v>78.099999999999994</v>
      </c>
      <c r="AP100" s="91">
        <f>171-309</f>
        <v>-138</v>
      </c>
      <c r="AQ100" s="91">
        <f>138-256</f>
        <v>-118</v>
      </c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/>
      <c r="CD100" s="91"/>
      <c r="CE100" s="91"/>
      <c r="CF100" s="91"/>
      <c r="CG100" s="91"/>
      <c r="CH100" s="91"/>
      <c r="CI100" s="91"/>
      <c r="CJ100" s="91"/>
      <c r="CK100" s="91"/>
      <c r="CL100" s="91"/>
      <c r="CM100" s="91"/>
      <c r="CN100" s="91"/>
      <c r="CO100" s="91"/>
      <c r="CP100" s="91"/>
      <c r="CQ100" s="91"/>
      <c r="CR100" s="91"/>
      <c r="CS100" s="91"/>
      <c r="CT100" s="91"/>
      <c r="CU100" s="91"/>
      <c r="CV100" s="91"/>
      <c r="CW100" s="91"/>
      <c r="CX100" s="91"/>
      <c r="CY100" s="91"/>
      <c r="CZ100" s="91"/>
      <c r="DA100" s="73"/>
      <c r="DB100" s="91">
        <f t="shared" ref="DB100:DJ100" si="209">DB94-DB95+DB96+DB97+DB98+DB99</f>
        <v>-530.8900000000001</v>
      </c>
      <c r="DC100" s="91">
        <f t="shared" si="209"/>
        <v>-1224</v>
      </c>
      <c r="DD100" s="91">
        <f t="shared" si="209"/>
        <v>-1191.9000000000001</v>
      </c>
      <c r="DE100" s="91">
        <f t="shared" si="209"/>
        <v>1038.0999999999999</v>
      </c>
      <c r="DF100" s="91">
        <f t="shared" si="209"/>
        <v>1827.6</v>
      </c>
      <c r="DG100" s="91">
        <f t="shared" si="209"/>
        <v>2676.3999999999996</v>
      </c>
      <c r="DH100" s="91">
        <f t="shared" si="209"/>
        <v>2701.1</v>
      </c>
      <c r="DI100" s="91">
        <f t="shared" si="209"/>
        <v>1984.3999999999999</v>
      </c>
      <c r="DJ100" s="91">
        <f t="shared" si="209"/>
        <v>0</v>
      </c>
      <c r="DK100" s="91">
        <f>SUM(AM100:AP100)</f>
        <v>-192.70000000000002</v>
      </c>
      <c r="DL100" s="91">
        <f>DL94-DL95+DL96+DL97+DL98+DL99</f>
        <v>0</v>
      </c>
      <c r="DM100" s="91">
        <f>DM94-DM95+DM96+DM97+DM98+DM99</f>
        <v>0</v>
      </c>
      <c r="DN100" s="91">
        <f t="shared" ref="DN100:DT100" si="210">DN94-DN95+DN96+DN97+DN98+DN99</f>
        <v>0</v>
      </c>
      <c r="DO100" s="91">
        <f t="shared" si="210"/>
        <v>0</v>
      </c>
      <c r="DP100" s="91">
        <f t="shared" si="210"/>
        <v>0</v>
      </c>
      <c r="DQ100" s="91">
        <f t="shared" si="210"/>
        <v>0</v>
      </c>
      <c r="DR100" s="91">
        <f t="shared" si="210"/>
        <v>0</v>
      </c>
      <c r="DS100" s="91">
        <f t="shared" si="210"/>
        <v>0</v>
      </c>
      <c r="DT100" s="91">
        <f t="shared" si="210"/>
        <v>0</v>
      </c>
      <c r="DU100" s="91">
        <f t="shared" ref="DU100:DX100" si="211">DU94-DU95+DU96+DU97+DU98+DU99</f>
        <v>0</v>
      </c>
      <c r="DV100" s="91">
        <f t="shared" si="211"/>
        <v>467</v>
      </c>
      <c r="DW100" s="91">
        <f t="shared" si="211"/>
        <v>360</v>
      </c>
      <c r="DX100" s="91">
        <f t="shared" si="211"/>
        <v>256</v>
      </c>
      <c r="DY100" s="91">
        <f>DY94-DY95+DY96+DY97+DY98+DY99</f>
        <v>-277.10000000000002</v>
      </c>
      <c r="DZ100" s="91">
        <f t="shared" ref="DZ100:EJ100" si="212">DZ94-DZ95+DZ96+DZ97+DZ98+DZ99</f>
        <v>-111.13702999999994</v>
      </c>
      <c r="EA100" s="91">
        <f t="shared" si="212"/>
        <v>197.00625167500007</v>
      </c>
      <c r="EB100" s="91">
        <f t="shared" si="212"/>
        <v>505.30242582456253</v>
      </c>
      <c r="EC100" s="91">
        <f t="shared" si="212"/>
        <v>774.92135794325554</v>
      </c>
      <c r="ED100" s="91">
        <f t="shared" si="212"/>
        <v>1013.9824348971712</v>
      </c>
      <c r="EE100" s="91">
        <f t="shared" si="212"/>
        <v>1218.197686373939</v>
      </c>
      <c r="EF100" s="91">
        <f t="shared" si="212"/>
        <v>1390.4881879450227</v>
      </c>
      <c r="EG100" s="91">
        <f t="shared" si="212"/>
        <v>1549.2311945650567</v>
      </c>
      <c r="EH100" s="91">
        <f t="shared" si="212"/>
        <v>1699.0663859721963</v>
      </c>
      <c r="EI100" s="91">
        <f t="shared" si="212"/>
        <v>1840.8210316856027</v>
      </c>
      <c r="EJ100" s="91">
        <f t="shared" si="212"/>
        <v>1976.9261609268617</v>
      </c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</row>
    <row r="101" spans="2:250" s="81" customFormat="1" ht="12.75" customHeight="1">
      <c r="B101" s="98" t="s">
        <v>72</v>
      </c>
      <c r="C101" s="91">
        <f t="shared" ref="C101:N101" si="213">C93-C100</f>
        <v>2279.5</v>
      </c>
      <c r="D101" s="91">
        <f t="shared" si="213"/>
        <v>2477.5</v>
      </c>
      <c r="E101" s="91">
        <f t="shared" si="213"/>
        <v>2653.89</v>
      </c>
      <c r="F101" s="91">
        <f t="shared" si="213"/>
        <v>2537</v>
      </c>
      <c r="G101" s="91">
        <f t="shared" si="213"/>
        <v>-2589.4</v>
      </c>
      <c r="H101" s="91">
        <f t="shared" si="213"/>
        <v>-2807.7999999999997</v>
      </c>
      <c r="I101" s="91">
        <f t="shared" si="213"/>
        <v>-2915.8</v>
      </c>
      <c r="J101" s="91">
        <f t="shared" si="213"/>
        <v>-3479.2000000000007</v>
      </c>
      <c r="K101" s="91">
        <f t="shared" si="213"/>
        <v>-3355.2999999999997</v>
      </c>
      <c r="L101" s="91">
        <f t="shared" si="213"/>
        <v>-3055.6000000000004</v>
      </c>
      <c r="M101" s="91">
        <f t="shared" si="213"/>
        <v>-3152.8</v>
      </c>
      <c r="N101" s="91">
        <f t="shared" si="213"/>
        <v>-3866.2</v>
      </c>
      <c r="O101" s="91" t="e">
        <f t="shared" ref="O101:X101" si="214">O93+O100</f>
        <v>#REF!</v>
      </c>
      <c r="P101" s="91" t="e">
        <f t="shared" si="214"/>
        <v>#REF!</v>
      </c>
      <c r="Q101" s="91">
        <f t="shared" si="214"/>
        <v>-2321.2999999999997</v>
      </c>
      <c r="R101" s="91">
        <f t="shared" si="214"/>
        <v>-2476.2000000000003</v>
      </c>
      <c r="S101" s="91">
        <f t="shared" si="214"/>
        <v>-2170.1</v>
      </c>
      <c r="T101" s="91">
        <f t="shared" si="214"/>
        <v>-2382</v>
      </c>
      <c r="U101" s="91">
        <f t="shared" si="214"/>
        <v>-2099</v>
      </c>
      <c r="V101" s="91">
        <f t="shared" si="214"/>
        <v>-2224.1</v>
      </c>
      <c r="W101" s="91">
        <f t="shared" si="214"/>
        <v>-1998</v>
      </c>
      <c r="X101" s="91">
        <f t="shared" si="214"/>
        <v>-1929.2999999999997</v>
      </c>
      <c r="Y101" s="91">
        <f t="shared" ref="Y101:AJ101" si="215">Y100+Y93</f>
        <v>-2586.3000000000002</v>
      </c>
      <c r="Z101" s="91">
        <f t="shared" si="215"/>
        <v>-2818.2</v>
      </c>
      <c r="AA101" s="91">
        <f t="shared" si="215"/>
        <v>-1923.4</v>
      </c>
      <c r="AB101" s="91">
        <f t="shared" si="215"/>
        <v>-2271.1</v>
      </c>
      <c r="AC101" s="91">
        <f t="shared" si="215"/>
        <v>-2117.4</v>
      </c>
      <c r="AD101" s="91"/>
      <c r="AE101" s="91">
        <f>AE100+AE93</f>
        <v>-2240.6</v>
      </c>
      <c r="AF101" s="91">
        <f>AF100+AF93</f>
        <v>-2494.6</v>
      </c>
      <c r="AG101" s="91">
        <f>AG100+AG93</f>
        <v>-2173.9999999999995</v>
      </c>
      <c r="AH101" s="91">
        <f t="shared" si="215"/>
        <v>-2501.8999999999996</v>
      </c>
      <c r="AI101" s="91">
        <f t="shared" si="215"/>
        <v>-2097.1000000000004</v>
      </c>
      <c r="AJ101" s="91">
        <f t="shared" si="215"/>
        <v>-2314.3000000000002</v>
      </c>
      <c r="AK101" s="91">
        <f t="shared" ref="AK101:AQ101" si="216">AK100+AK93</f>
        <v>-2291.3000000000002</v>
      </c>
      <c r="AL101" s="91">
        <f t="shared" si="216"/>
        <v>3658.8000000000011</v>
      </c>
      <c r="AM101" s="91">
        <f t="shared" si="216"/>
        <v>3427.8999999999992</v>
      </c>
      <c r="AN101" s="91">
        <f t="shared" si="216"/>
        <v>-5245</v>
      </c>
      <c r="AO101" s="91">
        <f t="shared" si="216"/>
        <v>-4889.6999999999989</v>
      </c>
      <c r="AP101" s="91">
        <f t="shared" si="216"/>
        <v>-5721</v>
      </c>
      <c r="AQ101" s="91">
        <f t="shared" si="216"/>
        <v>-5012</v>
      </c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>
        <f t="shared" ref="CC101:CJ101" si="217">+CC93+CC95</f>
        <v>4073</v>
      </c>
      <c r="CD101" s="91">
        <f t="shared" si="217"/>
        <v>4513</v>
      </c>
      <c r="CE101" s="91">
        <f t="shared" si="217"/>
        <v>3445</v>
      </c>
      <c r="CF101" s="91">
        <f t="shared" si="217"/>
        <v>2127</v>
      </c>
      <c r="CG101" s="91">
        <f t="shared" si="217"/>
        <v>5108</v>
      </c>
      <c r="CH101" s="91">
        <f t="shared" si="217"/>
        <v>4784</v>
      </c>
      <c r="CI101" s="91">
        <f t="shared" si="217"/>
        <v>6309</v>
      </c>
      <c r="CJ101" s="91">
        <f t="shared" si="217"/>
        <v>5509</v>
      </c>
      <c r="CK101" s="91">
        <f t="shared" ref="CK101:CT101" si="218">+CK93+CK95</f>
        <v>5452</v>
      </c>
      <c r="CL101" s="91">
        <f t="shared" si="218"/>
        <v>4892</v>
      </c>
      <c r="CM101" s="91">
        <f t="shared" si="218"/>
        <v>4481</v>
      </c>
      <c r="CN101" s="91">
        <f t="shared" si="218"/>
        <v>5755</v>
      </c>
      <c r="CO101" s="91">
        <f t="shared" si="218"/>
        <v>6391</v>
      </c>
      <c r="CP101" s="91">
        <f t="shared" si="218"/>
        <v>5027</v>
      </c>
      <c r="CQ101" s="91">
        <f t="shared" si="218"/>
        <v>6296</v>
      </c>
      <c r="CR101" s="91">
        <f t="shared" si="218"/>
        <v>6767</v>
      </c>
      <c r="CS101" s="91">
        <f t="shared" si="218"/>
        <v>5106</v>
      </c>
      <c r="CT101" s="91">
        <f t="shared" si="218"/>
        <v>5220</v>
      </c>
      <c r="CU101" s="91">
        <f t="shared" ref="CU101:CX101" si="219">+CU93+CU95</f>
        <v>0</v>
      </c>
      <c r="CV101" s="91">
        <f t="shared" si="219"/>
        <v>0</v>
      </c>
      <c r="CW101" s="91">
        <f t="shared" si="219"/>
        <v>0</v>
      </c>
      <c r="CX101" s="91">
        <f t="shared" si="219"/>
        <v>0</v>
      </c>
      <c r="CY101" s="91"/>
      <c r="CZ101" s="91"/>
      <c r="DA101" s="73"/>
      <c r="DB101" s="91">
        <f t="shared" ref="DB101:DJ101" si="220">DB100+DB93</f>
        <v>8886.3100000000013</v>
      </c>
      <c r="DC101" s="91">
        <f t="shared" si="220"/>
        <v>-9553.3999999999978</v>
      </c>
      <c r="DD101" s="91">
        <f t="shared" si="220"/>
        <v>-10764.9</v>
      </c>
      <c r="DE101" s="91">
        <f t="shared" si="220"/>
        <v>-9379.4</v>
      </c>
      <c r="DF101" s="91">
        <f t="shared" si="220"/>
        <v>-8875.1999999999989</v>
      </c>
      <c r="DG101" s="91">
        <f t="shared" si="220"/>
        <v>-9331.8000000000011</v>
      </c>
      <c r="DH101" s="91">
        <f t="shared" si="220"/>
        <v>-6311.9</v>
      </c>
      <c r="DI101" s="91">
        <f t="shared" si="220"/>
        <v>-10157.9</v>
      </c>
      <c r="DJ101" s="91">
        <f t="shared" si="220"/>
        <v>-13863.599999999999</v>
      </c>
      <c r="DK101" s="91">
        <f>DK100+DK93</f>
        <v>-21039.100000000002</v>
      </c>
      <c r="DL101" s="91">
        <f>DL100+DL93</f>
        <v>14710.092000000004</v>
      </c>
      <c r="DM101" s="91">
        <f>DM100+DM93</f>
        <v>-12999.250000000002</v>
      </c>
      <c r="DN101" s="91">
        <f t="shared" ref="DN101:DT101" si="221">DN100+DN93</f>
        <v>-11976.704000000002</v>
      </c>
      <c r="DO101" s="91">
        <f t="shared" si="221"/>
        <v>-11403.990000000002</v>
      </c>
      <c r="DP101" s="91">
        <f t="shared" si="221"/>
        <v>-10664.460000000001</v>
      </c>
      <c r="DQ101" s="91">
        <f t="shared" si="221"/>
        <v>-10747.890000000001</v>
      </c>
      <c r="DR101" s="91">
        <f t="shared" si="221"/>
        <v>-10832.94</v>
      </c>
      <c r="DS101" s="91">
        <f t="shared" si="221"/>
        <v>-11419.380000000001</v>
      </c>
      <c r="DT101" s="91">
        <f t="shared" si="221"/>
        <v>-12647.070000000002</v>
      </c>
      <c r="DU101" s="91">
        <f t="shared" ref="DU101:DX101" si="222">DU100+DU93</f>
        <v>-12647.070000000002</v>
      </c>
      <c r="DV101" s="91">
        <f>DV100+DV93</f>
        <v>16398</v>
      </c>
      <c r="DW101" s="91">
        <f>DW100+DW93</f>
        <v>22882</v>
      </c>
      <c r="DX101" s="91">
        <f t="shared" si="222"/>
        <v>22216</v>
      </c>
      <c r="DY101" s="91">
        <f>DY100+DY93</f>
        <v>22128.396000000008</v>
      </c>
      <c r="DZ101" s="91">
        <f t="shared" ref="DZ101:EJ101" si="223">DZ100+DZ93</f>
        <v>41085.77089</v>
      </c>
      <c r="EA101" s="91">
        <f t="shared" si="223"/>
        <v>41106.156553275003</v>
      </c>
      <c r="EB101" s="91">
        <f t="shared" si="223"/>
        <v>35949.19094915907</v>
      </c>
      <c r="EC101" s="91">
        <f t="shared" si="223"/>
        <v>31874.810260522085</v>
      </c>
      <c r="ED101" s="91">
        <f t="shared" si="223"/>
        <v>27228.700196902359</v>
      </c>
      <c r="EE101" s="91">
        <f t="shared" si="223"/>
        <v>22972.066876144483</v>
      </c>
      <c r="EF101" s="91">
        <f t="shared" si="223"/>
        <v>21165.734216004541</v>
      </c>
      <c r="EG101" s="91">
        <f t="shared" si="223"/>
        <v>19978.025520951949</v>
      </c>
      <c r="EH101" s="91">
        <f t="shared" si="223"/>
        <v>18900.6194284542</v>
      </c>
      <c r="EI101" s="91">
        <f t="shared" si="223"/>
        <v>18147.350565501183</v>
      </c>
      <c r="EJ101" s="91">
        <f t="shared" si="223"/>
        <v>17814.175305544773</v>
      </c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</row>
    <row r="102" spans="2:250" s="81" customFormat="1" ht="12.75" customHeight="1">
      <c r="B102" s="98" t="s">
        <v>471</v>
      </c>
      <c r="C102" s="91">
        <v>663.3</v>
      </c>
      <c r="D102" s="91">
        <v>721</v>
      </c>
      <c r="E102" s="91">
        <v>772.3</v>
      </c>
      <c r="F102" s="91">
        <f>783.3-45</f>
        <v>738.3</v>
      </c>
      <c r="G102" s="91">
        <v>655.1</v>
      </c>
      <c r="H102" s="91">
        <v>696.1</v>
      </c>
      <c r="I102" s="91">
        <v>743</v>
      </c>
      <c r="J102" s="91">
        <v>763.3</v>
      </c>
      <c r="K102" s="92">
        <v>671.2</v>
      </c>
      <c r="L102" s="92">
        <v>685.3</v>
      </c>
      <c r="M102" s="92">
        <v>739.8</v>
      </c>
      <c r="N102" s="92">
        <v>365.7</v>
      </c>
      <c r="O102" s="92">
        <v>724.3</v>
      </c>
      <c r="P102" s="92">
        <v>670.7</v>
      </c>
      <c r="Q102" s="92">
        <v>487.4</v>
      </c>
      <c r="R102" s="92">
        <v>278.7</v>
      </c>
      <c r="S102" s="92">
        <v>550.6</v>
      </c>
      <c r="T102" s="92">
        <f>1204-640</f>
        <v>564</v>
      </c>
      <c r="U102" s="92">
        <v>577.5</v>
      </c>
      <c r="V102" s="92">
        <v>400.3</v>
      </c>
      <c r="W102" s="92">
        <v>450.4</v>
      </c>
      <c r="X102" s="92">
        <v>609</v>
      </c>
      <c r="Y102" s="92">
        <v>290.2</v>
      </c>
      <c r="Z102" s="92">
        <v>438</v>
      </c>
      <c r="AA102" s="92">
        <v>550.1</v>
      </c>
      <c r="AB102" s="91">
        <v>555.79999999999995</v>
      </c>
      <c r="AC102" s="91">
        <v>539.1</v>
      </c>
      <c r="AD102" s="91"/>
      <c r="AE102" s="91">
        <f>AE101*0.25</f>
        <v>-560.15</v>
      </c>
      <c r="AF102" s="91">
        <v>290.2</v>
      </c>
      <c r="AG102" s="91">
        <v>318.2</v>
      </c>
      <c r="AH102" s="91">
        <f>282.6+30</f>
        <v>312.60000000000002</v>
      </c>
      <c r="AI102" s="91">
        <f>327.2+30.8</f>
        <v>358</v>
      </c>
      <c r="AJ102" s="91">
        <f>379+32+80</f>
        <v>491</v>
      </c>
      <c r="AK102" s="91">
        <f>+AK101*0.319</f>
        <v>-730.92470000000003</v>
      </c>
      <c r="AL102" s="91">
        <f>398.4+29.1+2.1</f>
        <v>429.6</v>
      </c>
      <c r="AM102" s="91">
        <f>788.3+31.4</f>
        <v>819.69999999999993</v>
      </c>
      <c r="AN102" s="91">
        <f>703.3+27.8</f>
        <v>731.09999999999991</v>
      </c>
      <c r="AO102" s="91">
        <f>764.3+30.1</f>
        <v>794.4</v>
      </c>
      <c r="AP102" s="91">
        <f>457+31</f>
        <v>488</v>
      </c>
      <c r="AQ102" s="91">
        <v>989</v>
      </c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>
        <v>585</v>
      </c>
      <c r="CD102" s="91">
        <v>452</v>
      </c>
      <c r="CE102" s="91">
        <v>494</v>
      </c>
      <c r="CF102" s="91">
        <v>567</v>
      </c>
      <c r="CG102" s="91">
        <v>665</v>
      </c>
      <c r="CH102" s="91">
        <v>205</v>
      </c>
      <c r="CI102" s="91">
        <v>883</v>
      </c>
      <c r="CJ102" s="91">
        <v>761</v>
      </c>
      <c r="CK102" s="91">
        <f>744+5</f>
        <v>749</v>
      </c>
      <c r="CL102" s="91">
        <v>762</v>
      </c>
      <c r="CM102" s="91">
        <v>913</v>
      </c>
      <c r="CN102" s="91">
        <v>810</v>
      </c>
      <c r="CO102" s="91">
        <v>959</v>
      </c>
      <c r="CP102" s="91">
        <v>-540</v>
      </c>
      <c r="CQ102" s="91">
        <v>1012</v>
      </c>
      <c r="CR102" s="91">
        <v>952</v>
      </c>
      <c r="CS102" s="91">
        <f>1117+4</f>
        <v>1121</v>
      </c>
      <c r="CT102" s="91">
        <f>846+2</f>
        <v>848</v>
      </c>
      <c r="CU102" s="91">
        <f t="shared" ref="CU102:CX102" si="224">+CU101*0.3</f>
        <v>0</v>
      </c>
      <c r="CV102" s="91">
        <f t="shared" si="224"/>
        <v>0</v>
      </c>
      <c r="CW102" s="91">
        <f t="shared" si="224"/>
        <v>0</v>
      </c>
      <c r="CX102" s="91">
        <f t="shared" si="224"/>
        <v>0</v>
      </c>
      <c r="CY102" s="91"/>
      <c r="CZ102" s="91"/>
      <c r="DA102" s="73"/>
      <c r="DB102" s="91">
        <f>SUM(C102:F102)</f>
        <v>2894.8999999999996</v>
      </c>
      <c r="DC102" s="91">
        <f>SUM(G102:J102)-0.6</f>
        <v>2856.9</v>
      </c>
      <c r="DD102" s="91">
        <f>SUM(K102:N102)</f>
        <v>2462</v>
      </c>
      <c r="DE102" s="91">
        <f>SUM(O102:R102)</f>
        <v>2161.1</v>
      </c>
      <c r="DF102" s="91">
        <f>SUM(S102:V102)</f>
        <v>2092.4</v>
      </c>
      <c r="DG102" s="91">
        <f>SUM(W102:Z102)</f>
        <v>1787.6000000000001</v>
      </c>
      <c r="DH102" s="91">
        <f>SUM(AA102:AD102)</f>
        <v>1645</v>
      </c>
      <c r="DI102" s="91">
        <f t="shared" ref="DI102:DT102" si="225">DI101*0.25</f>
        <v>-2539.4749999999999</v>
      </c>
      <c r="DJ102" s="91">
        <f t="shared" si="225"/>
        <v>-3465.8999999999996</v>
      </c>
      <c r="DK102" s="91">
        <f>SUM(AM102:AP102)</f>
        <v>2833.2</v>
      </c>
      <c r="DL102" s="91">
        <f>DL101*0.25</f>
        <v>3677.523000000001</v>
      </c>
      <c r="DM102" s="91">
        <f t="shared" si="225"/>
        <v>-3249.8125000000005</v>
      </c>
      <c r="DN102" s="91">
        <f t="shared" si="225"/>
        <v>-2994.1760000000004</v>
      </c>
      <c r="DO102" s="91">
        <f t="shared" si="225"/>
        <v>-2850.9975000000004</v>
      </c>
      <c r="DP102" s="91">
        <f t="shared" si="225"/>
        <v>-2666.1150000000002</v>
      </c>
      <c r="DQ102" s="91">
        <f t="shared" si="225"/>
        <v>-2686.9725000000003</v>
      </c>
      <c r="DR102" s="91">
        <f t="shared" si="225"/>
        <v>-2708.2350000000001</v>
      </c>
      <c r="DS102" s="91">
        <f t="shared" si="225"/>
        <v>-2854.8450000000003</v>
      </c>
      <c r="DT102" s="91">
        <f t="shared" si="225"/>
        <v>-3161.7675000000004</v>
      </c>
      <c r="DU102" s="91">
        <f t="shared" ref="DU102:EA102" si="226">DU101*0.25</f>
        <v>-3161.7675000000004</v>
      </c>
      <c r="DV102" s="92">
        <f t="shared" ref="DV102" si="227">SUM(CE102:CH102)</f>
        <v>1931</v>
      </c>
      <c r="DW102" s="92">
        <f>SUM(CI102:CL102)</f>
        <v>3155</v>
      </c>
      <c r="DX102" s="92">
        <f t="shared" ref="DX102" si="228">SUM(CM102:CP102)</f>
        <v>2142</v>
      </c>
      <c r="DY102" s="91">
        <f t="shared" si="226"/>
        <v>5532.099000000002</v>
      </c>
      <c r="DZ102" s="91">
        <f t="shared" si="226"/>
        <v>10271.4427225</v>
      </c>
      <c r="EA102" s="91">
        <f t="shared" si="226"/>
        <v>10276.539138318751</v>
      </c>
      <c r="EB102" s="91">
        <f t="shared" ref="EB102:EI102" si="229">EB101*0.25</f>
        <v>8987.2977372897676</v>
      </c>
      <c r="EC102" s="91">
        <f t="shared" si="229"/>
        <v>7968.7025651305212</v>
      </c>
      <c r="ED102" s="91">
        <f t="shared" si="229"/>
        <v>6807.1750492255896</v>
      </c>
      <c r="EE102" s="91">
        <f t="shared" si="229"/>
        <v>5743.0167190361208</v>
      </c>
      <c r="EF102" s="91">
        <f t="shared" si="229"/>
        <v>5291.4335540011352</v>
      </c>
      <c r="EG102" s="91">
        <f t="shared" si="229"/>
        <v>4994.5063802379873</v>
      </c>
      <c r="EH102" s="91">
        <f t="shared" si="229"/>
        <v>4725.15485711355</v>
      </c>
      <c r="EI102" s="91">
        <f t="shared" si="229"/>
        <v>4536.8376413752958</v>
      </c>
      <c r="EJ102" s="91">
        <f>EJ101*0.25</f>
        <v>4453.5438263861934</v>
      </c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</row>
    <row r="103" spans="2:250" s="81" customFormat="1" ht="12.75" customHeight="1">
      <c r="B103" s="98" t="s">
        <v>73</v>
      </c>
      <c r="C103" s="91">
        <f t="shared" ref="C103:W103" si="230">C101-C102</f>
        <v>1616.2</v>
      </c>
      <c r="D103" s="91">
        <f t="shared" si="230"/>
        <v>1756.5</v>
      </c>
      <c r="E103" s="91">
        <f t="shared" si="230"/>
        <v>1881.59</v>
      </c>
      <c r="F103" s="91">
        <f t="shared" si="230"/>
        <v>1798.7</v>
      </c>
      <c r="G103" s="91">
        <f t="shared" si="230"/>
        <v>-3244.5</v>
      </c>
      <c r="H103" s="91">
        <f t="shared" si="230"/>
        <v>-3503.8999999999996</v>
      </c>
      <c r="I103" s="91">
        <f t="shared" si="230"/>
        <v>-3658.8</v>
      </c>
      <c r="J103" s="91">
        <f t="shared" si="230"/>
        <v>-4242.5000000000009</v>
      </c>
      <c r="K103" s="91">
        <f t="shared" si="230"/>
        <v>-4026.5</v>
      </c>
      <c r="L103" s="91">
        <f t="shared" si="230"/>
        <v>-3740.9000000000005</v>
      </c>
      <c r="M103" s="91">
        <f t="shared" si="230"/>
        <v>-3892.6000000000004</v>
      </c>
      <c r="N103" s="91">
        <f t="shared" si="230"/>
        <v>-4231.8999999999996</v>
      </c>
      <c r="O103" s="91" t="e">
        <f t="shared" si="230"/>
        <v>#REF!</v>
      </c>
      <c r="P103" s="91" t="e">
        <f>P101-P102</f>
        <v>#REF!</v>
      </c>
      <c r="Q103" s="91">
        <f t="shared" si="230"/>
        <v>-2808.7</v>
      </c>
      <c r="R103" s="91">
        <f t="shared" si="230"/>
        <v>-2754.9</v>
      </c>
      <c r="S103" s="91">
        <f t="shared" si="230"/>
        <v>-2720.7</v>
      </c>
      <c r="T103" s="91">
        <f t="shared" si="230"/>
        <v>-2946</v>
      </c>
      <c r="U103" s="91">
        <f t="shared" si="230"/>
        <v>-2676.5</v>
      </c>
      <c r="V103" s="91">
        <f>V101-V102</f>
        <v>-2624.4</v>
      </c>
      <c r="W103" s="91">
        <f t="shared" si="230"/>
        <v>-2448.4</v>
      </c>
      <c r="X103" s="91">
        <f>X101-X102</f>
        <v>-2538.2999999999997</v>
      </c>
      <c r="Y103" s="91">
        <f t="shared" ref="Y103:AH103" si="231">Y101-Y102</f>
        <v>-2876.5</v>
      </c>
      <c r="Z103" s="91">
        <f t="shared" si="231"/>
        <v>-3256.2</v>
      </c>
      <c r="AA103" s="91">
        <f t="shared" si="231"/>
        <v>-2473.5</v>
      </c>
      <c r="AB103" s="91">
        <f t="shared" si="231"/>
        <v>-2826.8999999999996</v>
      </c>
      <c r="AC103" s="91">
        <f t="shared" si="231"/>
        <v>-2656.5</v>
      </c>
      <c r="AD103" s="91"/>
      <c r="AE103" s="91">
        <f t="shared" si="231"/>
        <v>-1680.4499999999998</v>
      </c>
      <c r="AF103" s="91">
        <f t="shared" si="231"/>
        <v>-2784.7999999999997</v>
      </c>
      <c r="AG103" s="91">
        <f>AG101-AG102</f>
        <v>-2492.1999999999994</v>
      </c>
      <c r="AH103" s="91">
        <f t="shared" si="231"/>
        <v>-2814.4999999999995</v>
      </c>
      <c r="AI103" s="91">
        <f t="shared" ref="AI103:AP103" si="232">AI101-AI102</f>
        <v>-2455.1000000000004</v>
      </c>
      <c r="AJ103" s="91">
        <f t="shared" si="232"/>
        <v>-2805.3</v>
      </c>
      <c r="AK103" s="91">
        <f t="shared" si="232"/>
        <v>-1560.3753000000002</v>
      </c>
      <c r="AL103" s="91">
        <f t="shared" si="232"/>
        <v>3229.2000000000012</v>
      </c>
      <c r="AM103" s="91">
        <f t="shared" si="232"/>
        <v>2608.1999999999994</v>
      </c>
      <c r="AN103" s="91">
        <f t="shared" si="232"/>
        <v>-5976.1</v>
      </c>
      <c r="AO103" s="91">
        <f t="shared" si="232"/>
        <v>-5684.0999999999985</v>
      </c>
      <c r="AP103" s="91">
        <f t="shared" si="232"/>
        <v>-6209</v>
      </c>
      <c r="AQ103" s="91">
        <f>AQ101-AQ102</f>
        <v>-6001</v>
      </c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>
        <f t="shared" ref="CC103:CJ103" si="233">+CC101-CC102</f>
        <v>3488</v>
      </c>
      <c r="CD103" s="91">
        <f t="shared" si="233"/>
        <v>4061</v>
      </c>
      <c r="CE103" s="91">
        <f t="shared" si="233"/>
        <v>2951</v>
      </c>
      <c r="CF103" s="91">
        <f t="shared" si="233"/>
        <v>1560</v>
      </c>
      <c r="CG103" s="91">
        <f t="shared" si="233"/>
        <v>4443</v>
      </c>
      <c r="CH103" s="91">
        <f t="shared" si="233"/>
        <v>4579</v>
      </c>
      <c r="CI103" s="91">
        <f t="shared" si="233"/>
        <v>5426</v>
      </c>
      <c r="CJ103" s="91">
        <f t="shared" si="233"/>
        <v>4748</v>
      </c>
      <c r="CK103" s="91">
        <f t="shared" ref="CK103:CT103" si="234">+CK101-CK102</f>
        <v>4703</v>
      </c>
      <c r="CL103" s="91">
        <f t="shared" si="234"/>
        <v>4130</v>
      </c>
      <c r="CM103" s="91">
        <f t="shared" si="234"/>
        <v>3568</v>
      </c>
      <c r="CN103" s="91">
        <f t="shared" si="234"/>
        <v>4945</v>
      </c>
      <c r="CO103" s="91">
        <f t="shared" si="234"/>
        <v>5432</v>
      </c>
      <c r="CP103" s="91">
        <f t="shared" si="234"/>
        <v>5567</v>
      </c>
      <c r="CQ103" s="91">
        <f t="shared" si="234"/>
        <v>5284</v>
      </c>
      <c r="CR103" s="91">
        <f t="shared" si="234"/>
        <v>5815</v>
      </c>
      <c r="CS103" s="91">
        <f t="shared" si="234"/>
        <v>3985</v>
      </c>
      <c r="CT103" s="91">
        <f t="shared" si="234"/>
        <v>4372</v>
      </c>
      <c r="CU103" s="91">
        <f t="shared" ref="CU103:CX103" si="235">+CU101-CU102</f>
        <v>0</v>
      </c>
      <c r="CV103" s="91">
        <f t="shared" si="235"/>
        <v>0</v>
      </c>
      <c r="CW103" s="91">
        <f t="shared" si="235"/>
        <v>0</v>
      </c>
      <c r="CX103" s="91">
        <f t="shared" si="235"/>
        <v>0</v>
      </c>
      <c r="CY103" s="91"/>
      <c r="CZ103" s="91"/>
      <c r="DA103" s="73"/>
      <c r="DB103" s="92">
        <f t="shared" ref="DB103:DJ103" si="236">DB101-DB102</f>
        <v>5991.4100000000017</v>
      </c>
      <c r="DC103" s="92">
        <f t="shared" si="236"/>
        <v>-12410.299999999997</v>
      </c>
      <c r="DD103" s="92">
        <f t="shared" si="236"/>
        <v>-13226.9</v>
      </c>
      <c r="DE103" s="92">
        <f t="shared" si="236"/>
        <v>-11540.5</v>
      </c>
      <c r="DF103" s="92">
        <f t="shared" si="236"/>
        <v>-10967.599999999999</v>
      </c>
      <c r="DG103" s="92">
        <f t="shared" si="236"/>
        <v>-11119.400000000001</v>
      </c>
      <c r="DH103" s="92">
        <f t="shared" si="236"/>
        <v>-7956.9</v>
      </c>
      <c r="DI103" s="92">
        <f t="shared" si="236"/>
        <v>-7618.4249999999993</v>
      </c>
      <c r="DJ103" s="92">
        <f t="shared" si="236"/>
        <v>-10397.699999999999</v>
      </c>
      <c r="DK103" s="92">
        <f>DK101-DK102</f>
        <v>-23872.300000000003</v>
      </c>
      <c r="DL103" s="92">
        <f>DL101-DL102</f>
        <v>11032.569000000003</v>
      </c>
      <c r="DM103" s="92">
        <f t="shared" ref="DM103:DT103" si="237">DM101-DM102</f>
        <v>-9749.4375000000018</v>
      </c>
      <c r="DN103" s="92">
        <f t="shared" si="237"/>
        <v>-8982.5280000000021</v>
      </c>
      <c r="DO103" s="92">
        <f t="shared" si="237"/>
        <v>-8552.9925000000003</v>
      </c>
      <c r="DP103" s="92">
        <f t="shared" si="237"/>
        <v>-7998.3450000000012</v>
      </c>
      <c r="DQ103" s="92">
        <f t="shared" si="237"/>
        <v>-8060.9175000000014</v>
      </c>
      <c r="DR103" s="92">
        <f t="shared" si="237"/>
        <v>-8124.7049999999999</v>
      </c>
      <c r="DS103" s="92">
        <f t="shared" si="237"/>
        <v>-8564.5349999999999</v>
      </c>
      <c r="DT103" s="92">
        <f t="shared" si="237"/>
        <v>-9485.3025000000016</v>
      </c>
      <c r="DU103" s="92">
        <f t="shared" ref="DU103:EA103" si="238">DU101-DU102</f>
        <v>-9485.3025000000016</v>
      </c>
      <c r="DV103" s="92">
        <f>DV101-DV102</f>
        <v>14467</v>
      </c>
      <c r="DW103" s="92">
        <f>DW101-DW102</f>
        <v>19727</v>
      </c>
      <c r="DX103" s="92">
        <f>DX101-DX102</f>
        <v>20074</v>
      </c>
      <c r="DY103" s="92">
        <f t="shared" si="238"/>
        <v>16596.297000000006</v>
      </c>
      <c r="DZ103" s="92">
        <f t="shared" si="238"/>
        <v>30814.3281675</v>
      </c>
      <c r="EA103" s="92">
        <f t="shared" si="238"/>
        <v>30829.61741495625</v>
      </c>
      <c r="EB103" s="92">
        <f t="shared" ref="EB103:EJ103" si="239">EB101-EB102</f>
        <v>26961.893211869305</v>
      </c>
      <c r="EC103" s="92">
        <f t="shared" si="239"/>
        <v>23906.107695391562</v>
      </c>
      <c r="ED103" s="92">
        <f t="shared" si="239"/>
        <v>20421.52514767677</v>
      </c>
      <c r="EE103" s="92">
        <f t="shared" si="239"/>
        <v>17229.050157108362</v>
      </c>
      <c r="EF103" s="92">
        <f t="shared" si="239"/>
        <v>15874.300662003407</v>
      </c>
      <c r="EG103" s="92">
        <f t="shared" si="239"/>
        <v>14983.519140713961</v>
      </c>
      <c r="EH103" s="92">
        <f t="shared" si="239"/>
        <v>14175.46457134065</v>
      </c>
      <c r="EI103" s="92">
        <f t="shared" si="239"/>
        <v>13610.512924125887</v>
      </c>
      <c r="EJ103" s="92">
        <f t="shared" si="239"/>
        <v>13360.631479158579</v>
      </c>
      <c r="EK103" s="95">
        <f t="shared" ref="EK103:FP103" si="240">EJ103*(1+$EM$108)</f>
        <v>13227.025164366993</v>
      </c>
      <c r="EL103" s="95">
        <f t="shared" si="240"/>
        <v>13094.754912723323</v>
      </c>
      <c r="EM103" s="95">
        <f t="shared" si="240"/>
        <v>12963.80736359609</v>
      </c>
      <c r="EN103" s="95">
        <f t="shared" si="240"/>
        <v>12834.169289960129</v>
      </c>
      <c r="EO103" s="95">
        <f t="shared" si="240"/>
        <v>12705.827597060528</v>
      </c>
      <c r="EP103" s="95">
        <f t="shared" si="240"/>
        <v>12578.769321089923</v>
      </c>
      <c r="EQ103" s="95">
        <f t="shared" si="240"/>
        <v>12452.981627879024</v>
      </c>
      <c r="ER103" s="95">
        <f t="shared" si="240"/>
        <v>12328.451811600233</v>
      </c>
      <c r="ES103" s="95">
        <f t="shared" si="240"/>
        <v>12205.16729348423</v>
      </c>
      <c r="ET103" s="95">
        <f t="shared" si="240"/>
        <v>12083.115620549388</v>
      </c>
      <c r="EU103" s="95">
        <f t="shared" si="240"/>
        <v>11962.284464343895</v>
      </c>
      <c r="EV103" s="95">
        <f t="shared" si="240"/>
        <v>11842.661619700455</v>
      </c>
      <c r="EW103" s="95">
        <f t="shared" si="240"/>
        <v>11724.235003503451</v>
      </c>
      <c r="EX103" s="95">
        <f t="shared" si="240"/>
        <v>11606.992653468416</v>
      </c>
      <c r="EY103" s="95">
        <f t="shared" si="240"/>
        <v>11490.922726933732</v>
      </c>
      <c r="EZ103" s="95">
        <f t="shared" si="240"/>
        <v>11376.013499664394</v>
      </c>
      <c r="FA103" s="95">
        <f t="shared" si="240"/>
        <v>11262.253364667749</v>
      </c>
      <c r="FB103" s="95">
        <f t="shared" si="240"/>
        <v>11149.630831021072</v>
      </c>
      <c r="FC103" s="95">
        <f t="shared" si="240"/>
        <v>11038.134522710861</v>
      </c>
      <c r="FD103" s="95">
        <f t="shared" si="240"/>
        <v>10927.753177483753</v>
      </c>
      <c r="FE103" s="95">
        <f t="shared" si="240"/>
        <v>10818.475645708915</v>
      </c>
      <c r="FF103" s="95">
        <f t="shared" si="240"/>
        <v>10710.290889251826</v>
      </c>
      <c r="FG103" s="95">
        <f t="shared" si="240"/>
        <v>10603.187980359307</v>
      </c>
      <c r="FH103" s="95">
        <f t="shared" si="240"/>
        <v>10497.156100555714</v>
      </c>
      <c r="FI103" s="95">
        <f t="shared" si="240"/>
        <v>10392.184539550157</v>
      </c>
      <c r="FJ103" s="95">
        <f t="shared" si="240"/>
        <v>10288.262694154655</v>
      </c>
      <c r="FK103" s="95">
        <f t="shared" si="240"/>
        <v>10185.380067213109</v>
      </c>
      <c r="FL103" s="95">
        <f t="shared" si="240"/>
        <v>10083.526266540977</v>
      </c>
      <c r="FM103" s="95">
        <f t="shared" si="240"/>
        <v>9982.6910038755668</v>
      </c>
      <c r="FN103" s="95">
        <f t="shared" si="240"/>
        <v>9882.8640938368117</v>
      </c>
      <c r="FO103" s="95">
        <f t="shared" si="240"/>
        <v>9784.0354528984426</v>
      </c>
      <c r="FP103" s="95">
        <f t="shared" si="240"/>
        <v>9686.1950983694587</v>
      </c>
      <c r="FQ103" s="95">
        <f t="shared" ref="FQ103:GV103" si="241">FP103*(1+$EM$108)</f>
        <v>9589.3331473857634</v>
      </c>
      <c r="FR103" s="95">
        <f t="shared" si="241"/>
        <v>9493.4398159119064</v>
      </c>
      <c r="FS103" s="95">
        <f t="shared" si="241"/>
        <v>9398.5054177527873</v>
      </c>
      <c r="FT103" s="95">
        <f t="shared" si="241"/>
        <v>9304.5203635752587</v>
      </c>
      <c r="FU103" s="95">
        <f t="shared" si="241"/>
        <v>9211.4751599395058</v>
      </c>
      <c r="FV103" s="95">
        <f t="shared" si="241"/>
        <v>9119.3604083401115</v>
      </c>
      <c r="FW103" s="95">
        <f t="shared" si="241"/>
        <v>9028.1668042567107</v>
      </c>
      <c r="FX103" s="95">
        <f t="shared" si="241"/>
        <v>8937.8851362141431</v>
      </c>
      <c r="FY103" s="95">
        <f t="shared" si="241"/>
        <v>8848.506284852001</v>
      </c>
      <c r="FZ103" s="95">
        <f t="shared" si="241"/>
        <v>8760.0212220034809</v>
      </c>
      <c r="GA103" s="95">
        <f t="shared" si="241"/>
        <v>8672.4210097834457</v>
      </c>
      <c r="GB103" s="95">
        <f t="shared" si="241"/>
        <v>8585.696799685611</v>
      </c>
      <c r="GC103" s="95">
        <f t="shared" si="241"/>
        <v>8499.8398316887542</v>
      </c>
      <c r="GD103" s="95">
        <f t="shared" si="241"/>
        <v>8414.8414333718665</v>
      </c>
      <c r="GE103" s="95">
        <f t="shared" si="241"/>
        <v>8330.6930190381481</v>
      </c>
      <c r="GF103" s="95">
        <f t="shared" si="241"/>
        <v>8247.3860888477666</v>
      </c>
      <c r="GG103" s="95">
        <f t="shared" si="241"/>
        <v>8164.9122279592884</v>
      </c>
      <c r="GH103" s="95">
        <f t="shared" si="241"/>
        <v>8083.2631056796954</v>
      </c>
      <c r="GI103" s="95">
        <f t="shared" si="241"/>
        <v>8002.4304746228981</v>
      </c>
      <c r="GJ103" s="95">
        <f t="shared" si="241"/>
        <v>7922.4061698766691</v>
      </c>
      <c r="GK103" s="95">
        <f t="shared" si="241"/>
        <v>7843.1821081779026</v>
      </c>
      <c r="GL103" s="95">
        <f t="shared" si="241"/>
        <v>7764.7502870961234</v>
      </c>
      <c r="GM103" s="95">
        <f t="shared" si="241"/>
        <v>7687.1027842251624</v>
      </c>
      <c r="GN103" s="95">
        <f t="shared" si="241"/>
        <v>7610.231756382911</v>
      </c>
      <c r="GO103" s="95">
        <f t="shared" si="241"/>
        <v>7534.1294388190818</v>
      </c>
      <c r="GP103" s="95">
        <f t="shared" si="241"/>
        <v>7458.7881444308905</v>
      </c>
      <c r="GQ103" s="95">
        <f t="shared" si="241"/>
        <v>7384.2002629865819</v>
      </c>
      <c r="GR103" s="95">
        <f t="shared" si="241"/>
        <v>7310.3582603567156</v>
      </c>
      <c r="GS103" s="95">
        <f t="shared" si="241"/>
        <v>7237.2546777531488</v>
      </c>
      <c r="GT103" s="95">
        <f t="shared" si="241"/>
        <v>7164.8821309756177</v>
      </c>
      <c r="GU103" s="95">
        <f t="shared" si="241"/>
        <v>7093.2333096658613</v>
      </c>
      <c r="GV103" s="95">
        <f t="shared" si="241"/>
        <v>7022.3009765692022</v>
      </c>
      <c r="GW103" s="95">
        <f t="shared" ref="GW103:IB103" si="242">GV103*(1+$EM$108)</f>
        <v>6952.0779668035102</v>
      </c>
      <c r="GX103" s="95">
        <f t="shared" si="242"/>
        <v>6882.557187135475</v>
      </c>
      <c r="GY103" s="95">
        <f t="shared" si="242"/>
        <v>6813.7316152641206</v>
      </c>
      <c r="GZ103" s="95">
        <f t="shared" si="242"/>
        <v>6745.5942991114789</v>
      </c>
      <c r="HA103" s="95">
        <f t="shared" si="242"/>
        <v>6678.1383561203638</v>
      </c>
      <c r="HB103" s="95">
        <f t="shared" si="242"/>
        <v>6611.3569725591606</v>
      </c>
      <c r="HC103" s="95">
        <f t="shared" si="242"/>
        <v>6545.2434028335692</v>
      </c>
      <c r="HD103" s="95">
        <f t="shared" si="242"/>
        <v>6479.7909688052332</v>
      </c>
      <c r="HE103" s="95">
        <f t="shared" si="242"/>
        <v>6414.9930591171806</v>
      </c>
      <c r="HF103" s="95">
        <f t="shared" si="242"/>
        <v>6350.8431285260085</v>
      </c>
      <c r="HG103" s="95">
        <f t="shared" si="242"/>
        <v>6287.334697240748</v>
      </c>
      <c r="HH103" s="95">
        <f t="shared" si="242"/>
        <v>6224.4613502683405</v>
      </c>
      <c r="HI103" s="95">
        <f t="shared" si="242"/>
        <v>6162.2167367656575</v>
      </c>
      <c r="HJ103" s="95">
        <f t="shared" si="242"/>
        <v>6100.5945693980011</v>
      </c>
      <c r="HK103" s="95">
        <f t="shared" si="242"/>
        <v>6039.5886237040213</v>
      </c>
      <c r="HL103" s="95">
        <f t="shared" si="242"/>
        <v>5979.1927374669813</v>
      </c>
      <c r="HM103" s="95">
        <f t="shared" si="242"/>
        <v>5919.4008100923111</v>
      </c>
      <c r="HN103" s="95">
        <f t="shared" si="242"/>
        <v>5860.2068019913877</v>
      </c>
      <c r="HO103" s="95">
        <f t="shared" si="242"/>
        <v>5801.6047339714742</v>
      </c>
      <c r="HP103" s="95">
        <f t="shared" si="242"/>
        <v>5743.5886866317596</v>
      </c>
      <c r="HQ103" s="95">
        <f t="shared" si="242"/>
        <v>5686.1527997654421</v>
      </c>
      <c r="HR103" s="95">
        <f t="shared" si="242"/>
        <v>5629.2912717677873</v>
      </c>
      <c r="HS103" s="95">
        <f t="shared" si="242"/>
        <v>5572.9983590501097</v>
      </c>
      <c r="HT103" s="95">
        <f t="shared" si="242"/>
        <v>5517.2683754596083</v>
      </c>
      <c r="HU103" s="95">
        <f t="shared" si="242"/>
        <v>5462.0956917050125</v>
      </c>
      <c r="HV103" s="95">
        <f t="shared" si="242"/>
        <v>5407.474734787962</v>
      </c>
      <c r="HW103" s="95">
        <f t="shared" si="242"/>
        <v>5353.3999874400824</v>
      </c>
      <c r="HX103" s="95">
        <f t="shared" si="242"/>
        <v>5299.8659875656813</v>
      </c>
      <c r="HY103" s="95">
        <f t="shared" si="242"/>
        <v>5246.8673276900245</v>
      </c>
      <c r="HZ103" s="95">
        <f t="shared" si="242"/>
        <v>5194.3986544131239</v>
      </c>
      <c r="IA103" s="95">
        <f t="shared" si="242"/>
        <v>5142.4546678689931</v>
      </c>
      <c r="IB103" s="95">
        <f t="shared" si="242"/>
        <v>5091.0301211903034</v>
      </c>
      <c r="IC103" s="95">
        <f t="shared" ref="IC103:IP103" si="243">IB103*(1+$EM$108)</f>
        <v>5040.1198199784003</v>
      </c>
      <c r="ID103" s="95">
        <f t="shared" si="243"/>
        <v>4989.7186217786166</v>
      </c>
      <c r="IE103" s="95">
        <f t="shared" si="243"/>
        <v>4939.8214355608307</v>
      </c>
      <c r="IF103" s="95">
        <f t="shared" si="243"/>
        <v>4890.423221205222</v>
      </c>
      <c r="IG103" s="95">
        <f t="shared" si="243"/>
        <v>4841.5189889931698</v>
      </c>
      <c r="IH103" s="95">
        <f t="shared" si="243"/>
        <v>4793.1037991032381</v>
      </c>
      <c r="II103" s="95">
        <f t="shared" si="243"/>
        <v>4745.172761112206</v>
      </c>
      <c r="IJ103" s="95">
        <f t="shared" si="243"/>
        <v>4697.7210335010841</v>
      </c>
      <c r="IK103" s="95">
        <f t="shared" si="243"/>
        <v>4650.7438231660735</v>
      </c>
      <c r="IL103" s="95">
        <f t="shared" si="243"/>
        <v>4604.2363849344129</v>
      </c>
      <c r="IM103" s="95">
        <f t="shared" si="243"/>
        <v>4558.1940210850689</v>
      </c>
      <c r="IN103" s="95">
        <f t="shared" si="243"/>
        <v>4512.612080874218</v>
      </c>
      <c r="IO103" s="95">
        <f t="shared" si="243"/>
        <v>4467.4859600654754</v>
      </c>
      <c r="IP103" s="95">
        <f t="shared" si="243"/>
        <v>4422.8111004648208</v>
      </c>
    </row>
    <row r="104" spans="2:250" s="8" customFormat="1" ht="12.75" customHeight="1">
      <c r="B104" s="34" t="s">
        <v>381</v>
      </c>
      <c r="C104" s="32">
        <f>C103/C105</f>
        <v>0.68894667291870926</v>
      </c>
      <c r="D104" s="32">
        <f>D103/D105</f>
        <v>0.75444549437333563</v>
      </c>
      <c r="E104" s="32">
        <f>E103/E105</f>
        <v>0.81369572738280571</v>
      </c>
      <c r="F104" s="32">
        <f>F103/F105</f>
        <v>0.781703607127336</v>
      </c>
      <c r="G104" s="32">
        <f t="shared" ref="G104:W104" si="244">ROUND(G103/G105,2)</f>
        <v>-1.41</v>
      </c>
      <c r="H104" s="32">
        <f t="shared" si="244"/>
        <v>-1.53</v>
      </c>
      <c r="I104" s="32">
        <f t="shared" si="244"/>
        <v>-1.61</v>
      </c>
      <c r="J104" s="32">
        <f t="shared" si="244"/>
        <v>-1.87</v>
      </c>
      <c r="K104" s="32">
        <f t="shared" si="244"/>
        <v>-1.78</v>
      </c>
      <c r="L104" s="32">
        <f t="shared" si="244"/>
        <v>-1.65</v>
      </c>
      <c r="M104" s="32">
        <f t="shared" si="244"/>
        <v>-1.73</v>
      </c>
      <c r="N104" s="32">
        <f t="shared" si="244"/>
        <v>-1.89</v>
      </c>
      <c r="O104" s="32" t="e">
        <f t="shared" si="244"/>
        <v>#REF!</v>
      </c>
      <c r="P104" s="32" t="e">
        <f t="shared" si="244"/>
        <v>#REF!</v>
      </c>
      <c r="Q104" s="32">
        <f t="shared" si="244"/>
        <v>-1.26</v>
      </c>
      <c r="R104" s="32">
        <f t="shared" si="244"/>
        <v>-1.24</v>
      </c>
      <c r="S104" s="32">
        <f t="shared" si="244"/>
        <v>-1.23</v>
      </c>
      <c r="T104" s="32">
        <f t="shared" si="244"/>
        <v>-1.34</v>
      </c>
      <c r="U104" s="32">
        <f t="shared" si="244"/>
        <v>-1.22</v>
      </c>
      <c r="V104" s="32">
        <f t="shared" si="244"/>
        <v>-1.2</v>
      </c>
      <c r="W104" s="32">
        <f t="shared" si="244"/>
        <v>-1.1200000000000001</v>
      </c>
      <c r="X104" s="32">
        <f>ROUND(X103/X105,2)</f>
        <v>-1.1599999999999999</v>
      </c>
      <c r="Y104" s="32">
        <f t="shared" ref="Y104:AH104" si="245">Y103/Y105</f>
        <v>-1.3160543532964268</v>
      </c>
      <c r="Z104" s="32">
        <f t="shared" si="245"/>
        <v>-1.4905245811590222</v>
      </c>
      <c r="AA104" s="32">
        <f t="shared" si="245"/>
        <v>-1.1346330275229357</v>
      </c>
      <c r="AB104" s="32">
        <f t="shared" si="245"/>
        <v>-1.2912936232413665</v>
      </c>
      <c r="AC104" s="32">
        <f t="shared" si="245"/>
        <v>-1.21146479387085</v>
      </c>
      <c r="AD104" s="27"/>
      <c r="AE104" s="27">
        <f t="shared" si="245"/>
        <v>-0.77272727272727271</v>
      </c>
      <c r="AF104" s="27">
        <f t="shared" si="245"/>
        <v>-1.2926704730074732</v>
      </c>
      <c r="AG104" s="27">
        <f>AG103/AG105</f>
        <v>-1.1669788349878252</v>
      </c>
      <c r="AH104" s="27">
        <f t="shared" si="245"/>
        <v>-1.3333175422805437</v>
      </c>
      <c r="AI104" s="27">
        <f t="shared" ref="AI104:AP104" si="246">AI103/AI105</f>
        <v>-1.1639958278020106</v>
      </c>
      <c r="AJ104" s="27">
        <f t="shared" si="246"/>
        <v>-1.3295260663507109</v>
      </c>
      <c r="AK104" s="27">
        <f t="shared" si="246"/>
        <v>-0.73821985144533298</v>
      </c>
      <c r="AL104" s="27">
        <f t="shared" si="246"/>
        <v>1.173060156931125</v>
      </c>
      <c r="AM104" s="27">
        <f t="shared" si="246"/>
        <v>0.83037249283667602</v>
      </c>
      <c r="AN104" s="27">
        <f t="shared" si="246"/>
        <v>-1.9120460726283797</v>
      </c>
      <c r="AO104" s="27">
        <f t="shared" si="246"/>
        <v>-1.8326347691514053</v>
      </c>
      <c r="AP104" s="27">
        <f t="shared" si="246"/>
        <v>-1.9990341274951706</v>
      </c>
      <c r="AQ104" s="27">
        <f>AQ103/AQ105</f>
        <v>-1.933311855670103</v>
      </c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>
        <f t="shared" ref="CC104:CJ104" si="247">+CC103/CC105</f>
        <v>1.3743104806934594</v>
      </c>
      <c r="CD104" s="27">
        <f t="shared" si="247"/>
        <v>1.5981896890987799</v>
      </c>
      <c r="CE104" s="27">
        <f t="shared" si="247"/>
        <v>1.1613537977174342</v>
      </c>
      <c r="CF104" s="27">
        <f t="shared" si="247"/>
        <v>0.61417322834645671</v>
      </c>
      <c r="CG104" s="27">
        <f t="shared" si="247"/>
        <v>1.7519716088328077</v>
      </c>
      <c r="CH104" s="27">
        <f t="shared" si="247"/>
        <v>1.8063116370808678</v>
      </c>
      <c r="CI104" s="27">
        <f t="shared" si="247"/>
        <v>2.1387465510445409</v>
      </c>
      <c r="CJ104" s="27">
        <f t="shared" si="247"/>
        <v>1.8692913385826773</v>
      </c>
      <c r="CK104" s="27">
        <f t="shared" ref="CK104:CT104" si="248">+CK103/CK105</f>
        <v>1.8501180173092053</v>
      </c>
      <c r="CL104" s="27">
        <f t="shared" si="248"/>
        <v>1.6208791208791209</v>
      </c>
      <c r="CM104" s="27">
        <f t="shared" si="248"/>
        <v>1.3986671893375147</v>
      </c>
      <c r="CN104" s="27">
        <f t="shared" si="248"/>
        <v>1.947617172115006</v>
      </c>
      <c r="CO104" s="27">
        <f t="shared" si="248"/>
        <v>2.1335428122545168</v>
      </c>
      <c r="CP104" s="27">
        <f t="shared" si="248"/>
        <v>2.1977891827872087</v>
      </c>
      <c r="CQ104" s="27">
        <f t="shared" si="248"/>
        <v>2.0770440251572326</v>
      </c>
      <c r="CR104" s="27">
        <f t="shared" si="248"/>
        <v>2.2857704402515724</v>
      </c>
      <c r="CS104" s="27">
        <f t="shared" si="248"/>
        <v>1.5682802046438411</v>
      </c>
      <c r="CT104" s="27">
        <f t="shared" si="248"/>
        <v>1.7232952305873079</v>
      </c>
      <c r="CU104" s="27">
        <f t="shared" ref="CU104:CX104" si="249">+CU103/CU105</f>
        <v>0</v>
      </c>
      <c r="CV104" s="27">
        <f t="shared" si="249"/>
        <v>0</v>
      </c>
      <c r="CW104" s="27">
        <f t="shared" si="249"/>
        <v>0</v>
      </c>
      <c r="CX104" s="27">
        <f t="shared" si="249"/>
        <v>0</v>
      </c>
      <c r="CY104" s="27"/>
      <c r="CZ104" s="27"/>
      <c r="DA104" s="47"/>
      <c r="DB104" s="27">
        <f>SUM(C104:F104)</f>
        <v>3.0387915018021863</v>
      </c>
      <c r="DC104" s="27">
        <f t="shared" ref="DC104:DG104" si="250">ROUND(DC103/DC105,2)</f>
        <v>-5.45</v>
      </c>
      <c r="DD104" s="27">
        <f t="shared" si="250"/>
        <v>-5.87</v>
      </c>
      <c r="DE104" s="27">
        <f t="shared" si="250"/>
        <v>-5.18</v>
      </c>
      <c r="DF104" s="27">
        <f t="shared" si="250"/>
        <v>-4.9800000000000004</v>
      </c>
      <c r="DG104" s="27">
        <f t="shared" si="250"/>
        <v>-5.08</v>
      </c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>
        <f t="shared" ref="DV104:EA104" si="251">ROUND(DV103/DV105,2)</f>
        <v>5.7</v>
      </c>
      <c r="DW104" s="27">
        <f t="shared" si="251"/>
        <v>7.76</v>
      </c>
      <c r="DX104" s="27">
        <f t="shared" si="251"/>
        <v>7.9</v>
      </c>
      <c r="DY104" s="27">
        <f t="shared" si="251"/>
        <v>6.53</v>
      </c>
      <c r="DZ104" s="27">
        <f t="shared" si="251"/>
        <v>12.12</v>
      </c>
      <c r="EA104" s="27">
        <f t="shared" si="251"/>
        <v>12.13</v>
      </c>
      <c r="EB104" s="27">
        <f t="shared" ref="EB104:EJ104" si="252">ROUND(EB103/EB105,2)</f>
        <v>10.61</v>
      </c>
      <c r="EC104" s="27">
        <f t="shared" si="252"/>
        <v>9.4</v>
      </c>
      <c r="ED104" s="27">
        <f t="shared" si="252"/>
        <v>8.0299999999999994</v>
      </c>
      <c r="EE104" s="27">
        <f t="shared" si="252"/>
        <v>6.78</v>
      </c>
      <c r="EF104" s="27">
        <f t="shared" si="252"/>
        <v>6.24</v>
      </c>
      <c r="EG104" s="27">
        <f t="shared" si="252"/>
        <v>5.89</v>
      </c>
      <c r="EH104" s="27">
        <f t="shared" si="252"/>
        <v>5.58</v>
      </c>
      <c r="EI104" s="27">
        <f t="shared" si="252"/>
        <v>5.35</v>
      </c>
      <c r="EJ104" s="27">
        <f t="shared" si="252"/>
        <v>5.26</v>
      </c>
    </row>
    <row r="105" spans="2:250" s="81" customFormat="1" ht="12.75" customHeight="1">
      <c r="B105" s="98" t="s">
        <v>326</v>
      </c>
      <c r="C105" s="91">
        <v>2345.9</v>
      </c>
      <c r="D105" s="91">
        <v>2328.1999999999998</v>
      </c>
      <c r="E105" s="91">
        <v>2312.4</v>
      </c>
      <c r="F105" s="91">
        <v>2301</v>
      </c>
      <c r="G105" s="91">
        <v>2294.8000000000002</v>
      </c>
      <c r="H105" s="91">
        <v>2282.8000000000002</v>
      </c>
      <c r="I105" s="91">
        <v>2265.9</v>
      </c>
      <c r="J105" s="91">
        <v>2264.1</v>
      </c>
      <c r="K105" s="91">
        <v>2262.1</v>
      </c>
      <c r="L105" s="91">
        <v>2261.1</v>
      </c>
      <c r="M105" s="91">
        <v>2253.9</v>
      </c>
      <c r="N105" s="91">
        <v>2236.6</v>
      </c>
      <c r="O105" s="91">
        <v>2232.5</v>
      </c>
      <c r="P105" s="91">
        <v>2230.1</v>
      </c>
      <c r="Q105" s="91">
        <v>2226.1999999999998</v>
      </c>
      <c r="R105" s="91">
        <v>2217.5</v>
      </c>
      <c r="S105" s="91">
        <v>2210.4</v>
      </c>
      <c r="T105" s="91">
        <v>2206.1</v>
      </c>
      <c r="U105" s="91">
        <v>2197</v>
      </c>
      <c r="V105" s="91">
        <v>2188.6999999999998</v>
      </c>
      <c r="W105" s="91">
        <v>2190.5</v>
      </c>
      <c r="X105" s="91">
        <v>2187.6999999999998</v>
      </c>
      <c r="Y105" s="91">
        <v>2185.6999999999998</v>
      </c>
      <c r="Z105" s="91">
        <v>2184.6</v>
      </c>
      <c r="AA105" s="91">
        <v>2180</v>
      </c>
      <c r="AB105" s="91">
        <v>2189.1999999999998</v>
      </c>
      <c r="AC105" s="91">
        <v>2192.8000000000002</v>
      </c>
      <c r="AD105" s="91"/>
      <c r="AE105" s="91">
        <v>2174.6999999999998</v>
      </c>
      <c r="AF105" s="91">
        <v>2154.3000000000002</v>
      </c>
      <c r="AG105" s="91">
        <v>2135.6</v>
      </c>
      <c r="AH105" s="91">
        <v>2110.9</v>
      </c>
      <c r="AI105" s="91">
        <v>2109.1999999999998</v>
      </c>
      <c r="AJ105" s="91">
        <v>2110</v>
      </c>
      <c r="AK105" s="91">
        <v>2113.6999999999998</v>
      </c>
      <c r="AL105" s="91">
        <v>2752.8</v>
      </c>
      <c r="AM105" s="91">
        <v>3141</v>
      </c>
      <c r="AN105" s="91">
        <v>3125.5</v>
      </c>
      <c r="AO105" s="91">
        <v>3101.6</v>
      </c>
      <c r="AP105" s="91">
        <v>3106</v>
      </c>
      <c r="AQ105" s="91">
        <v>3104</v>
      </c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>
        <v>2538</v>
      </c>
      <c r="CD105" s="91">
        <v>2541</v>
      </c>
      <c r="CE105" s="91">
        <v>2541</v>
      </c>
      <c r="CF105" s="91">
        <v>2540</v>
      </c>
      <c r="CG105" s="91">
        <v>2536</v>
      </c>
      <c r="CH105" s="91">
        <v>2535</v>
      </c>
      <c r="CI105" s="91">
        <v>2537</v>
      </c>
      <c r="CJ105" s="91">
        <v>2540</v>
      </c>
      <c r="CK105" s="91">
        <v>2542</v>
      </c>
      <c r="CL105" s="91">
        <v>2548</v>
      </c>
      <c r="CM105" s="91">
        <v>2551</v>
      </c>
      <c r="CN105" s="91">
        <v>2539</v>
      </c>
      <c r="CO105" s="91">
        <v>2546</v>
      </c>
      <c r="CP105" s="91">
        <v>2533</v>
      </c>
      <c r="CQ105" s="91">
        <v>2544</v>
      </c>
      <c r="CR105" s="91">
        <v>2544</v>
      </c>
      <c r="CS105" s="91">
        <v>2541</v>
      </c>
      <c r="CT105" s="91">
        <v>2537</v>
      </c>
      <c r="CU105" s="91">
        <f t="shared" ref="CU105:CX105" si="253">+CT105</f>
        <v>2537</v>
      </c>
      <c r="CV105" s="91">
        <f t="shared" si="253"/>
        <v>2537</v>
      </c>
      <c r="CW105" s="91">
        <f t="shared" si="253"/>
        <v>2537</v>
      </c>
      <c r="CX105" s="91">
        <f t="shared" si="253"/>
        <v>2537</v>
      </c>
      <c r="CY105" s="91"/>
      <c r="CZ105" s="91"/>
      <c r="DA105" s="73"/>
      <c r="DB105" s="92">
        <v>2321.875</v>
      </c>
      <c r="DC105" s="92">
        <v>2277</v>
      </c>
      <c r="DD105" s="92">
        <f>SUM(K105:N105)/4-0.3</f>
        <v>2253.125</v>
      </c>
      <c r="DE105" s="92">
        <f>SUM(O105:R105)/4</f>
        <v>2226.5749999999998</v>
      </c>
      <c r="DF105" s="92">
        <f>SUM(S105:V105)/4</f>
        <v>2200.5500000000002</v>
      </c>
      <c r="DG105" s="92">
        <f>AVERAGE(W105:Z105)</f>
        <v>2187.125</v>
      </c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  <c r="DT105" s="92"/>
      <c r="DU105" s="92"/>
      <c r="DV105" s="92">
        <f>AVERAGE(CE105:CH105)</f>
        <v>2538</v>
      </c>
      <c r="DW105" s="92">
        <f>AVERAGE(CI105:CL105)</f>
        <v>2541.75</v>
      </c>
      <c r="DX105" s="92">
        <f>AVERAGE(CM105:CP105)</f>
        <v>2542.25</v>
      </c>
      <c r="DY105" s="92">
        <f t="shared" ref="DY105:EA105" si="254">+DX105</f>
        <v>2542.25</v>
      </c>
      <c r="DZ105" s="92">
        <f t="shared" si="254"/>
        <v>2542.25</v>
      </c>
      <c r="EA105" s="92">
        <f t="shared" si="254"/>
        <v>2542.25</v>
      </c>
      <c r="EB105" s="92">
        <f t="shared" ref="EB105" si="255">+EA105</f>
        <v>2542.25</v>
      </c>
      <c r="EC105" s="92">
        <f t="shared" ref="EC105" si="256">+EB105</f>
        <v>2542.25</v>
      </c>
      <c r="ED105" s="92">
        <f t="shared" ref="ED105" si="257">+EC105</f>
        <v>2542.25</v>
      </c>
      <c r="EE105" s="92">
        <f t="shared" ref="EE105" si="258">+ED105</f>
        <v>2542.25</v>
      </c>
      <c r="EF105" s="92">
        <f t="shared" ref="EF105" si="259">+EE105</f>
        <v>2542.25</v>
      </c>
      <c r="EG105" s="92">
        <f t="shared" ref="EG105" si="260">+EF105</f>
        <v>2542.25</v>
      </c>
      <c r="EH105" s="92">
        <f t="shared" ref="EH105" si="261">+EG105</f>
        <v>2542.25</v>
      </c>
      <c r="EI105" s="92">
        <f t="shared" ref="EI105" si="262">+EH105</f>
        <v>2542.25</v>
      </c>
      <c r="EJ105" s="92">
        <f t="shared" ref="EJ105" si="263">+EI105</f>
        <v>2542.25</v>
      </c>
    </row>
    <row r="106" spans="2:250" s="81" customFormat="1" ht="12.75" customHeight="1">
      <c r="B106" s="34"/>
      <c r="C106" s="9"/>
      <c r="D106" s="9"/>
      <c r="E106" s="9"/>
      <c r="F106" s="9"/>
      <c r="G106" s="3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92"/>
      <c r="Z106" s="24"/>
      <c r="AA106" s="92"/>
      <c r="AB106" s="24"/>
      <c r="AC106" s="28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73"/>
      <c r="DB106" s="9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C106" s="85"/>
    </row>
    <row r="107" spans="2:250" s="101" customFormat="1" ht="12.75" customHeight="1">
      <c r="B107" s="102" t="s">
        <v>380</v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4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>
        <f t="shared" ref="CC107:CP107" si="264">+CC89/CC87</f>
        <v>0.76466282368011707</v>
      </c>
      <c r="CD107" s="103">
        <f t="shared" si="264"/>
        <v>0.78112513984337539</v>
      </c>
      <c r="CE107" s="103">
        <f t="shared" si="264"/>
        <v>0.76597346381857534</v>
      </c>
      <c r="CF107" s="103">
        <f t="shared" si="264"/>
        <v>0.76460270128047714</v>
      </c>
      <c r="CG107" s="103">
        <f t="shared" si="264"/>
        <v>0.76767523186863307</v>
      </c>
      <c r="CH107" s="103">
        <f t="shared" si="264"/>
        <v>0.74772575992899937</v>
      </c>
      <c r="CI107" s="103">
        <f t="shared" si="264"/>
        <v>0.7073140054084649</v>
      </c>
      <c r="CJ107" s="103">
        <f t="shared" si="264"/>
        <v>0.74659083122044811</v>
      </c>
      <c r="CK107" s="103">
        <f t="shared" si="264"/>
        <v>0.77043920048131564</v>
      </c>
      <c r="CL107" s="103">
        <f t="shared" si="264"/>
        <v>0.75697758496023138</v>
      </c>
      <c r="CM107" s="103">
        <f t="shared" si="264"/>
        <v>0.76862014219645203</v>
      </c>
      <c r="CN107" s="103">
        <f t="shared" si="264"/>
        <v>0.76554705686730962</v>
      </c>
      <c r="CO107" s="103">
        <f t="shared" si="264"/>
        <v>0.76951509835860166</v>
      </c>
      <c r="CP107" s="103">
        <f t="shared" si="264"/>
        <v>0.771701982228298</v>
      </c>
      <c r="CQ107" s="103">
        <f t="shared" ref="CQ107" si="265">+CQ89/CQ87</f>
        <v>0.81229793977812992</v>
      </c>
      <c r="CR107" s="103">
        <f t="shared" ref="CR107:CS107" si="266">+CR89/CR87</f>
        <v>0.80927259185700096</v>
      </c>
      <c r="CS107" s="103">
        <f t="shared" si="266"/>
        <v>0.80494686918412683</v>
      </c>
      <c r="CT107" s="103">
        <f t="shared" ref="CT107:CX107" si="267">+CT89/CT87</f>
        <v>0.80760368663594473</v>
      </c>
      <c r="CU107" s="103">
        <f t="shared" si="267"/>
        <v>0</v>
      </c>
      <c r="CV107" s="103">
        <f t="shared" si="267"/>
        <v>0</v>
      </c>
      <c r="CW107" s="103">
        <f t="shared" si="267"/>
        <v>0</v>
      </c>
      <c r="CX107" s="103">
        <f t="shared" si="267"/>
        <v>0</v>
      </c>
      <c r="CY107" s="103"/>
      <c r="CZ107" s="103"/>
      <c r="DA107" s="105"/>
      <c r="DB107" s="103"/>
      <c r="DC107" s="103"/>
      <c r="DD107" s="103"/>
      <c r="DE107" s="103"/>
      <c r="DF107" s="103"/>
      <c r="DG107" s="103"/>
      <c r="DH107" s="103"/>
      <c r="DI107" s="103"/>
      <c r="DJ107" s="103"/>
      <c r="DK107" s="103">
        <f>DK89/DK87</f>
        <v>0</v>
      </c>
      <c r="DL107" s="103">
        <v>0.749</v>
      </c>
      <c r="DM107" s="103"/>
      <c r="DN107" s="103"/>
      <c r="DO107" s="103"/>
      <c r="DP107" s="103"/>
      <c r="DQ107" s="103"/>
      <c r="DR107" s="103"/>
      <c r="DS107" s="103"/>
      <c r="DT107" s="103"/>
      <c r="DU107" s="103"/>
      <c r="DV107" s="103"/>
      <c r="DW107" s="103">
        <f>DW89/DW87</f>
        <v>0.74449673599514199</v>
      </c>
      <c r="DX107" s="103">
        <f t="shared" ref="DX107:EJ107" si="268">DX89/DX87</f>
        <v>0.76903131440728678</v>
      </c>
      <c r="DY107" s="103">
        <f t="shared" si="268"/>
        <v>0.8</v>
      </c>
      <c r="DZ107" s="103">
        <f t="shared" si="268"/>
        <v>0.8</v>
      </c>
      <c r="EA107" s="103">
        <f t="shared" si="268"/>
        <v>0.8</v>
      </c>
      <c r="EB107" s="103">
        <f t="shared" si="268"/>
        <v>0.8</v>
      </c>
      <c r="EC107" s="103">
        <f t="shared" si="268"/>
        <v>0.8</v>
      </c>
      <c r="ED107" s="103">
        <f t="shared" si="268"/>
        <v>0.8</v>
      </c>
      <c r="EE107" s="103">
        <f t="shared" si="268"/>
        <v>0.8</v>
      </c>
      <c r="EF107" s="103">
        <f t="shared" si="268"/>
        <v>0.8</v>
      </c>
      <c r="EG107" s="103">
        <f t="shared" si="268"/>
        <v>0.8</v>
      </c>
      <c r="EH107" s="103">
        <f t="shared" si="268"/>
        <v>0.8</v>
      </c>
      <c r="EI107" s="103">
        <f t="shared" si="268"/>
        <v>0.8</v>
      </c>
      <c r="EJ107" s="103">
        <f t="shared" si="268"/>
        <v>0.8</v>
      </c>
      <c r="EL107" s="81" t="s">
        <v>645</v>
      </c>
      <c r="EM107" s="100">
        <v>0.01</v>
      </c>
    </row>
    <row r="108" spans="2:250" s="101" customFormat="1" ht="12.75" customHeight="1">
      <c r="B108" s="102" t="s">
        <v>378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4"/>
      <c r="Z108" s="103" t="e">
        <f>Z90/#REF!</f>
        <v>#REF!</v>
      </c>
      <c r="AA108" s="103" t="e">
        <f>AA90/#REF!</f>
        <v>#REF!</v>
      </c>
      <c r="AB108" s="103" t="e">
        <f>AB90/#REF!</f>
        <v>#REF!</v>
      </c>
      <c r="AC108" s="103" t="e">
        <f>AC90/#REF!</f>
        <v>#REF!</v>
      </c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>
        <f t="shared" ref="CC108:CP108" si="269">+CC90/CC87</f>
        <v>0.18482935309726417</v>
      </c>
      <c r="CD108" s="103">
        <f t="shared" si="269"/>
        <v>0.20513025411539076</v>
      </c>
      <c r="CE108" s="103">
        <f t="shared" si="269"/>
        <v>0.20457325679872024</v>
      </c>
      <c r="CF108" s="103">
        <f t="shared" si="269"/>
        <v>0.19768461673390633</v>
      </c>
      <c r="CG108" s="103">
        <f t="shared" si="269"/>
        <v>0.17257108103998783</v>
      </c>
      <c r="CH108" s="103">
        <f t="shared" si="269"/>
        <v>0.19184971525774722</v>
      </c>
      <c r="CI108" s="103">
        <f t="shared" si="269"/>
        <v>0.14162631281051505</v>
      </c>
      <c r="CJ108" s="103">
        <f t="shared" si="269"/>
        <v>0.16583293359830056</v>
      </c>
      <c r="CK108" s="103">
        <f t="shared" si="269"/>
        <v>0.16525168794705528</v>
      </c>
      <c r="CL108" s="103">
        <f t="shared" si="269"/>
        <v>0.19002169197396962</v>
      </c>
      <c r="CM108" s="103">
        <f t="shared" si="269"/>
        <v>0.16966935873541797</v>
      </c>
      <c r="CN108" s="103">
        <f t="shared" si="269"/>
        <v>0.17459261722647157</v>
      </c>
      <c r="CO108" s="103">
        <f t="shared" si="269"/>
        <v>0.15424132314246336</v>
      </c>
      <c r="CP108" s="103">
        <f t="shared" si="269"/>
        <v>0.18803827751196173</v>
      </c>
      <c r="CQ108" s="103">
        <f t="shared" ref="CQ108:CR108" si="270">+CQ90/CQ87</f>
        <v>0.15575277337559429</v>
      </c>
      <c r="CR108" s="103">
        <f t="shared" si="270"/>
        <v>0.16658391261171798</v>
      </c>
      <c r="CS108" s="103">
        <f t="shared" ref="CS108:CX108" si="271">+CS90/CS87</f>
        <v>0.15951251726001081</v>
      </c>
      <c r="CT108" s="103">
        <f t="shared" si="271"/>
        <v>0.18042754736303124</v>
      </c>
      <c r="CU108" s="103">
        <f t="shared" si="271"/>
        <v>0</v>
      </c>
      <c r="CV108" s="103">
        <f t="shared" si="271"/>
        <v>0</v>
      </c>
      <c r="CW108" s="103">
        <f t="shared" si="271"/>
        <v>0</v>
      </c>
      <c r="CX108" s="103">
        <f t="shared" si="271"/>
        <v>0</v>
      </c>
      <c r="CY108" s="103"/>
      <c r="CZ108" s="103"/>
      <c r="DA108" s="105"/>
      <c r="DB108" s="103">
        <f>DB90/DB$87</f>
        <v>0.26890891079767915</v>
      </c>
      <c r="DC108" s="103"/>
      <c r="DD108" s="103"/>
      <c r="DE108" s="103">
        <f>DE90/DE$87</f>
        <v>0.54751105289012614</v>
      </c>
      <c r="DF108" s="103"/>
      <c r="DG108" s="103"/>
      <c r="DH108" s="103"/>
      <c r="DI108" s="103"/>
      <c r="DJ108" s="103"/>
      <c r="DK108" s="103">
        <f>DK90/DK87</f>
        <v>0.27632087558904644</v>
      </c>
      <c r="DL108" s="103">
        <v>0.27700000000000002</v>
      </c>
      <c r="DM108" s="103">
        <v>0.27500000000000002</v>
      </c>
      <c r="DN108" s="103">
        <v>0.27200000000000002</v>
      </c>
      <c r="DO108" s="103">
        <v>0.27</v>
      </c>
      <c r="DP108" s="103">
        <v>0.27</v>
      </c>
      <c r="DQ108" s="103">
        <v>0.27</v>
      </c>
      <c r="DR108" s="103">
        <v>0.27</v>
      </c>
      <c r="DS108" s="103">
        <v>0.27</v>
      </c>
      <c r="DT108" s="103">
        <v>0.27</v>
      </c>
      <c r="DU108" s="103"/>
      <c r="DV108" s="103"/>
      <c r="DW108" s="103"/>
      <c r="DX108" s="103"/>
      <c r="DY108" s="103"/>
      <c r="DZ108" s="103"/>
      <c r="EA108" s="103"/>
      <c r="EC108" s="106"/>
      <c r="EL108" s="101" t="s">
        <v>435</v>
      </c>
      <c r="EM108" s="106">
        <v>-0.01</v>
      </c>
    </row>
    <row r="109" spans="2:250" s="101" customFormat="1" ht="12.75" customHeight="1">
      <c r="B109" s="102" t="s">
        <v>379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4"/>
      <c r="Z109" s="103" t="e">
        <f>Z91/#REF!</f>
        <v>#REF!</v>
      </c>
      <c r="AA109" s="103" t="e">
        <f>AA91/#REF!</f>
        <v>#REF!</v>
      </c>
      <c r="AB109" s="103" t="e">
        <f>AB91/#REF!</f>
        <v>#REF!</v>
      </c>
      <c r="AC109" s="103" t="e">
        <f>AC91/#REF!</f>
        <v>#REF!</v>
      </c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>
        <f t="shared" ref="CC109:CP109" si="272">+CC91/CC87</f>
        <v>0.20395278616524842</v>
      </c>
      <c r="CD109" s="103">
        <f t="shared" si="272"/>
        <v>0.20736774812210323</v>
      </c>
      <c r="CE109" s="103">
        <f t="shared" si="272"/>
        <v>0.22461654276842005</v>
      </c>
      <c r="CF109" s="103">
        <f t="shared" si="272"/>
        <v>0.37703911594457112</v>
      </c>
      <c r="CG109" s="103">
        <f t="shared" si="272"/>
        <v>0.18823171658811008</v>
      </c>
      <c r="CH109" s="103">
        <f t="shared" si="272"/>
        <v>0.19828415058057836</v>
      </c>
      <c r="CI109" s="103">
        <f t="shared" si="272"/>
        <v>0.16017860511917489</v>
      </c>
      <c r="CJ109" s="103">
        <f t="shared" si="272"/>
        <v>0.18940587953128213</v>
      </c>
      <c r="CK109" s="103">
        <f t="shared" si="272"/>
        <v>0.23370546159502639</v>
      </c>
      <c r="CL109" s="103">
        <f t="shared" si="272"/>
        <v>0.21945046999276935</v>
      </c>
      <c r="CM109" s="103">
        <f t="shared" si="272"/>
        <v>0.29447090494926487</v>
      </c>
      <c r="CN109" s="103">
        <f t="shared" si="272"/>
        <v>0.20691719321582974</v>
      </c>
      <c r="CO109" s="103">
        <f t="shared" si="272"/>
        <v>0.20655306352587396</v>
      </c>
      <c r="CP109" s="103">
        <f t="shared" si="272"/>
        <v>0.22816131237183868</v>
      </c>
      <c r="CQ109" s="103">
        <f t="shared" ref="CQ109:CR109" si="273">+CQ91/CQ87</f>
        <v>0.25191759112519813</v>
      </c>
      <c r="CR109" s="103">
        <f t="shared" si="273"/>
        <v>0.21598808341608738</v>
      </c>
      <c r="CS109" s="103">
        <f t="shared" ref="CS109:CX109" si="274">+CS91/CS87</f>
        <v>0.35048328030257547</v>
      </c>
      <c r="CT109" s="103">
        <f t="shared" si="274"/>
        <v>0.29275473630312338</v>
      </c>
      <c r="CU109" s="103">
        <f t="shared" si="274"/>
        <v>0</v>
      </c>
      <c r="CV109" s="103">
        <f t="shared" si="274"/>
        <v>0</v>
      </c>
      <c r="CW109" s="103">
        <f t="shared" si="274"/>
        <v>0</v>
      </c>
      <c r="CX109" s="103">
        <f t="shared" si="274"/>
        <v>0</v>
      </c>
      <c r="CY109" s="103"/>
      <c r="CZ109" s="103"/>
      <c r="DA109" s="105"/>
      <c r="DB109" s="103">
        <f>DB91/DB$87</f>
        <v>0.11587339025425727</v>
      </c>
      <c r="DC109" s="103"/>
      <c r="DD109" s="103"/>
      <c r="DE109" s="103">
        <f>DE91/DE$87</f>
        <v>0.30540363517275254</v>
      </c>
      <c r="DF109" s="103"/>
      <c r="DG109" s="103"/>
      <c r="DH109" s="103"/>
      <c r="DI109" s="103"/>
      <c r="DJ109" s="103"/>
      <c r="DK109" s="103">
        <f>DK91/DK87</f>
        <v>0.17637950878412126</v>
      </c>
      <c r="DL109" s="103">
        <v>0.19</v>
      </c>
      <c r="DM109" s="103">
        <v>0.185</v>
      </c>
      <c r="DN109" s="103">
        <v>0.18</v>
      </c>
      <c r="DO109" s="103">
        <v>0.18</v>
      </c>
      <c r="DP109" s="103">
        <v>0.17499999999999999</v>
      </c>
      <c r="DQ109" s="103">
        <v>0.17499999999999999</v>
      </c>
      <c r="DR109" s="103">
        <v>0.17</v>
      </c>
      <c r="DS109" s="103">
        <v>0.17</v>
      </c>
      <c r="DT109" s="103">
        <v>0.17</v>
      </c>
      <c r="DU109" s="103"/>
      <c r="DV109" s="103"/>
      <c r="DW109" s="103"/>
      <c r="DX109" s="103"/>
      <c r="DY109" s="103"/>
      <c r="DZ109" s="103"/>
      <c r="EA109" s="103"/>
      <c r="EC109" s="106"/>
      <c r="EL109" s="101" t="s">
        <v>436</v>
      </c>
      <c r="EM109" s="106">
        <v>7.0000000000000007E-2</v>
      </c>
    </row>
    <row r="110" spans="2:250" s="101" customFormat="1" ht="12.75" customHeight="1">
      <c r="B110" s="102" t="s">
        <v>74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4"/>
      <c r="Z110" s="103" t="e">
        <f>Z93/#REF!</f>
        <v>#REF!</v>
      </c>
      <c r="AA110" s="103" t="e">
        <f>AA93/#REF!</f>
        <v>#REF!</v>
      </c>
      <c r="AB110" s="103" t="e">
        <f>AB93/#REF!</f>
        <v>#REF!</v>
      </c>
      <c r="AC110" s="103" t="e">
        <f>AC93/#REF!</f>
        <v>#REF!</v>
      </c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>
        <f t="shared" ref="CC110:CP110" si="275">+CC93/CC87</f>
        <v>0.37588068441760453</v>
      </c>
      <c r="CD110" s="103">
        <f t="shared" si="275"/>
        <v>0.36862713760588139</v>
      </c>
      <c r="CE110" s="103">
        <f t="shared" si="275"/>
        <v>0.33678366425143502</v>
      </c>
      <c r="CF110" s="103">
        <f t="shared" si="275"/>
        <v>0.18987896860199965</v>
      </c>
      <c r="CG110" s="103">
        <f t="shared" si="275"/>
        <v>0.40687243424053521</v>
      </c>
      <c r="CH110" s="103">
        <f t="shared" si="275"/>
        <v>0.35759189409067377</v>
      </c>
      <c r="CI110" s="103">
        <f t="shared" si="275"/>
        <v>0.4055090874787749</v>
      </c>
      <c r="CJ110" s="103">
        <f t="shared" si="275"/>
        <v>0.39135201809086551</v>
      </c>
      <c r="CK110" s="103">
        <f t="shared" si="275"/>
        <v>0.37148205093923392</v>
      </c>
      <c r="CL110" s="103">
        <f t="shared" si="275"/>
        <v>0.34750542299349241</v>
      </c>
      <c r="CM110" s="103">
        <f t="shared" si="275"/>
        <v>0.30447987851176916</v>
      </c>
      <c r="CN110" s="103">
        <f t="shared" si="275"/>
        <v>0.38403724642500831</v>
      </c>
      <c r="CO110" s="103">
        <f t="shared" si="275"/>
        <v>0.40872071169026436</v>
      </c>
      <c r="CP110" s="103">
        <f t="shared" si="275"/>
        <v>0.3555023923444976</v>
      </c>
      <c r="CQ110" s="103">
        <f t="shared" ref="CQ110:CR110" si="276">+CQ93/CQ87</f>
        <v>0.40462757527733756</v>
      </c>
      <c r="CR110" s="103">
        <f t="shared" si="276"/>
        <v>0.42670059582919562</v>
      </c>
      <c r="CS110" s="103">
        <f t="shared" ref="CS110:CX110" si="277">+CS93/CS87</f>
        <v>0.29495107162154049</v>
      </c>
      <c r="CT110" s="103">
        <f t="shared" si="277"/>
        <v>0.33442140296979006</v>
      </c>
      <c r="CU110" s="103">
        <f t="shared" si="277"/>
        <v>0</v>
      </c>
      <c r="CV110" s="103">
        <f t="shared" si="277"/>
        <v>0</v>
      </c>
      <c r="CW110" s="103">
        <f t="shared" si="277"/>
        <v>0</v>
      </c>
      <c r="CX110" s="103">
        <f t="shared" si="277"/>
        <v>0</v>
      </c>
      <c r="CY110" s="103"/>
      <c r="CZ110" s="103"/>
      <c r="DA110" s="105"/>
      <c r="DB110" s="103">
        <f>DB93/DB$87</f>
        <v>0.44422850134440306</v>
      </c>
      <c r="DC110" s="103"/>
      <c r="DD110" s="103"/>
      <c r="DE110" s="103">
        <f>DE93/DE$87</f>
        <v>-0.85291468806287862</v>
      </c>
      <c r="DF110" s="103">
        <f>DF93/DF$87</f>
        <v>-0.91469105204683354</v>
      </c>
      <c r="DG110" s="103"/>
      <c r="DH110" s="103"/>
      <c r="DI110" s="103"/>
      <c r="DJ110" s="103"/>
      <c r="DK110" s="103">
        <f t="shared" ref="DK110:DT110" si="278">DK93/DK87</f>
        <v>-0.45270038437316773</v>
      </c>
      <c r="DL110" s="103">
        <f t="shared" si="278"/>
        <v>0.30654966031759273</v>
      </c>
      <c r="DM110" s="103">
        <f t="shared" si="278"/>
        <v>-0.27500000000000002</v>
      </c>
      <c r="DN110" s="103">
        <f t="shared" si="278"/>
        <v>-0.27200000000000002</v>
      </c>
      <c r="DO110" s="103">
        <f t="shared" si="278"/>
        <v>-0.27</v>
      </c>
      <c r="DP110" s="103">
        <f t="shared" si="278"/>
        <v>-0.27</v>
      </c>
      <c r="DQ110" s="103">
        <f t="shared" si="278"/>
        <v>-0.27</v>
      </c>
      <c r="DR110" s="103">
        <f t="shared" si="278"/>
        <v>-0.27</v>
      </c>
      <c r="DS110" s="103">
        <f t="shared" si="278"/>
        <v>-0.27</v>
      </c>
      <c r="DT110" s="103">
        <f t="shared" si="278"/>
        <v>-0.27</v>
      </c>
      <c r="DU110" s="103"/>
      <c r="DV110" s="103"/>
      <c r="DW110" s="103"/>
      <c r="DX110" s="103"/>
      <c r="DY110" s="103"/>
      <c r="DZ110" s="103"/>
      <c r="EA110" s="103"/>
      <c r="EC110" s="106"/>
      <c r="EL110" s="101" t="s">
        <v>437</v>
      </c>
      <c r="EM110" s="85">
        <f>NPV($EM$109,EA103:HC103)+Main!J5-Main!J6+DZ103</f>
        <v>233657.48805066073</v>
      </c>
    </row>
    <row r="111" spans="2:250" s="101" customFormat="1" ht="12.75" customHeight="1">
      <c r="B111" s="102" t="s">
        <v>75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4"/>
      <c r="Z111" s="103" t="e">
        <f>Z101/#REF!</f>
        <v>#REF!</v>
      </c>
      <c r="AA111" s="103" t="e">
        <f>AA101/#REF!</f>
        <v>#REF!</v>
      </c>
      <c r="AB111" s="103" t="e">
        <f>AB101/#REF!</f>
        <v>#REF!</v>
      </c>
      <c r="AC111" s="103" t="e">
        <f>AC101/#REF!</f>
        <v>#REF!</v>
      </c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5"/>
      <c r="DB111" s="103">
        <f>DB101/DB$87</f>
        <v>0.41918533893108173</v>
      </c>
      <c r="DC111" s="103"/>
      <c r="DD111" s="103"/>
      <c r="DE111" s="103">
        <f>DE101/DE$87</f>
        <v>-0.76792205665629598</v>
      </c>
      <c r="DF111" s="103"/>
      <c r="DG111" s="103"/>
      <c r="DH111" s="103"/>
      <c r="DI111" s="103"/>
      <c r="DJ111" s="103"/>
      <c r="DK111" s="103">
        <f>DK101/DK87</f>
        <v>-0.45688505722165523</v>
      </c>
      <c r="DL111" s="103"/>
      <c r="DM111" s="103"/>
      <c r="DN111" s="103"/>
      <c r="DO111" s="103"/>
      <c r="DP111" s="103"/>
      <c r="DQ111" s="103"/>
      <c r="DR111" s="103"/>
      <c r="DS111" s="103"/>
      <c r="DT111" s="103"/>
      <c r="DU111" s="103"/>
      <c r="DV111" s="103"/>
      <c r="DW111" s="103"/>
      <c r="DX111" s="103"/>
      <c r="DY111" s="103"/>
      <c r="DZ111" s="103"/>
      <c r="EA111" s="103"/>
      <c r="EC111" s="106"/>
      <c r="EL111" s="101" t="s">
        <v>777</v>
      </c>
      <c r="EM111" s="107">
        <f>EM110/Main!J3</f>
        <v>91.846496875259717</v>
      </c>
    </row>
    <row r="112" spans="2:250" s="101" customFormat="1" ht="12.75" customHeight="1">
      <c r="B112" s="102" t="s">
        <v>76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4"/>
      <c r="Z112" s="103" t="e">
        <f>Z103/#REF!</f>
        <v>#REF!</v>
      </c>
      <c r="AA112" s="103" t="e">
        <f>AA103/#REF!</f>
        <v>#REF!</v>
      </c>
      <c r="AB112" s="103" t="e">
        <f>AB103/#REF!</f>
        <v>#REF!</v>
      </c>
      <c r="AC112" s="103" t="e">
        <f>AC103/#REF!</f>
        <v>#REF!</v>
      </c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>
        <f t="shared" ref="CC112:CP112" si="279">+CC103/CC87</f>
        <v>0.31915088297190958</v>
      </c>
      <c r="CD112" s="103">
        <f t="shared" si="279"/>
        <v>0.32451654147354964</v>
      </c>
      <c r="CE112" s="103">
        <f t="shared" si="279"/>
        <v>0.27768890561776605</v>
      </c>
      <c r="CF112" s="103">
        <f t="shared" si="279"/>
        <v>0.13681810208735309</v>
      </c>
      <c r="CG112" s="103">
        <f t="shared" si="279"/>
        <v>0.3377679793218793</v>
      </c>
      <c r="CH112" s="103">
        <f t="shared" si="279"/>
        <v>0.33865838325567638</v>
      </c>
      <c r="CI112" s="103">
        <f t="shared" si="279"/>
        <v>0.34123640022640084</v>
      </c>
      <c r="CJ112" s="103">
        <f t="shared" si="279"/>
        <v>0.32536147467964094</v>
      </c>
      <c r="CK112" s="103">
        <f t="shared" si="279"/>
        <v>0.31439267330703924</v>
      </c>
      <c r="CL112" s="103">
        <f t="shared" si="279"/>
        <v>0.29862617498192334</v>
      </c>
      <c r="CM112" s="103">
        <f t="shared" si="279"/>
        <v>0.24628977704148547</v>
      </c>
      <c r="CN112" s="103">
        <f t="shared" si="279"/>
        <v>0.32889923511805785</v>
      </c>
      <c r="CO112" s="103">
        <f t="shared" si="279"/>
        <v>0.34030823205112143</v>
      </c>
      <c r="CP112" s="103">
        <f t="shared" si="279"/>
        <v>0.38051948051948054</v>
      </c>
      <c r="CQ112" s="103">
        <f t="shared" ref="CQ112:CR112" si="280">+CQ103/CQ87</f>
        <v>0.33496038034865294</v>
      </c>
      <c r="CR112" s="103">
        <f t="shared" si="280"/>
        <v>0.36091112214498511</v>
      </c>
      <c r="CS112" s="103">
        <f t="shared" ref="CS112:CX112" si="281">+CS103/CS87</f>
        <v>0.23923875847991835</v>
      </c>
      <c r="CT112" s="103">
        <f t="shared" si="281"/>
        <v>0.27982590885816694</v>
      </c>
      <c r="CU112" s="103">
        <f t="shared" si="281"/>
        <v>0</v>
      </c>
      <c r="CV112" s="103">
        <f t="shared" si="281"/>
        <v>0</v>
      </c>
      <c r="CW112" s="103">
        <f t="shared" si="281"/>
        <v>0</v>
      </c>
      <c r="CX112" s="103">
        <f t="shared" si="281"/>
        <v>0</v>
      </c>
      <c r="CY112" s="103"/>
      <c r="CZ112" s="103"/>
      <c r="DA112" s="105"/>
      <c r="DB112" s="103">
        <f>DB103/DB$87</f>
        <v>0.28262701070805235</v>
      </c>
      <c r="DC112" s="103"/>
      <c r="DD112" s="103"/>
      <c r="DE112" s="103">
        <f>DE103/DE$87</f>
        <v>-0.94485835925986572</v>
      </c>
      <c r="DF112" s="103"/>
      <c r="DG112" s="103"/>
      <c r="DH112" s="103"/>
      <c r="DI112" s="103"/>
      <c r="DJ112" s="103"/>
      <c r="DK112" s="103">
        <f>DK103/DK87</f>
        <v>-0.51841082325349086</v>
      </c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/>
      <c r="DZ112" s="103"/>
      <c r="EA112" s="103"/>
      <c r="EC112" s="106"/>
    </row>
    <row r="113" spans="2:140" s="101" customFormat="1" ht="12.75" customHeight="1">
      <c r="B113" s="102" t="s">
        <v>77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4"/>
      <c r="Z113" s="103">
        <f>Z102/Z101</f>
        <v>-0.15541835213966362</v>
      </c>
      <c r="AA113" s="103">
        <f>AA102/AA101</f>
        <v>-0.28600395133617551</v>
      </c>
      <c r="AB113" s="103">
        <f>AB102/AB101</f>
        <v>-0.24472722469288008</v>
      </c>
      <c r="AC113" s="103">
        <f>AC102/AC101</f>
        <v>-0.25460470388211959</v>
      </c>
      <c r="AD113" s="103"/>
      <c r="AE113" s="103">
        <f>AE102/AE101</f>
        <v>0.25</v>
      </c>
      <c r="AF113" s="103">
        <f>AF102/AF101</f>
        <v>-0.11633127555519923</v>
      </c>
      <c r="AG113" s="103">
        <f>AG102/AG101</f>
        <v>-0.14636614535418585</v>
      </c>
      <c r="AH113" s="103">
        <v>0.26</v>
      </c>
      <c r="AI113" s="103">
        <f t="shared" ref="AI113:AQ113" si="282">AI102/AI101</f>
        <v>-0.17071193553001762</v>
      </c>
      <c r="AJ113" s="103">
        <f t="shared" si="282"/>
        <v>-0.21215918420256663</v>
      </c>
      <c r="AK113" s="103">
        <f t="shared" si="282"/>
        <v>0.31900000000000001</v>
      </c>
      <c r="AL113" s="103">
        <f t="shared" si="282"/>
        <v>0.11741554608068216</v>
      </c>
      <c r="AM113" s="103">
        <f t="shared" si="282"/>
        <v>0.23912599550745359</v>
      </c>
      <c r="AN113" s="103">
        <f t="shared" si="282"/>
        <v>-0.13938989513822686</v>
      </c>
      <c r="AO113" s="103">
        <f t="shared" si="282"/>
        <v>-0.16246395484385548</v>
      </c>
      <c r="AP113" s="103">
        <f t="shared" si="282"/>
        <v>-8.529977276699878E-2</v>
      </c>
      <c r="AQ113" s="103">
        <f t="shared" si="282"/>
        <v>-0.19732641660015962</v>
      </c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>
        <f t="shared" ref="CC113:CP113" si="283">+CC102/CC101</f>
        <v>0.14362877485882641</v>
      </c>
      <c r="CD113" s="103">
        <f t="shared" si="283"/>
        <v>0.10015510746731664</v>
      </c>
      <c r="CE113" s="103">
        <f t="shared" si="283"/>
        <v>0.14339622641509434</v>
      </c>
      <c r="CF113" s="103">
        <f t="shared" si="283"/>
        <v>0.26657263751763044</v>
      </c>
      <c r="CG113" s="103">
        <f t="shared" si="283"/>
        <v>0.13018794048551291</v>
      </c>
      <c r="CH113" s="103">
        <f t="shared" si="283"/>
        <v>4.2851170568561872E-2</v>
      </c>
      <c r="CI113" s="103">
        <f t="shared" si="283"/>
        <v>0.13995878903154224</v>
      </c>
      <c r="CJ113" s="103">
        <f t="shared" si="283"/>
        <v>0.13813759302958795</v>
      </c>
      <c r="CK113" s="103">
        <f t="shared" si="283"/>
        <v>0.13738077769625825</v>
      </c>
      <c r="CL113" s="103">
        <f t="shared" si="283"/>
        <v>0.15576451349141454</v>
      </c>
      <c r="CM113" s="103">
        <f t="shared" si="283"/>
        <v>0.20374916313322919</v>
      </c>
      <c r="CN113" s="103">
        <f t="shared" si="283"/>
        <v>0.14074717636837533</v>
      </c>
      <c r="CO113" s="103">
        <f t="shared" si="283"/>
        <v>0.15005476451259583</v>
      </c>
      <c r="CP113" s="103">
        <f t="shared" si="283"/>
        <v>-0.10741993236522777</v>
      </c>
      <c r="CQ113" s="103">
        <f t="shared" ref="CQ113:CR113" si="284">+CQ102/CQ101</f>
        <v>0.16073697585768743</v>
      </c>
      <c r="CR113" s="103">
        <f t="shared" si="284"/>
        <v>0.14068272498891679</v>
      </c>
      <c r="CS113" s="103">
        <f t="shared" ref="CS113:CX113" si="285">+CS102/CS101</f>
        <v>0.21954563258911086</v>
      </c>
      <c r="CT113" s="103">
        <f t="shared" si="285"/>
        <v>0.16245210727969348</v>
      </c>
      <c r="CU113" s="103" t="e">
        <f t="shared" si="285"/>
        <v>#DIV/0!</v>
      </c>
      <c r="CV113" s="103" t="e">
        <f t="shared" si="285"/>
        <v>#DIV/0!</v>
      </c>
      <c r="CW113" s="103" t="e">
        <f t="shared" si="285"/>
        <v>#DIV/0!</v>
      </c>
      <c r="CX113" s="103" t="e">
        <f t="shared" si="285"/>
        <v>#DIV/0!</v>
      </c>
      <c r="CY113" s="103"/>
      <c r="CZ113" s="103"/>
      <c r="DA113" s="105"/>
      <c r="DB113" s="103">
        <f t="shared" ref="DB113:DK113" si="286">DB102/DB101</f>
        <v>0.32577076424297591</v>
      </c>
      <c r="DC113" s="103">
        <f t="shared" si="286"/>
        <v>-0.29904536604768989</v>
      </c>
      <c r="DD113" s="103">
        <f t="shared" si="286"/>
        <v>-0.22870625830244593</v>
      </c>
      <c r="DE113" s="103">
        <f t="shared" si="286"/>
        <v>-0.23040919461799261</v>
      </c>
      <c r="DF113" s="103">
        <f t="shared" si="286"/>
        <v>-0.23575806742383273</v>
      </c>
      <c r="DG113" s="103">
        <f t="shared" si="286"/>
        <v>-0.19156004200690113</v>
      </c>
      <c r="DH113" s="103">
        <f t="shared" si="286"/>
        <v>-0.26061883109681716</v>
      </c>
      <c r="DI113" s="103">
        <f t="shared" si="286"/>
        <v>0.25</v>
      </c>
      <c r="DJ113" s="103">
        <f t="shared" si="286"/>
        <v>0.25</v>
      </c>
      <c r="DK113" s="103">
        <f t="shared" si="286"/>
        <v>-0.1346635549999762</v>
      </c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/>
      <c r="DZ113" s="103"/>
      <c r="EA113" s="103"/>
      <c r="EC113" s="106"/>
    </row>
    <row r="114" spans="2:140" s="81" customFormat="1" ht="12.75" customHeight="1">
      <c r="B114" s="98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92"/>
      <c r="Z114" s="82"/>
      <c r="AA114" s="92"/>
      <c r="AB114" s="82"/>
      <c r="AC114" s="85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73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C114" s="85"/>
    </row>
    <row r="115" spans="2:140" s="81" customFormat="1" ht="12.75" customHeight="1">
      <c r="B115" s="108"/>
      <c r="C115" s="99"/>
      <c r="D115" s="99"/>
      <c r="E115" s="99"/>
      <c r="F115" s="99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92"/>
      <c r="Z115" s="82"/>
      <c r="AA115" s="92"/>
      <c r="AB115" s="82"/>
      <c r="AC115" s="85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73"/>
      <c r="DB115" s="99"/>
      <c r="DC115" s="109"/>
      <c r="DD115" s="109"/>
      <c r="DE115" s="109"/>
      <c r="DF115" s="109"/>
      <c r="DG115" s="109"/>
      <c r="DH115" s="109"/>
      <c r="DI115" s="109"/>
      <c r="DJ115" s="109"/>
      <c r="DK115" s="109"/>
      <c r="DL115" s="109"/>
      <c r="DM115" s="109"/>
      <c r="DN115" s="109"/>
      <c r="DO115" s="109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C115" s="85"/>
    </row>
    <row r="116" spans="2:140" s="8" customFormat="1" ht="12.75" customHeight="1">
      <c r="B116" s="34" t="s">
        <v>643</v>
      </c>
      <c r="C116" s="9"/>
      <c r="D116" s="9"/>
      <c r="E116" s="9"/>
      <c r="F116" s="9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6"/>
      <c r="Z116" s="24"/>
      <c r="AA116" s="26"/>
      <c r="AB116" s="24"/>
      <c r="AC116" s="28"/>
      <c r="AD116" s="24"/>
      <c r="AE116" s="24"/>
      <c r="AF116" s="24"/>
      <c r="AG116" s="24"/>
      <c r="AH116" s="24"/>
      <c r="AI116" s="24"/>
      <c r="AJ116" s="24"/>
      <c r="AK116" s="24"/>
      <c r="AL116" s="42">
        <f>+AL87/AH87-1</f>
        <v>3.4799453420143083</v>
      </c>
      <c r="AM116" s="42">
        <f>+AM87/AI87-1</f>
        <v>0.59650593990216638</v>
      </c>
      <c r="AN116" s="42" t="e">
        <f>+#REF!/AJ87-1</f>
        <v>#REF!</v>
      </c>
      <c r="AO116" s="42" t="e">
        <f>+#REF!/AK87-1</f>
        <v>#REF!</v>
      </c>
      <c r="AP116" s="42" t="e">
        <f>+#REF!/AL87-1</f>
        <v>#REF!</v>
      </c>
      <c r="AQ116" s="42" t="e">
        <f>+#REF!/AM87-1</f>
        <v>#REF!</v>
      </c>
      <c r="AR116" s="42" t="e">
        <f>+#REF!/#REF!-1</f>
        <v>#REF!</v>
      </c>
      <c r="AS116" s="42" t="e">
        <f>+#REF!/#REF!-1</f>
        <v>#REF!</v>
      </c>
      <c r="AT116" s="42" t="e">
        <f>+#REF!/#REF!-1</f>
        <v>#REF!</v>
      </c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>
        <f t="shared" ref="CA116:CX116" si="287">+CA87/BW87-1</f>
        <v>0.11473742603550297</v>
      </c>
      <c r="CB116" s="42">
        <f t="shared" si="287"/>
        <v>-7.551020408163267E-2</v>
      </c>
      <c r="CC116" s="42">
        <f t="shared" si="287"/>
        <v>-0.11841574574493829</v>
      </c>
      <c r="CD116" s="42">
        <f t="shared" si="287"/>
        <v>5.4432086282440117E-2</v>
      </c>
      <c r="CE116" s="42">
        <f t="shared" si="287"/>
        <v>-0.11860330098697847</v>
      </c>
      <c r="CF116" s="42">
        <f t="shared" si="287"/>
        <v>4.8749080206033746E-2</v>
      </c>
      <c r="CG116" s="42">
        <f t="shared" si="287"/>
        <v>0.20358678744624403</v>
      </c>
      <c r="CH116" s="42">
        <f t="shared" si="287"/>
        <v>8.046987374140957E-2</v>
      </c>
      <c r="CI116" s="42">
        <f t="shared" si="287"/>
        <v>0.49628305260186312</v>
      </c>
      <c r="CJ116" s="42">
        <f t="shared" si="287"/>
        <v>0.27986318189791271</v>
      </c>
      <c r="CK116" s="42">
        <f t="shared" si="287"/>
        <v>0.1372206173027215</v>
      </c>
      <c r="CL116" s="42">
        <f t="shared" si="287"/>
        <v>2.2853339250055393E-2</v>
      </c>
      <c r="CM116" s="42">
        <f t="shared" si="287"/>
        <v>-8.8925224828627081E-2</v>
      </c>
      <c r="CN116" s="42">
        <f t="shared" si="287"/>
        <v>3.0288494483656558E-2</v>
      </c>
      <c r="CO116" s="42">
        <f t="shared" si="287"/>
        <v>6.7049936493080997E-2</v>
      </c>
      <c r="CP116" s="42">
        <f t="shared" si="287"/>
        <v>5.7845263919016565E-2</v>
      </c>
      <c r="CQ116" s="42">
        <f t="shared" si="287"/>
        <v>8.8907296196589991E-2</v>
      </c>
      <c r="CR116" s="42">
        <f t="shared" si="287"/>
        <v>7.1632856667775302E-2</v>
      </c>
      <c r="CS116" s="42">
        <f t="shared" si="287"/>
        <v>4.354090966044355E-2</v>
      </c>
      <c r="CT116" s="42">
        <f t="shared" si="287"/>
        <v>6.7942583732057527E-2</v>
      </c>
      <c r="CU116" s="42">
        <f t="shared" si="287"/>
        <v>3.7077020602218624E-2</v>
      </c>
      <c r="CV116" s="42">
        <f t="shared" si="287"/>
        <v>4.8991434955312663E-2</v>
      </c>
      <c r="CW116" s="42">
        <f t="shared" si="287"/>
        <v>3.1415320886113873E-2</v>
      </c>
      <c r="CX116" s="42">
        <f t="shared" si="287"/>
        <v>6.491951484895031E-2</v>
      </c>
      <c r="CY116" s="42"/>
      <c r="CZ116" s="42"/>
      <c r="DA116" s="47"/>
      <c r="DB116" s="9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C116" s="28"/>
    </row>
    <row r="117" spans="2:140" s="8" customFormat="1" ht="12.75" customHeight="1">
      <c r="B117" s="34" t="s">
        <v>924</v>
      </c>
      <c r="C117" s="9"/>
      <c r="D117" s="9"/>
      <c r="E117" s="9"/>
      <c r="F117" s="9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6"/>
      <c r="Z117" s="24"/>
      <c r="AA117" s="26"/>
      <c r="AB117" s="24"/>
      <c r="AC117" s="28"/>
      <c r="AD117" s="24"/>
      <c r="AE117" s="24"/>
      <c r="AF117" s="24"/>
      <c r="AG117" s="24"/>
      <c r="AH117" s="24"/>
      <c r="AI117" s="24"/>
      <c r="AJ117" s="24"/>
      <c r="AK117" s="24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>
        <v>0.08</v>
      </c>
      <c r="CM117" s="42">
        <v>0.15</v>
      </c>
      <c r="CN117" s="42">
        <v>0.14000000000000001</v>
      </c>
      <c r="CO117" s="42">
        <v>0.08</v>
      </c>
      <c r="CP117" s="42">
        <v>0.13</v>
      </c>
      <c r="CQ117" s="42"/>
      <c r="CR117" s="42">
        <v>0.11</v>
      </c>
      <c r="CS117" s="42">
        <v>7.0000000000000007E-2</v>
      </c>
      <c r="CT117" s="42"/>
      <c r="CU117" s="42"/>
      <c r="CV117" s="42"/>
      <c r="CW117" s="42"/>
      <c r="CX117" s="42"/>
      <c r="CY117" s="42"/>
      <c r="CZ117" s="42"/>
      <c r="DA117" s="47"/>
      <c r="DB117" s="9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C117" s="28"/>
    </row>
    <row r="118" spans="2:140" s="81" customFormat="1" ht="12.75" customHeight="1">
      <c r="B118" s="98" t="s">
        <v>751</v>
      </c>
      <c r="C118" s="99"/>
      <c r="D118" s="99"/>
      <c r="E118" s="99"/>
      <c r="F118" s="99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92"/>
      <c r="Z118" s="82"/>
      <c r="AA118" s="92"/>
      <c r="AB118" s="82"/>
      <c r="AC118" s="85"/>
      <c r="AD118" s="82"/>
      <c r="AE118" s="82"/>
      <c r="AF118" s="82"/>
      <c r="AG118" s="82"/>
      <c r="AH118" s="82"/>
      <c r="AI118" s="82"/>
      <c r="AJ118" s="82"/>
      <c r="AK118" s="82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>
        <f t="shared" ref="CA118:CT118" si="288">+CA3/BW3-1</f>
        <v>0.44733362714852354</v>
      </c>
      <c r="CB118" s="110">
        <f t="shared" si="288"/>
        <v>0.28625664388762329</v>
      </c>
      <c r="CC118" s="110">
        <f t="shared" si="288"/>
        <v>0.21009771986970693</v>
      </c>
      <c r="CD118" s="110">
        <f t="shared" si="288"/>
        <v>0.28351012536162012</v>
      </c>
      <c r="CE118" s="110">
        <f t="shared" si="288"/>
        <v>0.18727161997563946</v>
      </c>
      <c r="CF118" s="110">
        <f t="shared" si="288"/>
        <v>0.23258559622195984</v>
      </c>
      <c r="CG118" s="110">
        <f t="shared" si="288"/>
        <v>0.22045760430686401</v>
      </c>
      <c r="CH118" s="110">
        <f t="shared" si="288"/>
        <v>0.14625594790884056</v>
      </c>
      <c r="CI118" s="110">
        <f t="shared" si="288"/>
        <v>0.23339317773788149</v>
      </c>
      <c r="CJ118" s="110">
        <f t="shared" si="288"/>
        <v>0.25766283524904221</v>
      </c>
      <c r="CK118" s="110">
        <f t="shared" si="288"/>
        <v>0.19673577415086019</v>
      </c>
      <c r="CL118" s="110">
        <f t="shared" si="288"/>
        <v>0.19073629014638405</v>
      </c>
      <c r="CM118" s="110">
        <f t="shared" si="288"/>
        <v>0.20503223123310454</v>
      </c>
      <c r="CN118" s="110">
        <f t="shared" si="288"/>
        <v>0.19402132520944404</v>
      </c>
      <c r="CO118" s="110">
        <f t="shared" si="288"/>
        <v>0.1680796166605234</v>
      </c>
      <c r="CP118" s="110">
        <f t="shared" si="288"/>
        <v>0.21247706422018342</v>
      </c>
      <c r="CQ118" s="110">
        <f t="shared" si="288"/>
        <v>0.19879206212251943</v>
      </c>
      <c r="CR118" s="110">
        <f t="shared" si="288"/>
        <v>0.15930473608674856</v>
      </c>
      <c r="CS118" s="110">
        <f t="shared" si="288"/>
        <v>0.17213632060586925</v>
      </c>
      <c r="CT118" s="110">
        <f t="shared" si="288"/>
        <v>0.18583535108958849</v>
      </c>
      <c r="CU118" s="110">
        <f t="shared" ref="CU118" si="289">+CU3/CQ3-1</f>
        <v>0.10000000000000009</v>
      </c>
      <c r="CV118" s="110">
        <f t="shared" ref="CV118" si="290">+CV3/CR3-1</f>
        <v>0.10000000000000009</v>
      </c>
      <c r="CW118" s="110">
        <f t="shared" ref="CW118" si="291">+CW3/CS3-1</f>
        <v>0.10000000000000009</v>
      </c>
      <c r="CX118" s="110">
        <f t="shared" ref="CX118" si="292">+CX3/CT3-1</f>
        <v>0.10000000000000009</v>
      </c>
      <c r="CY118" s="110"/>
      <c r="CZ118" s="110"/>
      <c r="DA118" s="73"/>
      <c r="DB118" s="99"/>
      <c r="DC118" s="109"/>
      <c r="DD118" s="109"/>
      <c r="DE118" s="109"/>
      <c r="DF118" s="109"/>
      <c r="DG118" s="109"/>
      <c r="DH118" s="109"/>
      <c r="DI118" s="109"/>
      <c r="DJ118" s="109"/>
      <c r="DK118" s="109"/>
      <c r="DL118" s="109"/>
      <c r="DM118" s="109"/>
      <c r="DN118" s="109"/>
      <c r="DO118" s="109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C118" s="85"/>
    </row>
    <row r="119" spans="2:140" s="81" customFormat="1" ht="12.75" customHeight="1">
      <c r="B119" s="98" t="s">
        <v>663</v>
      </c>
      <c r="C119" s="99"/>
      <c r="D119" s="99"/>
      <c r="E119" s="99"/>
      <c r="F119" s="99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92"/>
      <c r="Z119" s="82"/>
      <c r="AA119" s="110"/>
      <c r="AB119" s="110"/>
      <c r="AC119" s="110"/>
      <c r="AD119" s="110">
        <f t="shared" ref="AD119:AT119" si="293">+AD9/Z9-1</f>
        <v>1.903225806451613</v>
      </c>
      <c r="AE119" s="110">
        <f t="shared" si="293"/>
        <v>6.8493150684931559E-2</v>
      </c>
      <c r="AF119" s="110">
        <f t="shared" si="293"/>
        <v>-8.9385474860335212E-2</v>
      </c>
      <c r="AG119" s="110">
        <f t="shared" si="293"/>
        <v>-4.0669856459330189E-2</v>
      </c>
      <c r="AH119" s="110">
        <f t="shared" si="293"/>
        <v>-8.666666666666667E-2</v>
      </c>
      <c r="AI119" s="110">
        <f t="shared" si="293"/>
        <v>-0.32820512820512826</v>
      </c>
      <c r="AJ119" s="110">
        <f t="shared" si="293"/>
        <v>-0.17791411042944782</v>
      </c>
      <c r="AK119" s="110">
        <f t="shared" si="293"/>
        <v>-0.22443890274314215</v>
      </c>
      <c r="AL119" s="110">
        <f t="shared" si="293"/>
        <v>-0.32603406326034068</v>
      </c>
      <c r="AM119" s="110">
        <f t="shared" si="293"/>
        <v>-0.11068702290076338</v>
      </c>
      <c r="AN119" s="110">
        <f t="shared" si="293"/>
        <v>-0.18283582089552242</v>
      </c>
      <c r="AO119" s="110">
        <f t="shared" si="293"/>
        <v>1.6077170418006492E-2</v>
      </c>
      <c r="AP119" s="110">
        <f t="shared" si="293"/>
        <v>-0.20216606498194944</v>
      </c>
      <c r="AQ119" s="110">
        <f t="shared" si="293"/>
        <v>-8.1545064377682386E-2</v>
      </c>
      <c r="AR119" s="110">
        <f t="shared" si="293"/>
        <v>0.26484018264840192</v>
      </c>
      <c r="AS119" s="110">
        <f t="shared" si="293"/>
        <v>0.40822784810126578</v>
      </c>
      <c r="AT119" s="110">
        <f t="shared" si="293"/>
        <v>0.23981900452488691</v>
      </c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>
        <f t="shared" ref="CA119:CT119" si="294">+CA9/BW9-1</f>
        <v>0.30906921241050123</v>
      </c>
      <c r="CB119" s="110">
        <f t="shared" si="294"/>
        <v>-0.2595936794582393</v>
      </c>
      <c r="CC119" s="110">
        <f t="shared" si="294"/>
        <v>-0.10075757575757571</v>
      </c>
      <c r="CD119" s="110">
        <f t="shared" si="294"/>
        <v>0.44011544011544013</v>
      </c>
      <c r="CE119" s="110">
        <f t="shared" si="294"/>
        <v>-0.16408386508659978</v>
      </c>
      <c r="CF119" s="110">
        <f t="shared" si="294"/>
        <v>0.88109756097560976</v>
      </c>
      <c r="CG119" s="110">
        <f t="shared" si="294"/>
        <v>0.67902274641954508</v>
      </c>
      <c r="CH119" s="110">
        <f t="shared" si="294"/>
        <v>0.53106212424849697</v>
      </c>
      <c r="CI119" s="110">
        <f t="shared" si="294"/>
        <v>0.59214830970556154</v>
      </c>
      <c r="CJ119" s="110">
        <f t="shared" si="294"/>
        <v>0.35656401944894656</v>
      </c>
      <c r="CK119" s="110">
        <f t="shared" si="294"/>
        <v>0.15102860010035113</v>
      </c>
      <c r="CL119" s="110">
        <f t="shared" si="294"/>
        <v>-3.7958115183246099E-2</v>
      </c>
      <c r="CM119" s="110">
        <f t="shared" si="294"/>
        <v>0.35068493150684921</v>
      </c>
      <c r="CN119" s="110">
        <f t="shared" si="294"/>
        <v>0.46833930704898452</v>
      </c>
      <c r="CO119" s="110">
        <f t="shared" si="294"/>
        <v>0.12685265911072352</v>
      </c>
      <c r="CP119" s="110">
        <f t="shared" si="294"/>
        <v>0.27278911564625852</v>
      </c>
      <c r="CQ119" s="110">
        <f t="shared" si="294"/>
        <v>0.1404665314401623</v>
      </c>
      <c r="CR119" s="110">
        <f t="shared" si="294"/>
        <v>8.1366965012203973E-3</v>
      </c>
      <c r="CS119" s="110">
        <f t="shared" si="294"/>
        <v>-0.10793036750483564</v>
      </c>
      <c r="CT119" s="110">
        <f t="shared" si="294"/>
        <v>-0.17156600748262962</v>
      </c>
      <c r="CU119" s="110">
        <f t="shared" ref="CU119" si="295">+CU9/CQ9-1</f>
        <v>3.0000000000000027E-2</v>
      </c>
      <c r="CV119" s="110">
        <f t="shared" ref="CV119" si="296">+CV9/CR9-1</f>
        <v>3.0000000000000027E-2</v>
      </c>
      <c r="CW119" s="110">
        <f t="shared" ref="CW119" si="297">+CW9/CS9-1</f>
        <v>3.0000000000000027E-2</v>
      </c>
      <c r="CX119" s="110">
        <f t="shared" ref="CX119" si="298">+CX9/CT9-1</f>
        <v>3.0000000000000027E-2</v>
      </c>
      <c r="CY119" s="110"/>
      <c r="CZ119" s="110"/>
      <c r="DA119" s="73"/>
      <c r="DB119" s="9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C119" s="85"/>
    </row>
    <row r="120" spans="2:140" s="81" customFormat="1" ht="12.75" customHeight="1">
      <c r="B120" s="98" t="s">
        <v>664</v>
      </c>
      <c r="C120" s="99"/>
      <c r="D120" s="99"/>
      <c r="E120" s="99"/>
      <c r="F120" s="9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92"/>
      <c r="Z120" s="82"/>
      <c r="AA120" s="110"/>
      <c r="AB120" s="110"/>
      <c r="AC120" s="110"/>
      <c r="AD120" s="110">
        <f t="shared" ref="AD120:AT120" si="299">+AD12/Z12-1</f>
        <v>0.85281385281385291</v>
      </c>
      <c r="AE120" s="110">
        <f t="shared" si="299"/>
        <v>-8.1300813008130079E-2</v>
      </c>
      <c r="AF120" s="110">
        <f t="shared" si="299"/>
        <v>-7.5581395348837233E-2</v>
      </c>
      <c r="AG120" s="110">
        <f t="shared" si="299"/>
        <v>4.6728971962617383E-3</v>
      </c>
      <c r="AH120" s="110">
        <f t="shared" si="299"/>
        <v>4.6728971962617383E-3</v>
      </c>
      <c r="AI120" s="110">
        <f t="shared" si="299"/>
        <v>0.11504424778761058</v>
      </c>
      <c r="AJ120" s="110">
        <f t="shared" si="299"/>
        <v>1.2578616352201255E-2</v>
      </c>
      <c r="AK120" s="110">
        <f t="shared" si="299"/>
        <v>7.441860465116279E-2</v>
      </c>
      <c r="AL120" s="110">
        <f t="shared" si="299"/>
        <v>-0.22558139534883725</v>
      </c>
      <c r="AM120" s="110">
        <f t="shared" si="299"/>
        <v>0.26587301587301582</v>
      </c>
      <c r="AN120" s="110">
        <f t="shared" si="299"/>
        <v>5.5900621118012417E-2</v>
      </c>
      <c r="AO120" s="110">
        <f t="shared" si="299"/>
        <v>-6.0606060606060552E-2</v>
      </c>
      <c r="AP120" s="110">
        <f t="shared" si="299"/>
        <v>-0.14414414414414412</v>
      </c>
      <c r="AQ120" s="110">
        <f t="shared" si="299"/>
        <v>-0.23510971786833856</v>
      </c>
      <c r="AR120" s="110">
        <f t="shared" si="299"/>
        <v>-0.14411764705882357</v>
      </c>
      <c r="AS120" s="110">
        <f t="shared" si="299"/>
        <v>-9.9078341013824844E-2</v>
      </c>
      <c r="AT120" s="110">
        <f t="shared" si="299"/>
        <v>-3.157894736842104E-2</v>
      </c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73"/>
      <c r="DB120" s="9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C120" s="85"/>
    </row>
    <row r="121" spans="2:140" s="81" customFormat="1" ht="12.75" customHeight="1">
      <c r="B121" s="108"/>
      <c r="C121" s="99"/>
      <c r="D121" s="99"/>
      <c r="E121" s="99"/>
      <c r="F121" s="99"/>
      <c r="G121" s="82"/>
      <c r="H121" s="82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92"/>
      <c r="Z121" s="103"/>
      <c r="AA121" s="92"/>
      <c r="AB121" s="103"/>
      <c r="AC121" s="114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  <c r="BZ121" s="103"/>
      <c r="CA121" s="103"/>
      <c r="CB121" s="103"/>
      <c r="CC121" s="103"/>
      <c r="CD121" s="103"/>
      <c r="CE121" s="103"/>
      <c r="CF121" s="103"/>
      <c r="CG121" s="103"/>
      <c r="CH121" s="103"/>
      <c r="CI121" s="103"/>
      <c r="CJ121" s="103"/>
      <c r="CK121" s="103"/>
      <c r="CL121" s="103"/>
      <c r="CM121" s="103"/>
      <c r="CN121" s="103"/>
      <c r="CO121" s="103"/>
      <c r="CP121" s="103"/>
      <c r="CQ121" s="103"/>
      <c r="CR121" s="103"/>
      <c r="CS121" s="103"/>
      <c r="CT121" s="103"/>
      <c r="CU121" s="103"/>
      <c r="CV121" s="103"/>
      <c r="CW121" s="103"/>
      <c r="CX121" s="103"/>
      <c r="CY121" s="103"/>
      <c r="CZ121" s="103"/>
      <c r="DA121" s="73"/>
      <c r="DB121" s="99"/>
      <c r="DC121" s="82"/>
      <c r="DD121" s="82"/>
      <c r="DE121" s="103"/>
      <c r="DF121" s="103"/>
      <c r="DG121" s="103"/>
      <c r="DH121" s="103"/>
      <c r="DI121" s="103"/>
      <c r="DJ121" s="103"/>
      <c r="DK121" s="103"/>
      <c r="DL121" s="103"/>
      <c r="DM121" s="103"/>
      <c r="DN121" s="103"/>
      <c r="DO121" s="103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C121" s="85"/>
    </row>
    <row r="122" spans="2:140" s="81" customFormat="1" ht="12.75" customHeight="1">
      <c r="B122" s="98" t="s">
        <v>944</v>
      </c>
      <c r="C122" s="99"/>
      <c r="D122" s="99"/>
      <c r="E122" s="99"/>
      <c r="F122" s="99"/>
      <c r="G122" s="82"/>
      <c r="H122" s="82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92"/>
      <c r="Z122" s="103"/>
      <c r="AA122" s="92"/>
      <c r="AB122" s="103"/>
      <c r="AC122" s="114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3"/>
      <c r="CF122" s="103"/>
      <c r="CG122" s="103"/>
      <c r="CH122" s="103"/>
      <c r="CI122" s="103"/>
      <c r="CJ122" s="114">
        <f>CJ123-CJ132</f>
        <v>-21297</v>
      </c>
      <c r="CK122" s="114">
        <f t="shared" ref="CK122:CP122" si="300">CK123-CK132</f>
        <v>0</v>
      </c>
      <c r="CL122" s="114">
        <f t="shared" si="300"/>
        <v>0</v>
      </c>
      <c r="CM122" s="114">
        <f t="shared" si="300"/>
        <v>-19069</v>
      </c>
      <c r="CN122" s="114">
        <f t="shared" si="300"/>
        <v>-29319</v>
      </c>
      <c r="CO122" s="114">
        <f t="shared" si="300"/>
        <v>-24780</v>
      </c>
      <c r="CP122" s="114">
        <f t="shared" si="300"/>
        <v>-27710</v>
      </c>
      <c r="CQ122" s="114">
        <f>+CQ123-CQ132</f>
        <v>-28320</v>
      </c>
      <c r="CR122" s="114">
        <f>+CR123-CR132</f>
        <v>-26077</v>
      </c>
      <c r="CS122" s="114">
        <f>+CS123-CS132</f>
        <v>-22963</v>
      </c>
      <c r="CT122" s="114"/>
      <c r="CU122" s="114"/>
      <c r="CV122" s="114"/>
      <c r="CW122" s="114"/>
      <c r="CX122" s="114"/>
      <c r="CY122" s="103"/>
      <c r="CZ122" s="103"/>
      <c r="DA122" s="73"/>
      <c r="DB122" s="99"/>
      <c r="DC122" s="82"/>
      <c r="DD122" s="82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82"/>
      <c r="DQ122" s="82"/>
      <c r="DR122" s="82"/>
      <c r="DS122" s="82"/>
      <c r="DT122" s="82"/>
      <c r="DU122" s="82"/>
      <c r="DV122" s="82"/>
      <c r="DW122" s="82"/>
      <c r="DX122" s="85">
        <f>CP122</f>
        <v>-27710</v>
      </c>
      <c r="DY122" s="85">
        <f t="shared" ref="DY122:EJ122" si="301">DX122+DY103</f>
        <v>-11113.702999999994</v>
      </c>
      <c r="DZ122" s="85">
        <f t="shared" si="301"/>
        <v>19700.625167500006</v>
      </c>
      <c r="EA122" s="85">
        <f t="shared" si="301"/>
        <v>50530.242582456252</v>
      </c>
      <c r="EB122" s="85">
        <f t="shared" si="301"/>
        <v>77492.135794325557</v>
      </c>
      <c r="EC122" s="85">
        <f t="shared" si="301"/>
        <v>101398.24348971712</v>
      </c>
      <c r="ED122" s="85">
        <f t="shared" si="301"/>
        <v>121819.76863739389</v>
      </c>
      <c r="EE122" s="85">
        <f t="shared" si="301"/>
        <v>139048.81879450227</v>
      </c>
      <c r="EF122" s="85">
        <f t="shared" si="301"/>
        <v>154923.11945650566</v>
      </c>
      <c r="EG122" s="85">
        <f t="shared" si="301"/>
        <v>169906.63859721963</v>
      </c>
      <c r="EH122" s="85">
        <f t="shared" si="301"/>
        <v>184082.10316856028</v>
      </c>
      <c r="EI122" s="85">
        <f t="shared" si="301"/>
        <v>197692.61609268616</v>
      </c>
      <c r="EJ122" s="85">
        <f t="shared" si="301"/>
        <v>211053.24757184475</v>
      </c>
    </row>
    <row r="123" spans="2:140" s="81" customFormat="1" ht="12.75" customHeight="1">
      <c r="B123" s="98" t="s">
        <v>328</v>
      </c>
      <c r="C123" s="99"/>
      <c r="D123" s="99"/>
      <c r="E123" s="99"/>
      <c r="F123" s="99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92"/>
      <c r="Z123" s="82"/>
      <c r="AA123" s="92"/>
      <c r="AB123" s="82"/>
      <c r="AC123" s="85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5">
        <f>9675+453+238</f>
        <v>10366</v>
      </c>
      <c r="CK123" s="82"/>
      <c r="CL123" s="82"/>
      <c r="CM123" s="85">
        <f>9707+680+1290</f>
        <v>11677</v>
      </c>
      <c r="CN123" s="85">
        <f>5660+718+1214</f>
        <v>7592</v>
      </c>
      <c r="CO123" s="85">
        <f>8605+168+1306</f>
        <v>10079</v>
      </c>
      <c r="CP123" s="85">
        <f>6841+252+252</f>
        <v>7345</v>
      </c>
      <c r="CQ123" s="85">
        <f>5579+40+280</f>
        <v>5899</v>
      </c>
      <c r="CR123" s="85">
        <f>11304+50+357</f>
        <v>11711</v>
      </c>
      <c r="CS123" s="85">
        <f>14593+575</f>
        <v>15168</v>
      </c>
      <c r="CT123" s="82"/>
      <c r="CU123" s="82"/>
      <c r="CV123" s="82"/>
      <c r="CW123" s="82"/>
      <c r="CX123" s="82"/>
      <c r="CY123" s="82"/>
      <c r="CZ123" s="82"/>
      <c r="DA123" s="73"/>
      <c r="DB123" s="99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C123" s="85"/>
    </row>
    <row r="124" spans="2:140" s="81" customFormat="1" ht="12.75" customHeight="1">
      <c r="B124" s="98" t="s">
        <v>807</v>
      </c>
      <c r="C124" s="99"/>
      <c r="D124" s="99"/>
      <c r="E124" s="99"/>
      <c r="F124" s="99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92"/>
      <c r="Z124" s="82"/>
      <c r="AA124" s="92"/>
      <c r="AB124" s="82"/>
      <c r="AC124" s="85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5">
        <v>9643</v>
      </c>
      <c r="CK124" s="82"/>
      <c r="CL124" s="82"/>
      <c r="CM124" s="85">
        <v>10415</v>
      </c>
      <c r="CN124" s="85">
        <v>11030</v>
      </c>
      <c r="CO124" s="85">
        <v>10394</v>
      </c>
      <c r="CP124" s="85">
        <v>10349</v>
      </c>
      <c r="CQ124" s="85">
        <v>11366</v>
      </c>
      <c r="CR124" s="85">
        <v>11642</v>
      </c>
      <c r="CS124" s="85">
        <v>11381</v>
      </c>
      <c r="CT124" s="82"/>
      <c r="CU124" s="82"/>
      <c r="CV124" s="82"/>
      <c r="CW124" s="82"/>
      <c r="CX124" s="82"/>
      <c r="CY124" s="82"/>
      <c r="CZ124" s="82"/>
      <c r="DA124" s="73"/>
      <c r="DB124" s="99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C124" s="85"/>
    </row>
    <row r="125" spans="2:140" s="81" customFormat="1" ht="12.75" customHeight="1">
      <c r="B125" s="98" t="s">
        <v>808</v>
      </c>
      <c r="C125" s="99"/>
      <c r="D125" s="99"/>
      <c r="E125" s="99"/>
      <c r="F125" s="99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92"/>
      <c r="Z125" s="82"/>
      <c r="AA125" s="92"/>
      <c r="AB125" s="82"/>
      <c r="AC125" s="85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5">
        <v>5535</v>
      </c>
      <c r="CK125" s="82"/>
      <c r="CL125" s="82"/>
      <c r="CM125" s="85">
        <v>5863</v>
      </c>
      <c r="CN125" s="85">
        <v>5930</v>
      </c>
      <c r="CO125" s="85">
        <v>6131</v>
      </c>
      <c r="CP125" s="85">
        <v>6358</v>
      </c>
      <c r="CQ125" s="85">
        <v>6510</v>
      </c>
      <c r="CR125" s="85">
        <v>6469</v>
      </c>
      <c r="CS125" s="85">
        <v>6244</v>
      </c>
      <c r="CT125" s="82"/>
      <c r="CU125" s="82"/>
      <c r="CV125" s="82"/>
      <c r="CW125" s="82"/>
      <c r="CX125" s="82"/>
      <c r="CY125" s="82"/>
      <c r="CZ125" s="82"/>
      <c r="DA125" s="73"/>
      <c r="DB125" s="99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C125" s="85"/>
    </row>
    <row r="126" spans="2:140" s="81" customFormat="1" ht="12.75" customHeight="1">
      <c r="B126" s="98" t="s">
        <v>809</v>
      </c>
      <c r="C126" s="99"/>
      <c r="D126" s="99"/>
      <c r="E126" s="99"/>
      <c r="F126" s="99"/>
      <c r="G126" s="82"/>
      <c r="H126" s="82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92"/>
      <c r="Z126" s="86"/>
      <c r="AA126" s="92"/>
      <c r="AB126" s="86"/>
      <c r="AC126" s="85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5">
        <v>6810</v>
      </c>
      <c r="CK126" s="86"/>
      <c r="CL126" s="86"/>
      <c r="CM126" s="85">
        <v>6737</v>
      </c>
      <c r="CN126" s="85">
        <v>6639</v>
      </c>
      <c r="CO126" s="85">
        <v>6656</v>
      </c>
      <c r="CP126" s="85">
        <v>8368</v>
      </c>
      <c r="CQ126" s="85">
        <v>7950</v>
      </c>
      <c r="CR126" s="85">
        <v>8740</v>
      </c>
      <c r="CS126" s="85">
        <v>8143</v>
      </c>
      <c r="CT126" s="86"/>
      <c r="CU126" s="86"/>
      <c r="CV126" s="86"/>
      <c r="CW126" s="86"/>
      <c r="CX126" s="86"/>
      <c r="CY126" s="86"/>
      <c r="CZ126" s="86"/>
      <c r="DA126" s="73"/>
      <c r="DB126" s="99"/>
      <c r="DC126" s="82"/>
      <c r="DD126" s="82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C126" s="85"/>
    </row>
    <row r="127" spans="2:140" s="81" customFormat="1" ht="12.75" customHeight="1">
      <c r="B127" s="98" t="s">
        <v>810</v>
      </c>
      <c r="C127" s="99"/>
      <c r="D127" s="99"/>
      <c r="E127" s="99"/>
      <c r="F127" s="99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92"/>
      <c r="Z127" s="82"/>
      <c r="AA127" s="92"/>
      <c r="AB127" s="82"/>
      <c r="AC127" s="85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5">
        <v>20059</v>
      </c>
      <c r="CK127" s="82"/>
      <c r="CL127" s="82"/>
      <c r="CM127" s="85">
        <v>21758</v>
      </c>
      <c r="CN127" s="85">
        <v>22231</v>
      </c>
      <c r="CO127" s="85">
        <v>22526</v>
      </c>
      <c r="CP127" s="85">
        <v>23051</v>
      </c>
      <c r="CQ127" s="85">
        <v>23045</v>
      </c>
      <c r="CR127" s="85">
        <v>23221</v>
      </c>
      <c r="CS127" s="85">
        <v>23446</v>
      </c>
      <c r="CT127" s="82"/>
      <c r="CU127" s="82"/>
      <c r="CV127" s="82"/>
      <c r="CW127" s="82"/>
      <c r="CX127" s="82"/>
      <c r="CY127" s="82"/>
      <c r="CZ127" s="82"/>
      <c r="DA127" s="73"/>
      <c r="DB127" s="99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C127" s="85"/>
    </row>
    <row r="128" spans="2:140" s="81" customFormat="1" ht="12.75" customHeight="1">
      <c r="B128" s="98" t="s">
        <v>811</v>
      </c>
      <c r="C128" s="99"/>
      <c r="D128" s="99"/>
      <c r="E128" s="99"/>
      <c r="F128" s="99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92"/>
      <c r="Z128" s="82"/>
      <c r="AA128" s="92"/>
      <c r="AB128" s="82"/>
      <c r="AC128" s="85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5">
        <f>21213+22497</f>
        <v>43710</v>
      </c>
      <c r="CK128" s="82"/>
      <c r="CL128" s="82"/>
      <c r="CM128" s="85">
        <f>21209+19857</f>
        <v>41066</v>
      </c>
      <c r="CN128" s="85">
        <f>21195+19665</f>
        <v>40860</v>
      </c>
      <c r="CO128" s="85">
        <f>21183+19199</f>
        <v>40382</v>
      </c>
      <c r="CP128" s="85">
        <f>18011+21197</f>
        <v>39208</v>
      </c>
      <c r="CQ128" s="85">
        <f>21181+17572</f>
        <v>38753</v>
      </c>
      <c r="CR128" s="85">
        <f>21161+16984</f>
        <v>38145</v>
      </c>
      <c r="CS128" s="85">
        <f>21697+17010</f>
        <v>38707</v>
      </c>
      <c r="CT128" s="82"/>
      <c r="CU128" s="82"/>
      <c r="CV128" s="82"/>
      <c r="CW128" s="82"/>
      <c r="CX128" s="82"/>
      <c r="CY128" s="82"/>
      <c r="CZ128" s="82"/>
      <c r="DA128" s="73"/>
      <c r="DB128" s="99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C128" s="85"/>
    </row>
    <row r="129" spans="2:133" s="81" customFormat="1" ht="12.75" customHeight="1">
      <c r="B129" s="98" t="s">
        <v>812</v>
      </c>
      <c r="C129" s="99"/>
      <c r="D129" s="99"/>
      <c r="E129" s="99"/>
      <c r="F129" s="99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92"/>
      <c r="Z129" s="82"/>
      <c r="AA129" s="92"/>
      <c r="AB129" s="82"/>
      <c r="AC129" s="85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5">
        <v>10972</v>
      </c>
      <c r="CK129" s="82"/>
      <c r="CL129" s="82"/>
      <c r="CM129" s="85">
        <v>10280</v>
      </c>
      <c r="CN129" s="85">
        <v>10187</v>
      </c>
      <c r="CO129" s="85">
        <v>10559</v>
      </c>
      <c r="CP129" s="85">
        <v>11996</v>
      </c>
      <c r="CQ129" s="85">
        <v>12326</v>
      </c>
      <c r="CR129" s="85">
        <v>12702</v>
      </c>
      <c r="CS129" s="85">
        <v>14443</v>
      </c>
      <c r="CT129" s="82"/>
      <c r="CU129" s="82"/>
      <c r="CV129" s="82"/>
      <c r="CW129" s="82"/>
      <c r="CX129" s="82"/>
      <c r="CY129" s="82"/>
      <c r="CZ129" s="82"/>
      <c r="DA129" s="73"/>
      <c r="DB129" s="99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C129" s="85"/>
    </row>
    <row r="130" spans="2:133" s="81" customFormat="1" ht="12.75" customHeight="1">
      <c r="B130" s="98" t="s">
        <v>806</v>
      </c>
      <c r="C130" s="99"/>
      <c r="D130" s="99"/>
      <c r="E130" s="99"/>
      <c r="F130" s="99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92"/>
      <c r="Z130" s="82"/>
      <c r="AA130" s="92"/>
      <c r="AB130" s="82"/>
      <c r="AC130" s="85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5">
        <f>SUM(CJ123:CJ129)</f>
        <v>107095</v>
      </c>
      <c r="CK130" s="82"/>
      <c r="CL130" s="82"/>
      <c r="CM130" s="85">
        <f t="shared" ref="CM130:CR130" si="302">SUM(CM123:CM129)</f>
        <v>107796</v>
      </c>
      <c r="CN130" s="85">
        <f t="shared" si="302"/>
        <v>104469</v>
      </c>
      <c r="CO130" s="85">
        <f t="shared" si="302"/>
        <v>106727</v>
      </c>
      <c r="CP130" s="85">
        <f t="shared" si="302"/>
        <v>106675</v>
      </c>
      <c r="CQ130" s="85">
        <f t="shared" si="302"/>
        <v>105849</v>
      </c>
      <c r="CR130" s="85">
        <f t="shared" si="302"/>
        <v>112630</v>
      </c>
      <c r="CS130" s="85">
        <f>SUM(CS123:CS129)</f>
        <v>117532</v>
      </c>
      <c r="CT130" s="82"/>
      <c r="CU130" s="82"/>
      <c r="CV130" s="82"/>
      <c r="CW130" s="82"/>
      <c r="CX130" s="82"/>
      <c r="CY130" s="82"/>
      <c r="CZ130" s="82"/>
      <c r="DA130" s="73"/>
      <c r="DB130" s="99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C130" s="85"/>
    </row>
    <row r="131" spans="2:133" s="81" customFormat="1" ht="12.75" customHeight="1">
      <c r="B131" s="108"/>
      <c r="C131" s="99"/>
      <c r="D131" s="99"/>
      <c r="E131" s="99"/>
      <c r="F131" s="99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92"/>
      <c r="Z131" s="82"/>
      <c r="AA131" s="92"/>
      <c r="AB131" s="82"/>
      <c r="AC131" s="85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73"/>
      <c r="DB131" s="99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C131" s="85"/>
    </row>
    <row r="132" spans="2:133" s="90" customFormat="1" ht="12.75" customHeight="1">
      <c r="B132" s="111" t="s">
        <v>329</v>
      </c>
      <c r="C132" s="91"/>
      <c r="D132" s="91"/>
      <c r="E132" s="91"/>
      <c r="F132" s="91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92"/>
      <c r="Z132" s="85"/>
      <c r="AA132" s="92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>
        <f>2979+28684</f>
        <v>31663</v>
      </c>
      <c r="CK132" s="85"/>
      <c r="CL132" s="85"/>
      <c r="CM132" s="85">
        <f>2672+28074</f>
        <v>30746</v>
      </c>
      <c r="CN132" s="85">
        <f>2839+34072</f>
        <v>36911</v>
      </c>
      <c r="CO132" s="85">
        <f>887+33972</f>
        <v>34859</v>
      </c>
      <c r="CP132" s="85">
        <f>1372+33683</f>
        <v>35055</v>
      </c>
      <c r="CQ132" s="85">
        <f>31142+3077</f>
        <v>34219</v>
      </c>
      <c r="CR132" s="85">
        <f>3071+34717</f>
        <v>37788</v>
      </c>
      <c r="CS132" s="85">
        <f>3149+34982</f>
        <v>38131</v>
      </c>
      <c r="CT132" s="85"/>
      <c r="CU132" s="85"/>
      <c r="CV132" s="85"/>
      <c r="CW132" s="85"/>
      <c r="CX132" s="85"/>
      <c r="CY132" s="85"/>
      <c r="CZ132" s="85"/>
      <c r="DA132" s="93"/>
      <c r="DB132" s="91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C132" s="85"/>
    </row>
    <row r="133" spans="2:133" s="90" customFormat="1" ht="12.75" customHeight="1">
      <c r="B133" s="111" t="s">
        <v>813</v>
      </c>
      <c r="C133" s="91"/>
      <c r="D133" s="91"/>
      <c r="E133" s="91"/>
      <c r="F133" s="91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92"/>
      <c r="Z133" s="85"/>
      <c r="AA133" s="92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>
        <v>3482</v>
      </c>
      <c r="CK133" s="85"/>
      <c r="CL133" s="85"/>
      <c r="CM133" s="85">
        <v>3680</v>
      </c>
      <c r="CN133" s="85">
        <v>3442</v>
      </c>
      <c r="CO133" s="85">
        <v>3509</v>
      </c>
      <c r="CP133" s="85">
        <v>3922</v>
      </c>
      <c r="CQ133" s="85">
        <v>3514</v>
      </c>
      <c r="CR133" s="85">
        <v>3519</v>
      </c>
      <c r="CS133" s="85">
        <v>3586</v>
      </c>
      <c r="CT133" s="85"/>
      <c r="CU133" s="85"/>
      <c r="CV133" s="85"/>
      <c r="CW133" s="85"/>
      <c r="CX133" s="85"/>
      <c r="CY133" s="85"/>
      <c r="CZ133" s="85"/>
      <c r="DA133" s="93"/>
      <c r="DB133" s="91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C133" s="85"/>
    </row>
    <row r="134" spans="2:133" s="90" customFormat="1" ht="12.75" customHeight="1">
      <c r="B134" s="111" t="s">
        <v>814</v>
      </c>
      <c r="C134" s="91"/>
      <c r="D134" s="91"/>
      <c r="E134" s="91"/>
      <c r="F134" s="91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92"/>
      <c r="Z134" s="85"/>
      <c r="AA134" s="92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>
        <v>13501</v>
      </c>
      <c r="CK134" s="85"/>
      <c r="CL134" s="85"/>
      <c r="CM134" s="85">
        <v>13000</v>
      </c>
      <c r="CN134" s="85">
        <v>13747</v>
      </c>
      <c r="CO134" s="85">
        <v>14840</v>
      </c>
      <c r="CP134" s="85">
        <v>15766</v>
      </c>
      <c r="CQ134" s="85">
        <v>14102</v>
      </c>
      <c r="CR134" s="85">
        <v>14712</v>
      </c>
      <c r="CS134" s="85">
        <v>16539</v>
      </c>
      <c r="CT134" s="85"/>
      <c r="CU134" s="85"/>
      <c r="CV134" s="85"/>
      <c r="CW134" s="85"/>
      <c r="CX134" s="85"/>
      <c r="CY134" s="85"/>
      <c r="CZ134" s="85"/>
      <c r="DA134" s="93"/>
      <c r="DB134" s="91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C134" s="85"/>
    </row>
    <row r="135" spans="2:133" s="90" customFormat="1" ht="12.75" customHeight="1">
      <c r="B135" s="111" t="s">
        <v>471</v>
      </c>
      <c r="C135" s="91"/>
      <c r="D135" s="91"/>
      <c r="E135" s="91"/>
      <c r="F135" s="91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2"/>
      <c r="Z135" s="85"/>
      <c r="AA135" s="92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>
        <f>1438+2974</f>
        <v>4412</v>
      </c>
      <c r="CK135" s="85"/>
      <c r="CL135" s="85"/>
      <c r="CM135" s="85">
        <f>1872+1442</f>
        <v>3314</v>
      </c>
      <c r="CN135" s="85">
        <f>1489+996</f>
        <v>2485</v>
      </c>
      <c r="CO135" s="85">
        <f>1981+1018</f>
        <v>2999</v>
      </c>
      <c r="CP135" s="85">
        <f>2649+871</f>
        <v>3520</v>
      </c>
      <c r="CQ135" s="85">
        <f>2398+922</f>
        <v>3320</v>
      </c>
      <c r="CR135" s="85">
        <v>2777</v>
      </c>
      <c r="CS135" s="85">
        <f>4330+864</f>
        <v>5194</v>
      </c>
      <c r="CT135" s="85"/>
      <c r="CU135" s="85"/>
      <c r="CV135" s="85"/>
      <c r="CW135" s="85"/>
      <c r="CX135" s="85"/>
      <c r="CY135" s="85"/>
      <c r="CZ135" s="85"/>
      <c r="DA135" s="93"/>
      <c r="DB135" s="91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C135" s="85"/>
    </row>
    <row r="136" spans="2:133" s="90" customFormat="1" ht="12.75" customHeight="1">
      <c r="B136" s="111" t="s">
        <v>815</v>
      </c>
      <c r="C136" s="91"/>
      <c r="D136" s="91"/>
      <c r="E136" s="91"/>
      <c r="F136" s="91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2"/>
      <c r="Z136" s="85"/>
      <c r="AA136" s="92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>
        <v>1768</v>
      </c>
      <c r="CK136" s="85"/>
      <c r="CL136" s="85"/>
      <c r="CM136" s="85">
        <v>1907</v>
      </c>
      <c r="CN136" s="85">
        <v>1877</v>
      </c>
      <c r="CO136" s="85">
        <v>1877</v>
      </c>
      <c r="CP136" s="85">
        <v>1985</v>
      </c>
      <c r="CQ136" s="85">
        <v>2008</v>
      </c>
      <c r="CR136" s="85">
        <v>1981</v>
      </c>
      <c r="CS136" s="85">
        <v>1982</v>
      </c>
      <c r="CT136" s="85"/>
      <c r="CU136" s="85"/>
      <c r="CV136" s="85"/>
      <c r="CW136" s="85"/>
      <c r="CX136" s="85"/>
      <c r="CY136" s="85"/>
      <c r="CZ136" s="85"/>
      <c r="DA136" s="93"/>
      <c r="DB136" s="91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C136" s="85"/>
    </row>
    <row r="137" spans="2:133" s="90" customFormat="1" ht="12.75" customHeight="1">
      <c r="B137" s="111" t="s">
        <v>816</v>
      </c>
      <c r="C137" s="91"/>
      <c r="D137" s="91"/>
      <c r="E137" s="91"/>
      <c r="F137" s="9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2"/>
      <c r="Z137" s="85"/>
      <c r="AA137" s="92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>
        <v>8951</v>
      </c>
      <c r="CK137" s="85"/>
      <c r="CL137" s="85"/>
      <c r="CM137" s="85">
        <v>8244</v>
      </c>
      <c r="CN137" s="85">
        <v>7265</v>
      </c>
      <c r="CO137" s="85">
        <v>7343</v>
      </c>
      <c r="CP137" s="85">
        <v>8792</v>
      </c>
      <c r="CQ137" s="85">
        <v>8262</v>
      </c>
      <c r="CR137" s="85">
        <f>876+7329</f>
        <v>8205</v>
      </c>
      <c r="CS137" s="85">
        <v>7540</v>
      </c>
      <c r="CT137" s="85"/>
      <c r="CU137" s="85"/>
      <c r="CV137" s="85"/>
      <c r="CW137" s="85"/>
      <c r="CX137" s="85"/>
      <c r="CY137" s="85"/>
      <c r="CZ137" s="85"/>
      <c r="DA137" s="93"/>
      <c r="DB137" s="91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C137" s="85"/>
    </row>
    <row r="138" spans="2:133" s="90" customFormat="1" ht="12.75" customHeight="1">
      <c r="B138" s="111" t="s">
        <v>817</v>
      </c>
      <c r="C138" s="91"/>
      <c r="D138" s="91"/>
      <c r="E138" s="91"/>
      <c r="F138" s="9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2"/>
      <c r="Z138" s="85"/>
      <c r="AA138" s="92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>
        <v>43318</v>
      </c>
      <c r="CK138" s="85"/>
      <c r="CL138" s="85"/>
      <c r="CM138" s="85">
        <v>46905</v>
      </c>
      <c r="CN138" s="85">
        <v>38742</v>
      </c>
      <c r="CO138" s="85">
        <v>41300</v>
      </c>
      <c r="CP138" s="85">
        <v>37635</v>
      </c>
      <c r="CQ138" s="85">
        <v>40424</v>
      </c>
      <c r="CR138" s="85">
        <v>43648</v>
      </c>
      <c r="CS138" s="85">
        <v>44560</v>
      </c>
      <c r="CT138" s="85"/>
      <c r="CU138" s="85"/>
      <c r="CV138" s="85"/>
      <c r="CW138" s="85"/>
      <c r="CX138" s="85"/>
      <c r="CY138" s="85"/>
      <c r="CZ138" s="85"/>
      <c r="DA138" s="93"/>
      <c r="DB138" s="91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C138" s="85"/>
    </row>
    <row r="139" spans="2:133" s="90" customFormat="1" ht="12.75" customHeight="1">
      <c r="B139" s="111" t="s">
        <v>818</v>
      </c>
      <c r="C139" s="91"/>
      <c r="D139" s="91"/>
      <c r="E139" s="91"/>
      <c r="F139" s="9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92"/>
      <c r="Z139" s="85"/>
      <c r="AA139" s="92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>
        <f>SUM(CJ132:CJ138)</f>
        <v>107095</v>
      </c>
      <c r="CK139" s="85"/>
      <c r="CL139" s="85"/>
      <c r="CM139" s="85">
        <f t="shared" ref="CM139:CR139" si="303">SUM(CM132:CM138)</f>
        <v>107796</v>
      </c>
      <c r="CN139" s="85">
        <f t="shared" si="303"/>
        <v>104469</v>
      </c>
      <c r="CO139" s="85">
        <f t="shared" si="303"/>
        <v>106727</v>
      </c>
      <c r="CP139" s="85">
        <f t="shared" si="303"/>
        <v>106675</v>
      </c>
      <c r="CQ139" s="85">
        <f t="shared" si="303"/>
        <v>105849</v>
      </c>
      <c r="CR139" s="85">
        <f t="shared" si="303"/>
        <v>112630</v>
      </c>
      <c r="CS139" s="85">
        <f>SUM(CS132:CS138)</f>
        <v>117532</v>
      </c>
      <c r="CT139" s="85"/>
      <c r="CU139" s="85"/>
      <c r="CV139" s="85"/>
      <c r="CW139" s="85"/>
      <c r="CX139" s="85"/>
      <c r="CY139" s="85"/>
      <c r="CZ139" s="85"/>
      <c r="DA139" s="93"/>
      <c r="DB139" s="91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C139" s="85"/>
    </row>
    <row r="140" spans="2:133" s="81" customFormat="1" ht="12.75" customHeight="1">
      <c r="B140" s="108"/>
      <c r="C140" s="99"/>
      <c r="D140" s="99"/>
      <c r="E140" s="99"/>
      <c r="F140" s="99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92"/>
      <c r="Z140" s="82"/>
      <c r="AA140" s="92"/>
      <c r="AB140" s="82"/>
      <c r="AC140" s="85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73"/>
      <c r="DB140" s="99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C140" s="85"/>
    </row>
    <row r="141" spans="2:133" s="81" customFormat="1" ht="12.75" customHeight="1">
      <c r="B141" s="98" t="s">
        <v>951</v>
      </c>
      <c r="C141" s="99"/>
      <c r="D141" s="99"/>
      <c r="E141" s="99"/>
      <c r="F141" s="99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92"/>
      <c r="Z141" s="82"/>
      <c r="AA141" s="92"/>
      <c r="AB141" s="82"/>
      <c r="AC141" s="85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5">
        <f t="shared" ref="CM141:CP141" si="304">+CM103</f>
        <v>3568</v>
      </c>
      <c r="CN141" s="85">
        <f t="shared" si="304"/>
        <v>4945</v>
      </c>
      <c r="CO141" s="85">
        <f t="shared" si="304"/>
        <v>5432</v>
      </c>
      <c r="CP141" s="85">
        <f t="shared" si="304"/>
        <v>5567</v>
      </c>
      <c r="CQ141" s="85">
        <f>+CQ103</f>
        <v>5284</v>
      </c>
      <c r="CR141" s="85">
        <f>+CR103</f>
        <v>5815</v>
      </c>
      <c r="CS141" s="85">
        <f>+CS103</f>
        <v>3985</v>
      </c>
      <c r="CT141" s="82"/>
      <c r="CU141" s="82"/>
      <c r="CV141" s="82"/>
      <c r="CW141" s="82"/>
      <c r="CX141" s="82"/>
      <c r="CY141" s="82"/>
      <c r="CZ141" s="82"/>
      <c r="DA141" s="73"/>
      <c r="DB141" s="99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C141" s="85"/>
    </row>
    <row r="142" spans="2:133" s="81" customFormat="1" ht="12.75" customHeight="1">
      <c r="B142" s="98" t="s">
        <v>952</v>
      </c>
      <c r="C142" s="99"/>
      <c r="D142" s="99"/>
      <c r="E142" s="99"/>
      <c r="F142" s="99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92"/>
      <c r="Z142" s="82"/>
      <c r="AA142" s="92"/>
      <c r="AB142" s="82"/>
      <c r="AC142" s="85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5">
        <v>2825</v>
      </c>
      <c r="CN142" s="85">
        <f>-3147-CM142</f>
        <v>-5972</v>
      </c>
      <c r="CO142" s="85">
        <f>1603-CN142-CM142+13</f>
        <v>4763</v>
      </c>
      <c r="CP142" s="85">
        <f>377-CO142-CN142-CM142</f>
        <v>-1239</v>
      </c>
      <c r="CQ142" s="85">
        <v>4767</v>
      </c>
      <c r="CR142" s="85">
        <f>10228-CQ142</f>
        <v>5461</v>
      </c>
      <c r="CS142" s="85">
        <f>13389-CR142-CQ142</f>
        <v>3161</v>
      </c>
      <c r="CT142" s="82"/>
      <c r="CU142" s="82"/>
      <c r="CV142" s="82"/>
      <c r="CW142" s="82"/>
      <c r="CX142" s="82"/>
      <c r="CY142" s="82"/>
      <c r="CZ142" s="82"/>
      <c r="DA142" s="73"/>
      <c r="DB142" s="99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C142" s="85"/>
    </row>
    <row r="143" spans="2:133" s="81" customFormat="1" ht="12.75" customHeight="1">
      <c r="B143" s="98" t="s">
        <v>85</v>
      </c>
      <c r="C143" s="99"/>
      <c r="D143" s="99"/>
      <c r="E143" s="99"/>
      <c r="F143" s="99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/>
      <c r="Z143" s="82"/>
      <c r="AA143" s="92"/>
      <c r="AB143" s="82"/>
      <c r="AC143" s="85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5">
        <v>543</v>
      </c>
      <c r="CN143" s="85">
        <f>1020-CM143</f>
        <v>477</v>
      </c>
      <c r="CO143" s="85">
        <f>1582-CN143-CM143</f>
        <v>562</v>
      </c>
      <c r="CP143" s="85">
        <f>2044-CO143-CN143-CM143</f>
        <v>462</v>
      </c>
      <c r="CQ143" s="85">
        <v>473</v>
      </c>
      <c r="CR143" s="85">
        <f>1087-CQ143</f>
        <v>614</v>
      </c>
      <c r="CS143" s="85">
        <f>1720-CR143-CQ143</f>
        <v>633</v>
      </c>
      <c r="CT143" s="82"/>
      <c r="CU143" s="82"/>
      <c r="CV143" s="82"/>
      <c r="CW143" s="82"/>
      <c r="CX143" s="82"/>
      <c r="CY143" s="82"/>
      <c r="CZ143" s="82"/>
      <c r="DA143" s="73"/>
      <c r="DB143" s="99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C143" s="85"/>
    </row>
    <row r="144" spans="2:133" s="81" customFormat="1" ht="12.75" customHeight="1">
      <c r="B144" s="98" t="s">
        <v>84</v>
      </c>
      <c r="C144" s="99"/>
      <c r="D144" s="99"/>
      <c r="E144" s="99"/>
      <c r="F144" s="99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92"/>
      <c r="Z144" s="82"/>
      <c r="AA144" s="92"/>
      <c r="AB144" s="82"/>
      <c r="AC144" s="85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5">
        <v>448</v>
      </c>
      <c r="CN144" s="85">
        <f>874-CM144</f>
        <v>426</v>
      </c>
      <c r="CO144" s="85">
        <f>1326-CN144-CM144</f>
        <v>452</v>
      </c>
      <c r="CP144" s="85">
        <f>1828-CO144-CN144-CM144</f>
        <v>502</v>
      </c>
      <c r="CQ144" s="85">
        <v>511</v>
      </c>
      <c r="CR144" s="85">
        <f>1029-CQ144</f>
        <v>518</v>
      </c>
      <c r="CS144" s="85">
        <f>1582-CR144-CQ144</f>
        <v>553</v>
      </c>
      <c r="CT144" s="82"/>
      <c r="CU144" s="82"/>
      <c r="CV144" s="82"/>
      <c r="CW144" s="82"/>
      <c r="CX144" s="82"/>
      <c r="CY144" s="82"/>
      <c r="CZ144" s="82"/>
      <c r="DA144" s="73"/>
      <c r="DB144" s="99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C144" s="85"/>
    </row>
    <row r="145" spans="2:133" s="81" customFormat="1" ht="12.75" customHeight="1">
      <c r="B145" s="98" t="s">
        <v>957</v>
      </c>
      <c r="C145" s="99"/>
      <c r="D145" s="99"/>
      <c r="E145" s="99"/>
      <c r="F145" s="99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92"/>
      <c r="Z145" s="82"/>
      <c r="AA145" s="92"/>
      <c r="AB145" s="82"/>
      <c r="AC145" s="85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5">
        <f>-450+1192</f>
        <v>742</v>
      </c>
      <c r="CN145" s="85">
        <f>-274+10217-CM145+1192</f>
        <v>10393</v>
      </c>
      <c r="CO145" s="85">
        <f>-240+10217+1192-CN145-CM145</f>
        <v>34</v>
      </c>
      <c r="CP145" s="85">
        <f>792-340+10217+1192-CO145-CN145-CM145</f>
        <v>692</v>
      </c>
      <c r="CQ145" s="85">
        <f>-143+656</f>
        <v>513</v>
      </c>
      <c r="CR145" s="85">
        <f>-200+656-CQ145</f>
        <v>-57</v>
      </c>
      <c r="CS145" s="85">
        <f>-169+1350+750+656-CR145-CQ145</f>
        <v>2131</v>
      </c>
      <c r="CT145" s="82"/>
      <c r="CU145" s="82"/>
      <c r="CV145" s="82"/>
      <c r="CW145" s="82"/>
      <c r="CX145" s="82"/>
      <c r="CY145" s="82"/>
      <c r="CZ145" s="82"/>
      <c r="DA145" s="73"/>
      <c r="DB145" s="99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C145" s="85"/>
    </row>
    <row r="146" spans="2:133" s="81" customFormat="1" ht="12.75" customHeight="1">
      <c r="B146" s="98" t="s">
        <v>956</v>
      </c>
      <c r="C146" s="99"/>
      <c r="D146" s="99"/>
      <c r="E146" s="99"/>
      <c r="F146" s="99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92"/>
      <c r="Z146" s="82"/>
      <c r="AA146" s="92"/>
      <c r="AB146" s="82"/>
      <c r="AC146" s="85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5">
        <v>-277</v>
      </c>
      <c r="CN146" s="85">
        <f>-632-CM146</f>
        <v>-355</v>
      </c>
      <c r="CO146" s="85">
        <f>-968-CN146-CM146</f>
        <v>-336</v>
      </c>
      <c r="CP146" s="85">
        <f>-1899-CO146-CN146-CM146</f>
        <v>-931</v>
      </c>
      <c r="CQ146" s="85">
        <v>-51</v>
      </c>
      <c r="CR146" s="85">
        <f>-232-CQ146</f>
        <v>-181</v>
      </c>
      <c r="CS146" s="85">
        <f>-633-CR146-CQ146</f>
        <v>-401</v>
      </c>
      <c r="CT146" s="82"/>
      <c r="CU146" s="82"/>
      <c r="CV146" s="82"/>
      <c r="CW146" s="82"/>
      <c r="CX146" s="82"/>
      <c r="CY146" s="82"/>
      <c r="CZ146" s="82"/>
      <c r="DA146" s="73"/>
      <c r="DB146" s="99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C146" s="85"/>
    </row>
    <row r="147" spans="2:133" s="81" customFormat="1" ht="12.75" customHeight="1">
      <c r="B147" s="98" t="s">
        <v>955</v>
      </c>
      <c r="C147" s="99"/>
      <c r="D147" s="99"/>
      <c r="E147" s="99"/>
      <c r="F147" s="99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92"/>
      <c r="Z147" s="82"/>
      <c r="AA147" s="92"/>
      <c r="AB147" s="82"/>
      <c r="AC147" s="85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5">
        <v>145</v>
      </c>
      <c r="CN147" s="85">
        <f>314-CM147</f>
        <v>169</v>
      </c>
      <c r="CO147" s="85">
        <f>478-CN147-CM147</f>
        <v>164</v>
      </c>
      <c r="CP147" s="85">
        <f>645-CO147-CN147-CM147</f>
        <v>167</v>
      </c>
      <c r="CQ147" s="85">
        <v>176</v>
      </c>
      <c r="CR147" s="85">
        <f>379-CQ147</f>
        <v>203</v>
      </c>
      <c r="CS147" s="85">
        <f>574-CR147-CQ147</f>
        <v>195</v>
      </c>
      <c r="CT147" s="82"/>
      <c r="CU147" s="82"/>
      <c r="CV147" s="82"/>
      <c r="CW147" s="82"/>
      <c r="CX147" s="82"/>
      <c r="CY147" s="82"/>
      <c r="CZ147" s="82"/>
      <c r="DA147" s="73"/>
      <c r="DB147" s="99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C147" s="85"/>
    </row>
    <row r="148" spans="2:133" s="81" customFormat="1" ht="12.75" customHeight="1">
      <c r="B148" s="98" t="s">
        <v>79</v>
      </c>
      <c r="C148" s="99"/>
      <c r="D148" s="99"/>
      <c r="E148" s="99"/>
      <c r="F148" s="99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92"/>
      <c r="Z148" s="82"/>
      <c r="AA148" s="92"/>
      <c r="AB148" s="82"/>
      <c r="AC148" s="85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5">
        <v>-197</v>
      </c>
      <c r="CN148" s="85">
        <f>5-CM148</f>
        <v>202</v>
      </c>
      <c r="CO148" s="85">
        <f>-94-CN148-CM148</f>
        <v>-99</v>
      </c>
      <c r="CP148" s="85">
        <f>355-CO148-CN148-CM148</f>
        <v>449</v>
      </c>
      <c r="CQ148" s="85">
        <v>83</v>
      </c>
      <c r="CR148" s="85">
        <f>174-CQ148</f>
        <v>91</v>
      </c>
      <c r="CS148" s="85">
        <f>611-CR148-CQ148</f>
        <v>437</v>
      </c>
      <c r="CT148" s="82"/>
      <c r="CU148" s="82"/>
      <c r="CV148" s="82"/>
      <c r="CW148" s="82"/>
      <c r="CX148" s="82"/>
      <c r="CY148" s="82"/>
      <c r="CZ148" s="82"/>
      <c r="DA148" s="73"/>
      <c r="DB148" s="99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C148" s="85"/>
    </row>
    <row r="149" spans="2:133" s="81" customFormat="1" ht="12.75" customHeight="1">
      <c r="B149" s="98" t="s">
        <v>954</v>
      </c>
      <c r="C149" s="99"/>
      <c r="D149" s="99"/>
      <c r="E149" s="99"/>
      <c r="F149" s="99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92"/>
      <c r="Z149" s="82"/>
      <c r="AA149" s="92"/>
      <c r="AB149" s="82"/>
      <c r="AC149" s="85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5">
        <v>-2890</v>
      </c>
      <c r="CN149" s="85">
        <f>-4526-CM149</f>
        <v>-1636</v>
      </c>
      <c r="CO149" s="85">
        <f>-2349-CN149-CM149</f>
        <v>2177</v>
      </c>
      <c r="CP149" s="85">
        <f>-1148-816-380+1783+214+456-2314-CO149-CN149-CM149</f>
        <v>144</v>
      </c>
      <c r="CQ149" s="85">
        <v>-3382</v>
      </c>
      <c r="CR149" s="85">
        <f>-4394-CQ149</f>
        <v>-1012</v>
      </c>
      <c r="CS149" s="85">
        <f>-1812-CR149-CQ149</f>
        <v>2582</v>
      </c>
      <c r="CT149" s="82"/>
      <c r="CU149" s="82"/>
      <c r="CV149" s="82"/>
      <c r="CW149" s="82"/>
      <c r="CX149" s="82"/>
      <c r="CY149" s="82"/>
      <c r="CZ149" s="82"/>
      <c r="DA149" s="73"/>
      <c r="DB149" s="99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C149" s="85"/>
    </row>
    <row r="150" spans="2:133" s="81" customFormat="1" ht="12.75" customHeight="1">
      <c r="B150" s="98" t="s">
        <v>953</v>
      </c>
      <c r="C150" s="99"/>
      <c r="D150" s="99"/>
      <c r="E150" s="99"/>
      <c r="F150" s="99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92"/>
      <c r="Z150" s="82"/>
      <c r="AA150" s="92"/>
      <c r="AB150" s="82"/>
      <c r="AC150" s="85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5">
        <f t="shared" ref="CM150:CS150" si="305">SUM(CM142:CM149)</f>
        <v>1339</v>
      </c>
      <c r="CN150" s="85">
        <f t="shared" si="305"/>
        <v>3704</v>
      </c>
      <c r="CO150" s="85">
        <f t="shared" si="305"/>
        <v>7717</v>
      </c>
      <c r="CP150" s="85">
        <f t="shared" si="305"/>
        <v>246</v>
      </c>
      <c r="CQ150" s="85">
        <f t="shared" si="305"/>
        <v>3090</v>
      </c>
      <c r="CR150" s="85">
        <f t="shared" si="305"/>
        <v>5637</v>
      </c>
      <c r="CS150" s="85">
        <f t="shared" si="305"/>
        <v>9291</v>
      </c>
      <c r="CT150" s="82"/>
      <c r="CU150" s="82"/>
      <c r="CV150" s="82"/>
      <c r="CW150" s="82"/>
      <c r="CX150" s="82"/>
      <c r="CY150" s="82"/>
      <c r="CZ150" s="82"/>
      <c r="DA150" s="73"/>
      <c r="DB150" s="99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C150" s="85"/>
    </row>
    <row r="151" spans="2:133" s="81" customFormat="1" ht="12.75" customHeight="1">
      <c r="B151" s="108"/>
      <c r="C151" s="99"/>
      <c r="D151" s="99"/>
      <c r="E151" s="99"/>
      <c r="F151" s="99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92"/>
      <c r="Z151" s="82"/>
      <c r="AA151" s="92"/>
      <c r="AB151" s="82"/>
      <c r="AC151" s="85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73"/>
      <c r="DB151" s="99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C151" s="85"/>
    </row>
    <row r="152" spans="2:133" s="81" customFormat="1" ht="12.75" customHeight="1">
      <c r="B152" s="98" t="s">
        <v>959</v>
      </c>
      <c r="C152" s="99"/>
      <c r="D152" s="99"/>
      <c r="E152" s="99"/>
      <c r="F152" s="99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92"/>
      <c r="Z152" s="82"/>
      <c r="AA152" s="92"/>
      <c r="AB152" s="82"/>
      <c r="AC152" s="85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5">
        <v>-1007</v>
      </c>
      <c r="CN152" s="85">
        <f>-1972-CM152</f>
        <v>-965</v>
      </c>
      <c r="CO152" s="85">
        <f>-2874-CN152-CM152</f>
        <v>-902</v>
      </c>
      <c r="CP152" s="85">
        <f>-3863-CO152-CN152-CM152</f>
        <v>-989</v>
      </c>
      <c r="CQ152" s="85">
        <v>-861</v>
      </c>
      <c r="CR152" s="85">
        <f>-1652-CQ152</f>
        <v>-791</v>
      </c>
      <c r="CS152" s="85">
        <f>-2435-CR152-CQ152</f>
        <v>-783</v>
      </c>
      <c r="CT152" s="82"/>
      <c r="CU152" s="82"/>
      <c r="CV152" s="82"/>
      <c r="CW152" s="82"/>
      <c r="CX152" s="82"/>
      <c r="CY152" s="82"/>
      <c r="CZ152" s="82"/>
      <c r="DA152" s="73"/>
      <c r="DB152" s="99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C152" s="85"/>
    </row>
    <row r="153" spans="2:133" s="81" customFormat="1" ht="12.75" customHeight="1">
      <c r="B153" s="98" t="s">
        <v>960</v>
      </c>
      <c r="C153" s="99"/>
      <c r="D153" s="99"/>
      <c r="E153" s="99"/>
      <c r="F153" s="99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92"/>
      <c r="Z153" s="82"/>
      <c r="AA153" s="92"/>
      <c r="AB153" s="82"/>
      <c r="AC153" s="85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5">
        <f>-562+500</f>
        <v>-62</v>
      </c>
      <c r="CN153" s="85">
        <f>-587+785-CM153</f>
        <v>260</v>
      </c>
      <c r="CO153" s="85">
        <f>-704+1489-CN153-CM153</f>
        <v>587</v>
      </c>
      <c r="CP153" s="85">
        <f>-955+1145+1658-CO153-CN153-CM153</f>
        <v>1063</v>
      </c>
      <c r="CQ153" s="85">
        <f>-15+260</f>
        <v>245</v>
      </c>
      <c r="CR153" s="85">
        <f>-64+320-CQ153</f>
        <v>11</v>
      </c>
      <c r="CS153" s="85">
        <f>-64+370-CR153-CQ153</f>
        <v>50</v>
      </c>
      <c r="CT153" s="82"/>
      <c r="CU153" s="82"/>
      <c r="CV153" s="82"/>
      <c r="CW153" s="82"/>
      <c r="CX153" s="82"/>
      <c r="CY153" s="82"/>
      <c r="CZ153" s="82"/>
      <c r="DA153" s="73"/>
      <c r="DB153" s="99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C153" s="85"/>
    </row>
    <row r="154" spans="2:133" s="81" customFormat="1" ht="12.75" customHeight="1">
      <c r="B154" s="98" t="s">
        <v>961</v>
      </c>
      <c r="C154" s="99"/>
      <c r="D154" s="99"/>
      <c r="E154" s="99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92"/>
      <c r="Z154" s="82"/>
      <c r="AA154" s="92"/>
      <c r="AB154" s="82"/>
      <c r="AC154" s="85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5">
        <v>-1327</v>
      </c>
      <c r="CN154" s="85">
        <f>-10705-1327-CM154</f>
        <v>-10705</v>
      </c>
      <c r="CO154" s="85">
        <f>-10705-1327-CN154-CM154</f>
        <v>0</v>
      </c>
      <c r="CP154" s="85">
        <f>-10705-1327-CO154-CN154-CM154</f>
        <v>0</v>
      </c>
      <c r="CQ154" s="85">
        <v>-746</v>
      </c>
      <c r="CR154" s="85">
        <f>-746-CQ154</f>
        <v>0</v>
      </c>
      <c r="CS154" s="85">
        <f>-1344-1301-746-700-CR154-CQ154</f>
        <v>-3345</v>
      </c>
      <c r="CT154" s="82"/>
      <c r="CU154" s="82"/>
      <c r="CV154" s="82"/>
      <c r="CW154" s="82"/>
      <c r="CX154" s="82"/>
      <c r="CY154" s="82"/>
      <c r="CZ154" s="82"/>
      <c r="DA154" s="73"/>
      <c r="DB154" s="99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C154" s="85"/>
    </row>
    <row r="155" spans="2:133" s="81" customFormat="1" ht="12.75" customHeight="1">
      <c r="B155" s="98" t="s">
        <v>79</v>
      </c>
      <c r="C155" s="99"/>
      <c r="D155" s="99"/>
      <c r="E155" s="99"/>
      <c r="F155" s="99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92"/>
      <c r="Z155" s="82"/>
      <c r="AA155" s="92"/>
      <c r="AB155" s="82"/>
      <c r="AC155" s="85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5">
        <v>37</v>
      </c>
      <c r="CN155" s="85">
        <f>4-CM155</f>
        <v>-33</v>
      </c>
      <c r="CO155" s="85">
        <f>-15-CN155-CM155</f>
        <v>-19</v>
      </c>
      <c r="CP155" s="85">
        <f>-36-CO155-CN155-CM155</f>
        <v>-21</v>
      </c>
      <c r="CQ155" s="85">
        <v>-14</v>
      </c>
      <c r="CR155" s="85">
        <f>-303-CQ155</f>
        <v>-289</v>
      </c>
      <c r="CS155" s="85">
        <f>-70-CR155-CQ155</f>
        <v>233</v>
      </c>
      <c r="CT155" s="82"/>
      <c r="CU155" s="82"/>
      <c r="CV155" s="82"/>
      <c r="CW155" s="82"/>
      <c r="CX155" s="82"/>
      <c r="CY155" s="82"/>
      <c r="CZ155" s="82"/>
      <c r="DA155" s="73"/>
      <c r="DB155" s="99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C155" s="85"/>
    </row>
    <row r="156" spans="2:133" s="81" customFormat="1" ht="12.75" customHeight="1">
      <c r="B156" s="98" t="s">
        <v>958</v>
      </c>
      <c r="C156" s="99"/>
      <c r="D156" s="99"/>
      <c r="E156" s="99"/>
      <c r="F156" s="99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92"/>
      <c r="Z156" s="82"/>
      <c r="AA156" s="92"/>
      <c r="AB156" s="82"/>
      <c r="AC156" s="85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5">
        <f t="shared" ref="CM156:CS156" si="306">SUM(CM152:CM155)</f>
        <v>-2359</v>
      </c>
      <c r="CN156" s="85">
        <f t="shared" si="306"/>
        <v>-11443</v>
      </c>
      <c r="CO156" s="85">
        <f t="shared" si="306"/>
        <v>-334</v>
      </c>
      <c r="CP156" s="85">
        <f t="shared" si="306"/>
        <v>53</v>
      </c>
      <c r="CQ156" s="85">
        <f t="shared" si="306"/>
        <v>-1376</v>
      </c>
      <c r="CR156" s="85">
        <f t="shared" si="306"/>
        <v>-1069</v>
      </c>
      <c r="CS156" s="85">
        <f t="shared" si="306"/>
        <v>-3845</v>
      </c>
      <c r="CT156" s="82"/>
      <c r="CU156" s="82"/>
      <c r="CV156" s="82"/>
      <c r="CW156" s="82"/>
      <c r="CX156" s="82"/>
      <c r="CY156" s="82"/>
      <c r="CZ156" s="82"/>
      <c r="DA156" s="73"/>
      <c r="DB156" s="99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C156" s="85"/>
    </row>
    <row r="157" spans="2:133" s="81" customFormat="1" ht="12.75" customHeight="1">
      <c r="B157" s="108"/>
      <c r="C157" s="99"/>
      <c r="D157" s="99"/>
      <c r="E157" s="99"/>
      <c r="F157" s="99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92"/>
      <c r="Z157" s="82"/>
      <c r="AA157" s="92"/>
      <c r="AB157" s="82"/>
      <c r="AC157" s="85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73"/>
      <c r="DB157" s="99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C157" s="85"/>
    </row>
    <row r="158" spans="2:133" s="81" customFormat="1" ht="12.75" customHeight="1">
      <c r="B158" s="98" t="s">
        <v>965</v>
      </c>
      <c r="C158" s="99"/>
      <c r="D158" s="99"/>
      <c r="E158" s="99"/>
      <c r="F158" s="99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92"/>
      <c r="Z158" s="82"/>
      <c r="AA158" s="92"/>
      <c r="AB158" s="82"/>
      <c r="AC158" s="85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5">
        <v>-1</v>
      </c>
      <c r="CN158" s="85">
        <f>-1751+1937+5946-CM158</f>
        <v>6133</v>
      </c>
      <c r="CO158" s="85">
        <f>5939-1752-CN158-CM158</f>
        <v>-1945</v>
      </c>
      <c r="CP158" s="85">
        <f>-1755+5939-CO158-CN158-CM158</f>
        <v>-3</v>
      </c>
      <c r="CQ158" s="85">
        <v>-751</v>
      </c>
      <c r="CR158" s="85">
        <f>3600-751-CQ158</f>
        <v>3600</v>
      </c>
      <c r="CS158" s="85">
        <f>3599-751-CR158-CQ158</f>
        <v>-1</v>
      </c>
      <c r="CT158" s="82"/>
      <c r="CU158" s="82"/>
      <c r="CV158" s="82"/>
      <c r="CW158" s="82"/>
      <c r="CX158" s="82"/>
      <c r="CY158" s="82"/>
      <c r="CZ158" s="82"/>
      <c r="DA158" s="73"/>
      <c r="DB158" s="99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C158" s="85"/>
    </row>
    <row r="159" spans="2:133" s="81" customFormat="1" ht="12.75" customHeight="1">
      <c r="B159" s="98" t="s">
        <v>815</v>
      </c>
      <c r="C159" s="99"/>
      <c r="D159" s="99"/>
      <c r="E159" s="99"/>
      <c r="F159" s="99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92"/>
      <c r="Z159" s="82"/>
      <c r="AA159" s="92"/>
      <c r="AB159" s="82"/>
      <c r="AC159" s="85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5">
        <v>-1853</v>
      </c>
      <c r="CN159" s="85">
        <f>-3738-CM159</f>
        <v>-1885</v>
      </c>
      <c r="CO159" s="85">
        <f>-5593-CN159-CM159</f>
        <v>-1855</v>
      </c>
      <c r="CP159" s="85">
        <f>-7445-CO159-CN159-CM159</f>
        <v>-1852</v>
      </c>
      <c r="CQ159" s="85">
        <v>-1950</v>
      </c>
      <c r="CR159" s="85">
        <f>-3936-CQ159</f>
        <v>-1986</v>
      </c>
      <c r="CS159" s="85">
        <f>-5889-CR159-CQ159</f>
        <v>-1953</v>
      </c>
      <c r="CT159" s="82"/>
      <c r="CU159" s="82"/>
      <c r="CV159" s="82"/>
      <c r="CW159" s="82"/>
      <c r="CX159" s="82"/>
      <c r="CY159" s="82"/>
      <c r="CZ159" s="82"/>
      <c r="DA159" s="73"/>
      <c r="DB159" s="99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C159" s="85"/>
    </row>
    <row r="160" spans="2:133" s="81" customFormat="1" ht="12.75" customHeight="1">
      <c r="B160" s="98" t="s">
        <v>964</v>
      </c>
      <c r="C160" s="99"/>
      <c r="D160" s="99"/>
      <c r="E160" s="99"/>
      <c r="F160" s="99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92"/>
      <c r="Z160" s="82"/>
      <c r="AA160" s="92"/>
      <c r="AB160" s="82"/>
      <c r="AC160" s="85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5">
        <v>-149</v>
      </c>
      <c r="CN160" s="85">
        <f>-487-CM160</f>
        <v>-338</v>
      </c>
      <c r="CO160" s="85">
        <f>-953-CN160-CM160</f>
        <v>-466</v>
      </c>
      <c r="CP160" s="85">
        <f>-1346-CO160-CN160-CM160</f>
        <v>-393</v>
      </c>
      <c r="CQ160" s="85">
        <v>-122</v>
      </c>
      <c r="CR160" s="85">
        <f>-373-CQ160</f>
        <v>-251</v>
      </c>
      <c r="CS160" s="85">
        <f>-817-CR160-CQ160</f>
        <v>-444</v>
      </c>
      <c r="CT160" s="82"/>
      <c r="CU160" s="82"/>
      <c r="CV160" s="82"/>
      <c r="CW160" s="82"/>
      <c r="CX160" s="82"/>
      <c r="CY160" s="82"/>
      <c r="CZ160" s="82"/>
      <c r="DA160" s="73"/>
      <c r="DB160" s="99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C160" s="85"/>
    </row>
    <row r="161" spans="2:137" s="81" customFormat="1" ht="12.75" customHeight="1">
      <c r="B161" s="98" t="s">
        <v>963</v>
      </c>
      <c r="C161" s="99"/>
      <c r="D161" s="99"/>
      <c r="E161" s="99"/>
      <c r="F161" s="99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92"/>
      <c r="Z161" s="82"/>
      <c r="AA161" s="92"/>
      <c r="AB161" s="82"/>
      <c r="AC161" s="85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5">
        <v>30</v>
      </c>
      <c r="CN161" s="85">
        <f>112-CM161</f>
        <v>82</v>
      </c>
      <c r="CO161" s="85">
        <f>119-CN161-CM161</f>
        <v>7</v>
      </c>
      <c r="CP161" s="85">
        <f>125-CO161-CN161-CM161</f>
        <v>6</v>
      </c>
      <c r="CQ161" s="85">
        <v>87</v>
      </c>
      <c r="CR161" s="85">
        <f>160-CQ161</f>
        <v>73</v>
      </c>
      <c r="CS161" s="85">
        <f>165-CR161-CQ161</f>
        <v>5</v>
      </c>
      <c r="CT161" s="82"/>
      <c r="CU161" s="82"/>
      <c r="CV161" s="82"/>
      <c r="CW161" s="82"/>
      <c r="CX161" s="82"/>
      <c r="CY161" s="82"/>
      <c r="CZ161" s="82"/>
      <c r="DA161" s="73"/>
      <c r="DB161" s="99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C161" s="85"/>
    </row>
    <row r="162" spans="2:137" s="81" customFormat="1" ht="12.75" customHeight="1">
      <c r="B162" s="98" t="s">
        <v>79</v>
      </c>
      <c r="C162" s="99"/>
      <c r="D162" s="99"/>
      <c r="E162" s="99"/>
      <c r="F162" s="9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92"/>
      <c r="Z162" s="82"/>
      <c r="AA162" s="92"/>
      <c r="AB162" s="82"/>
      <c r="AC162" s="85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5">
        <v>-81</v>
      </c>
      <c r="CN162" s="85">
        <f>-315-CM162</f>
        <v>-234</v>
      </c>
      <c r="CO162" s="85">
        <f>-325-CN162-CM162</f>
        <v>-10</v>
      </c>
      <c r="CP162" s="85">
        <f>-328-CO162-CN162-CM162</f>
        <v>-3</v>
      </c>
      <c r="CQ162" s="85">
        <v>-78</v>
      </c>
      <c r="CR162" s="85">
        <f>-298-CQ162</f>
        <v>-220</v>
      </c>
      <c r="CS162" s="85">
        <f>-330-CR162-CQ162</f>
        <v>-32</v>
      </c>
      <c r="CT162" s="82"/>
      <c r="CU162" s="82"/>
      <c r="CV162" s="82"/>
      <c r="CW162" s="82"/>
      <c r="CX162" s="82"/>
      <c r="CY162" s="82"/>
      <c r="CZ162" s="82"/>
      <c r="DA162" s="73"/>
      <c r="DB162" s="99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C162" s="85"/>
    </row>
    <row r="163" spans="2:137" s="81" customFormat="1" ht="12.75" customHeight="1">
      <c r="B163" s="98" t="s">
        <v>962</v>
      </c>
      <c r="C163" s="99"/>
      <c r="D163" s="99"/>
      <c r="E163" s="99"/>
      <c r="F163" s="99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92"/>
      <c r="Z163" s="82"/>
      <c r="AA163" s="92"/>
      <c r="AB163" s="82"/>
      <c r="AC163" s="85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5">
        <f t="shared" ref="CM163:CS163" si="307">SUM(CM158:CM162)</f>
        <v>-2054</v>
      </c>
      <c r="CN163" s="85">
        <f t="shared" si="307"/>
        <v>3758</v>
      </c>
      <c r="CO163" s="85">
        <f t="shared" si="307"/>
        <v>-4269</v>
      </c>
      <c r="CP163" s="85">
        <f t="shared" si="307"/>
        <v>-2245</v>
      </c>
      <c r="CQ163" s="85">
        <f t="shared" si="307"/>
        <v>-2814</v>
      </c>
      <c r="CR163" s="85">
        <f t="shared" si="307"/>
        <v>1216</v>
      </c>
      <c r="CS163" s="85">
        <f t="shared" si="307"/>
        <v>-2425</v>
      </c>
      <c r="CT163" s="82"/>
      <c r="CU163" s="82"/>
      <c r="CV163" s="82"/>
      <c r="CW163" s="82"/>
      <c r="CX163" s="82"/>
      <c r="CY163" s="82"/>
      <c r="CZ163" s="82"/>
      <c r="DA163" s="73"/>
      <c r="DB163" s="99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C163" s="85"/>
    </row>
    <row r="164" spans="2:137" s="81" customFormat="1" ht="12.75" customHeight="1">
      <c r="B164" s="98" t="s">
        <v>966</v>
      </c>
      <c r="C164" s="99"/>
      <c r="D164" s="99"/>
      <c r="E164" s="99"/>
      <c r="F164" s="99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92"/>
      <c r="Z164" s="82"/>
      <c r="AA164" s="92"/>
      <c r="AB164" s="82"/>
      <c r="AC164" s="85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>
        <v>87</v>
      </c>
      <c r="CN164" s="82">
        <f>-6-CM164</f>
        <v>-93</v>
      </c>
      <c r="CO164" s="82">
        <f>-163-CN164-CM164</f>
        <v>-157</v>
      </c>
      <c r="CP164" s="82">
        <f>23-CO164-CN164-CM164</f>
        <v>186</v>
      </c>
      <c r="CQ164" s="82">
        <v>-138</v>
      </c>
      <c r="CR164" s="82">
        <f>-220-CQ164</f>
        <v>-82</v>
      </c>
      <c r="CS164" s="82">
        <f>74-CR164-CQ164</f>
        <v>294</v>
      </c>
      <c r="CT164" s="82"/>
      <c r="CU164" s="82"/>
      <c r="CV164" s="82"/>
      <c r="CW164" s="82"/>
      <c r="CX164" s="82"/>
      <c r="CY164" s="82"/>
      <c r="CZ164" s="82"/>
      <c r="DA164" s="73"/>
      <c r="DB164" s="99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C164" s="85"/>
    </row>
    <row r="165" spans="2:137" s="81" customFormat="1" ht="12.75" customHeight="1">
      <c r="B165" s="108" t="s">
        <v>976</v>
      </c>
      <c r="C165" s="99"/>
      <c r="D165" s="99"/>
      <c r="E165" s="99"/>
      <c r="F165" s="9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92"/>
      <c r="Z165" s="82"/>
      <c r="AA165" s="92"/>
      <c r="AB165" s="82"/>
      <c r="AC165" s="85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5">
        <f t="shared" ref="CM165:CS165" si="308">+CM164+CM163+CM156+CM150</f>
        <v>-2987</v>
      </c>
      <c r="CN165" s="85">
        <f t="shared" si="308"/>
        <v>-4074</v>
      </c>
      <c r="CO165" s="85">
        <f t="shared" si="308"/>
        <v>2957</v>
      </c>
      <c r="CP165" s="85">
        <f t="shared" si="308"/>
        <v>-1760</v>
      </c>
      <c r="CQ165" s="85">
        <f t="shared" si="308"/>
        <v>-1238</v>
      </c>
      <c r="CR165" s="85">
        <f t="shared" si="308"/>
        <v>5702</v>
      </c>
      <c r="CS165" s="85">
        <f t="shared" si="308"/>
        <v>3315</v>
      </c>
      <c r="CT165" s="82"/>
      <c r="CU165" s="82"/>
      <c r="CV165" s="82"/>
      <c r="CW165" s="82"/>
      <c r="CX165" s="82"/>
      <c r="CY165" s="82"/>
      <c r="CZ165" s="82"/>
      <c r="DA165" s="73"/>
      <c r="DB165" s="99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C165" s="85"/>
    </row>
    <row r="166" spans="2:137" s="81" customFormat="1" ht="12.75" customHeight="1">
      <c r="B166" s="108"/>
      <c r="C166" s="99"/>
      <c r="D166" s="99"/>
      <c r="E166" s="99"/>
      <c r="F166" s="99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92"/>
      <c r="Z166" s="82"/>
      <c r="AA166" s="92"/>
      <c r="AB166" s="82"/>
      <c r="AC166" s="85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73"/>
      <c r="DB166" s="99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C166" s="85"/>
    </row>
    <row r="167" spans="2:137" s="81" customFormat="1" ht="12.75" customHeight="1">
      <c r="B167" s="108"/>
      <c r="C167" s="99"/>
      <c r="D167" s="99"/>
      <c r="E167" s="99"/>
      <c r="F167" s="99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92"/>
      <c r="Z167" s="82"/>
      <c r="AA167" s="92"/>
      <c r="AB167" s="82"/>
      <c r="AC167" s="85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73"/>
      <c r="DB167" s="99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C167" s="85"/>
    </row>
    <row r="168" spans="2:137" s="81" customFormat="1" ht="12.75" customHeight="1">
      <c r="B168" s="98" t="s">
        <v>646</v>
      </c>
      <c r="C168" s="99"/>
      <c r="D168" s="99"/>
      <c r="E168" s="99"/>
      <c r="F168" s="99"/>
      <c r="G168" s="84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92"/>
      <c r="Z168" s="82"/>
      <c r="AA168" s="92"/>
      <c r="AB168" s="82"/>
      <c r="AC168" s="85"/>
      <c r="AD168" s="82"/>
      <c r="AE168" s="85">
        <v>5822.1</v>
      </c>
      <c r="AF168" s="82"/>
      <c r="AG168" s="85">
        <v>5943.9</v>
      </c>
      <c r="AH168" s="85">
        <v>6032.4</v>
      </c>
      <c r="AI168" s="85">
        <v>5385.2</v>
      </c>
      <c r="AJ168" s="85">
        <v>5899.9</v>
      </c>
      <c r="AK168" s="85">
        <v>6049.7</v>
      </c>
      <c r="AL168" s="85">
        <v>10093</v>
      </c>
      <c r="AM168" s="85">
        <v>11422.2</v>
      </c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73"/>
      <c r="DB168" s="99"/>
      <c r="DC168" s="82"/>
      <c r="DD168" s="82"/>
      <c r="DE168" s="82"/>
      <c r="DF168" s="82"/>
      <c r="DG168" s="82"/>
      <c r="DH168" s="82"/>
      <c r="DI168" s="82"/>
      <c r="DJ168" s="82"/>
      <c r="DK168" s="82"/>
      <c r="DL168" s="85">
        <v>46136</v>
      </c>
      <c r="DM168" s="85">
        <v>44967</v>
      </c>
      <c r="DN168" s="85">
        <v>43298</v>
      </c>
      <c r="DO168" s="85">
        <v>43906</v>
      </c>
      <c r="DP168" s="85">
        <v>45007</v>
      </c>
      <c r="DQ168" s="85">
        <v>50091</v>
      </c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C168" s="85"/>
      <c r="EG168" s="100"/>
    </row>
    <row r="169" spans="2:137" s="81" customFormat="1" ht="12.75" customHeight="1">
      <c r="B169" s="108"/>
      <c r="C169" s="99"/>
      <c r="D169" s="99"/>
      <c r="E169" s="99"/>
      <c r="F169" s="99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92"/>
      <c r="Z169" s="82"/>
      <c r="AA169" s="92"/>
      <c r="AB169" s="82"/>
      <c r="AC169" s="85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73"/>
      <c r="DB169" s="99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C169" s="85"/>
    </row>
    <row r="170" spans="2:137" s="81" customFormat="1" ht="12.75" customHeight="1">
      <c r="B170" s="98" t="s">
        <v>644</v>
      </c>
      <c r="C170" s="99"/>
      <c r="D170" s="99"/>
      <c r="E170" s="99"/>
      <c r="F170" s="99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92"/>
      <c r="Z170" s="82"/>
      <c r="AA170" s="110" t="s">
        <v>440</v>
      </c>
      <c r="AB170" s="110" t="s">
        <v>440</v>
      </c>
      <c r="AC170" s="110" t="s">
        <v>440</v>
      </c>
      <c r="AD170" s="110">
        <f t="shared" ref="AD170:AT170" si="309">+AD10/Z10-1</f>
        <v>3.7619047619047619</v>
      </c>
      <c r="AE170" s="110">
        <f t="shared" si="309"/>
        <v>2.1264367816091956</v>
      </c>
      <c r="AF170" s="110">
        <f t="shared" si="309"/>
        <v>1.3194444444444446</v>
      </c>
      <c r="AG170" s="110">
        <f t="shared" si="309"/>
        <v>1.0486486486486486</v>
      </c>
      <c r="AH170" s="110">
        <f t="shared" si="309"/>
        <v>-1</v>
      </c>
      <c r="AI170" s="110">
        <f t="shared" si="309"/>
        <v>0.51102941176470584</v>
      </c>
      <c r="AJ170" s="110">
        <f t="shared" si="309"/>
        <v>0.38323353293413165</v>
      </c>
      <c r="AK170" s="110">
        <f t="shared" si="309"/>
        <v>0.29551451187335087</v>
      </c>
      <c r="AL170" s="110" t="e">
        <f t="shared" si="309"/>
        <v>#DIV/0!</v>
      </c>
      <c r="AM170" s="110">
        <f t="shared" si="309"/>
        <v>0.24330900243308995</v>
      </c>
      <c r="AN170" s="110">
        <f t="shared" si="309"/>
        <v>0.29870129870129869</v>
      </c>
      <c r="AO170" s="110">
        <f t="shared" si="309"/>
        <v>0.22199592668024448</v>
      </c>
      <c r="AP170" s="110">
        <f t="shared" si="309"/>
        <v>0.20967741935483875</v>
      </c>
      <c r="AQ170" s="110">
        <f t="shared" si="309"/>
        <v>0.44618395303326808</v>
      </c>
      <c r="AR170" s="110">
        <f t="shared" si="309"/>
        <v>0.29833333333333334</v>
      </c>
      <c r="AS170" s="110">
        <f t="shared" si="309"/>
        <v>0.40999999999999992</v>
      </c>
      <c r="AT170" s="110">
        <f t="shared" si="309"/>
        <v>0.42222222222222228</v>
      </c>
      <c r="AU170" s="110"/>
      <c r="AV170" s="110"/>
      <c r="AW170" s="110"/>
      <c r="AX170" s="110"/>
      <c r="AY170" s="110"/>
      <c r="AZ170" s="110"/>
      <c r="BA170" s="110"/>
      <c r="BB170" s="110"/>
      <c r="BC170" s="110"/>
      <c r="BD170" s="110"/>
      <c r="BE170" s="110"/>
      <c r="BF170" s="110"/>
      <c r="BG170" s="110"/>
      <c r="BH170" s="110"/>
      <c r="BI170" s="110"/>
      <c r="BJ170" s="110"/>
      <c r="BK170" s="110"/>
      <c r="BL170" s="110"/>
      <c r="BM170" s="110"/>
      <c r="BN170" s="110"/>
      <c r="BO170" s="110"/>
      <c r="BP170" s="110"/>
      <c r="BQ170" s="110"/>
      <c r="BR170" s="110"/>
      <c r="BS170" s="110"/>
      <c r="BT170" s="110"/>
      <c r="BU170" s="110"/>
      <c r="BV170" s="110"/>
      <c r="BW170" s="110"/>
      <c r="BX170" s="110"/>
      <c r="BY170" s="110"/>
      <c r="BZ170" s="110"/>
      <c r="CA170" s="110">
        <f t="shared" ref="CA170:CJ171" si="310">+CA10/BW10-1</f>
        <v>-6.067961165048541E-2</v>
      </c>
      <c r="CB170" s="110">
        <f t="shared" si="310"/>
        <v>-5.9471365638766538E-2</v>
      </c>
      <c r="CC170" s="110">
        <f t="shared" si="310"/>
        <v>1.7348203221809078E-2</v>
      </c>
      <c r="CD170" s="110">
        <f t="shared" si="310"/>
        <v>-9.1198303287380655E-2</v>
      </c>
      <c r="CE170" s="110">
        <f t="shared" si="310"/>
        <v>4.5219638242893989E-2</v>
      </c>
      <c r="CF170" s="110">
        <f t="shared" si="310"/>
        <v>-8.1967213114754078E-2</v>
      </c>
      <c r="CG170" s="110">
        <f t="shared" si="310"/>
        <v>3.7758830694275325E-2</v>
      </c>
      <c r="CH170" s="110">
        <f t="shared" si="310"/>
        <v>2.4504084014002281E-2</v>
      </c>
      <c r="CI170" s="110">
        <f t="shared" si="310"/>
        <v>-3.7082818294190356E-2</v>
      </c>
      <c r="CJ170" s="110">
        <f t="shared" si="310"/>
        <v>-3.5714285714285698E-2</v>
      </c>
      <c r="CK170" s="110">
        <f t="shared" ref="CK170:CS171" si="311">+CK10/CG10-1</f>
        <v>-0.15845070422535212</v>
      </c>
      <c r="CL170" s="110">
        <f t="shared" si="311"/>
        <v>-0.36104783599088841</v>
      </c>
      <c r="CM170" s="110">
        <f t="shared" si="311"/>
        <v>-0.29268292682926833</v>
      </c>
      <c r="CN170" s="110">
        <f t="shared" si="311"/>
        <v>-0.32407407407407407</v>
      </c>
      <c r="CO170" s="110">
        <f t="shared" si="311"/>
        <v>-0.18967921896792195</v>
      </c>
      <c r="CP170" s="110">
        <f t="shared" si="311"/>
        <v>-2.4955436720142554E-2</v>
      </c>
      <c r="CQ170" s="110">
        <f t="shared" si="311"/>
        <v>-0.23956442831215974</v>
      </c>
      <c r="CR170" s="110">
        <f t="shared" si="311"/>
        <v>-0.20743639921722112</v>
      </c>
      <c r="CS170" s="110">
        <f t="shared" si="311"/>
        <v>-0.52151462994836484</v>
      </c>
      <c r="CT170" s="110"/>
      <c r="CU170" s="110"/>
      <c r="CV170" s="110"/>
      <c r="CW170" s="110"/>
      <c r="CX170" s="110"/>
      <c r="CY170" s="110"/>
      <c r="CZ170" s="110"/>
      <c r="DA170" s="73"/>
      <c r="DB170" s="99"/>
      <c r="DC170" s="109"/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C170" s="85"/>
    </row>
    <row r="171" spans="2:137" s="81" customFormat="1" ht="12.75" customHeight="1">
      <c r="B171" s="98" t="s">
        <v>662</v>
      </c>
      <c r="C171" s="99"/>
      <c r="D171" s="99"/>
      <c r="E171" s="99"/>
      <c r="F171" s="99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92"/>
      <c r="Z171" s="82"/>
      <c r="AA171" s="110" t="s">
        <v>440</v>
      </c>
      <c r="AB171" s="110" t="s">
        <v>440</v>
      </c>
      <c r="AC171" s="110" t="s">
        <v>440</v>
      </c>
      <c r="AD171" s="110" t="s">
        <v>440</v>
      </c>
      <c r="AE171" s="110" t="s">
        <v>440</v>
      </c>
      <c r="AF171" s="110">
        <f t="shared" ref="AF171:AT171" si="312">+AF11/AB11-1</f>
        <v>2</v>
      </c>
      <c r="AG171" s="110">
        <f t="shared" si="312"/>
        <v>4.3157894736842106</v>
      </c>
      <c r="AH171" s="110">
        <f t="shared" si="312"/>
        <v>-1</v>
      </c>
      <c r="AI171" s="110">
        <f t="shared" si="312"/>
        <v>1.2068965517241379</v>
      </c>
      <c r="AJ171" s="110">
        <f t="shared" si="312"/>
        <v>1.1527777777777777</v>
      </c>
      <c r="AK171" s="110">
        <f t="shared" si="312"/>
        <v>0.71287128712871284</v>
      </c>
      <c r="AL171" s="110" t="e">
        <f t="shared" si="312"/>
        <v>#DIV/0!</v>
      </c>
      <c r="AM171" s="110">
        <f t="shared" si="312"/>
        <v>0.5703125</v>
      </c>
      <c r="AN171" s="110">
        <f t="shared" si="312"/>
        <v>0.40645161290322585</v>
      </c>
      <c r="AO171" s="110">
        <f t="shared" si="312"/>
        <v>0.42774566473988429</v>
      </c>
      <c r="AP171" s="110">
        <f t="shared" si="312"/>
        <v>0.42574257425742568</v>
      </c>
      <c r="AQ171" s="110">
        <f t="shared" si="312"/>
        <v>0.51741293532338317</v>
      </c>
      <c r="AR171" s="110">
        <f t="shared" si="312"/>
        <v>0.47247706422018343</v>
      </c>
      <c r="AS171" s="110">
        <f t="shared" si="312"/>
        <v>0.417004048582996</v>
      </c>
      <c r="AT171" s="110">
        <f t="shared" si="312"/>
        <v>0.34027777777777768</v>
      </c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>
        <f t="shared" si="310"/>
        <v>-5.0943396226415083E-2</v>
      </c>
      <c r="CB171" s="110">
        <f t="shared" si="310"/>
        <v>-8.0675422138836828E-2</v>
      </c>
      <c r="CC171" s="110">
        <f t="shared" si="310"/>
        <v>5.9642147117295874E-3</v>
      </c>
      <c r="CD171" s="110">
        <f t="shared" si="310"/>
        <v>-6.3157894736841635E-3</v>
      </c>
      <c r="CE171" s="110">
        <f t="shared" si="310"/>
        <v>-3.379721669980118E-2</v>
      </c>
      <c r="CF171" s="110">
        <f t="shared" si="310"/>
        <v>-2.6530612244897944E-2</v>
      </c>
      <c r="CG171" s="110">
        <f t="shared" si="310"/>
        <v>-3.7549407114624511E-2</v>
      </c>
      <c r="CH171" s="110">
        <f t="shared" si="310"/>
        <v>8.8983050847457612E-2</v>
      </c>
      <c r="CI171" s="110">
        <f t="shared" si="310"/>
        <v>-6.5843621399176988E-2</v>
      </c>
      <c r="CJ171" s="110">
        <f t="shared" si="310"/>
        <v>-2.0964360587002462E-3</v>
      </c>
      <c r="CK171" s="110">
        <f t="shared" si="311"/>
        <v>-0.14373716632443534</v>
      </c>
      <c r="CL171" s="110">
        <f t="shared" si="311"/>
        <v>-0.3132295719844358</v>
      </c>
      <c r="CM171" s="110">
        <f t="shared" si="311"/>
        <v>-0.27533039647577096</v>
      </c>
      <c r="CN171" s="110">
        <f t="shared" si="311"/>
        <v>-0.25630252100840334</v>
      </c>
      <c r="CO171" s="110">
        <f t="shared" si="311"/>
        <v>-0.38848920863309355</v>
      </c>
      <c r="CP171" s="110">
        <f t="shared" si="311"/>
        <v>-0.32011331444759206</v>
      </c>
      <c r="CQ171" s="110">
        <f t="shared" si="311"/>
        <v>-0.23708206686930089</v>
      </c>
      <c r="CR171" s="110">
        <f t="shared" si="311"/>
        <v>-0.36723163841807904</v>
      </c>
      <c r="CS171" s="110">
        <f t="shared" si="311"/>
        <v>-0.19999999999999996</v>
      </c>
      <c r="CT171" s="110"/>
      <c r="CU171" s="110"/>
      <c r="CV171" s="110"/>
      <c r="CW171" s="110"/>
      <c r="CX171" s="110"/>
      <c r="CY171" s="110"/>
      <c r="CZ171" s="110"/>
      <c r="DA171" s="73"/>
      <c r="DB171" s="9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C171" s="85"/>
    </row>
    <row r="172" spans="2:137" s="81" customFormat="1" ht="12.75" customHeight="1">
      <c r="B172" s="98" t="s">
        <v>659</v>
      </c>
      <c r="C172" s="99"/>
      <c r="D172" s="99"/>
      <c r="E172" s="99"/>
      <c r="F172" s="99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92"/>
      <c r="Z172" s="82"/>
      <c r="AA172" s="110"/>
      <c r="AB172" s="110"/>
      <c r="AC172" s="110"/>
      <c r="AD172" s="110" t="s">
        <v>440</v>
      </c>
      <c r="AE172" s="110" t="s">
        <v>440</v>
      </c>
      <c r="AF172" s="110" t="s">
        <v>440</v>
      </c>
      <c r="AG172" s="110" t="s">
        <v>440</v>
      </c>
      <c r="AH172" s="110">
        <f t="shared" ref="AH172:AT172" si="313">+AH22/AD22-1</f>
        <v>7.9120879120879062E-2</v>
      </c>
      <c r="AI172" s="110">
        <f t="shared" si="313"/>
        <v>2.1696252465483346E-2</v>
      </c>
      <c r="AJ172" s="110">
        <f t="shared" si="313"/>
        <v>1.4362657091562037E-2</v>
      </c>
      <c r="AK172" s="110">
        <f t="shared" si="313"/>
        <v>7.8014184397163122E-2</v>
      </c>
      <c r="AL172" s="110">
        <f t="shared" si="313"/>
        <v>-0.12219959266802449</v>
      </c>
      <c r="AM172" s="110">
        <f t="shared" si="313"/>
        <v>0.30115830115830122</v>
      </c>
      <c r="AN172" s="110">
        <f t="shared" si="313"/>
        <v>0.1840707964601771</v>
      </c>
      <c r="AO172" s="110">
        <f t="shared" si="313"/>
        <v>8.7171052631578982E-2</v>
      </c>
      <c r="AP172" s="110">
        <f t="shared" si="313"/>
        <v>0.64733178654292334</v>
      </c>
      <c r="AQ172" s="110">
        <f t="shared" si="313"/>
        <v>0.1172106824925816</v>
      </c>
      <c r="AR172" s="110">
        <f t="shared" si="313"/>
        <v>0.25859491778774291</v>
      </c>
      <c r="AS172" s="110">
        <f t="shared" si="313"/>
        <v>-0.15128593040847205</v>
      </c>
      <c r="AT172" s="110">
        <f t="shared" si="313"/>
        <v>-0.28028169014084503</v>
      </c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/>
      <c r="CB172" s="110"/>
      <c r="CC172" s="110"/>
      <c r="CD172" s="110"/>
      <c r="CE172" s="110"/>
      <c r="CF172" s="110"/>
      <c r="CG172" s="110"/>
      <c r="CH172" s="110"/>
      <c r="CI172" s="110"/>
      <c r="CJ172" s="110"/>
      <c r="CK172" s="110"/>
      <c r="CL172" s="110"/>
      <c r="CM172" s="110"/>
      <c r="CN172" s="110"/>
      <c r="CO172" s="110"/>
      <c r="CP172" s="110"/>
      <c r="CQ172" s="110"/>
      <c r="CR172" s="110"/>
      <c r="CS172" s="110"/>
      <c r="CT172" s="110"/>
      <c r="CU172" s="110"/>
      <c r="CV172" s="110"/>
      <c r="CW172" s="110"/>
      <c r="CX172" s="110"/>
      <c r="CY172" s="110"/>
      <c r="CZ172" s="110"/>
      <c r="DA172" s="73"/>
      <c r="DB172" s="9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C172" s="85"/>
    </row>
    <row r="173" spans="2:137" s="81" customFormat="1" ht="12.75" customHeight="1">
      <c r="B173" s="98" t="s">
        <v>660</v>
      </c>
      <c r="C173" s="99"/>
      <c r="D173" s="99"/>
      <c r="E173" s="99"/>
      <c r="F173" s="9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92"/>
      <c r="Z173" s="82"/>
      <c r="AA173" s="110"/>
      <c r="AB173" s="110"/>
      <c r="AC173" s="110"/>
      <c r="AD173" s="110">
        <f t="shared" ref="AD173:AT173" si="314">+AD51/Z51-1</f>
        <v>8.5187194791101595E-2</v>
      </c>
      <c r="AE173" s="110">
        <f t="shared" si="314"/>
        <v>4.3924334722667657E-2</v>
      </c>
      <c r="AF173" s="110">
        <f t="shared" si="314"/>
        <v>-0.13738344988344986</v>
      </c>
      <c r="AG173" s="110">
        <f t="shared" si="314"/>
        <v>-0.18152958152958143</v>
      </c>
      <c r="AH173" s="110">
        <f t="shared" si="314"/>
        <v>-3.7999999999999923E-2</v>
      </c>
      <c r="AI173" s="110">
        <f t="shared" si="314"/>
        <v>-0.26750614250614257</v>
      </c>
      <c r="AJ173" s="110">
        <f t="shared" si="314"/>
        <v>-0.10150312447221754</v>
      </c>
      <c r="AK173" s="110">
        <f t="shared" si="314"/>
        <v>-7.4400564174894268E-2</v>
      </c>
      <c r="AL173" s="110">
        <f t="shared" si="314"/>
        <v>-3.4650034650041128E-4</v>
      </c>
      <c r="AM173" s="110">
        <f t="shared" si="314"/>
        <v>0</v>
      </c>
      <c r="AN173" s="110">
        <f t="shared" si="314"/>
        <v>-7.8947368421052655E-2</v>
      </c>
      <c r="AO173" s="110">
        <f t="shared" si="314"/>
        <v>-7.6190476190476142E-2</v>
      </c>
      <c r="AP173" s="110">
        <f t="shared" si="314"/>
        <v>-2.5996533795493937E-2</v>
      </c>
      <c r="AQ173" s="110">
        <f t="shared" si="314"/>
        <v>6.2893081761006275E-3</v>
      </c>
      <c r="AR173" s="110">
        <f t="shared" si="314"/>
        <v>-6.3265306122448961E-2</v>
      </c>
      <c r="AS173" s="110">
        <f t="shared" si="314"/>
        <v>-3.2989690721649478E-2</v>
      </c>
      <c r="AT173" s="110">
        <f t="shared" si="314"/>
        <v>-0.15480427046263345</v>
      </c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0"/>
      <c r="CH173" s="110"/>
      <c r="CI173" s="110"/>
      <c r="CJ173" s="110"/>
      <c r="CK173" s="110"/>
      <c r="CL173" s="110"/>
      <c r="CM173" s="110"/>
      <c r="CN173" s="110"/>
      <c r="CO173" s="110"/>
      <c r="CP173" s="110"/>
      <c r="CQ173" s="110"/>
      <c r="CR173" s="110"/>
      <c r="CS173" s="110"/>
      <c r="CT173" s="110"/>
      <c r="CU173" s="110"/>
      <c r="CV173" s="110"/>
      <c r="CW173" s="110"/>
      <c r="CX173" s="110"/>
      <c r="CY173" s="110"/>
      <c r="CZ173" s="110"/>
      <c r="DA173" s="73"/>
      <c r="DB173" s="9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C173" s="85"/>
    </row>
    <row r="174" spans="2:137" s="81" customFormat="1" ht="12.75" customHeight="1">
      <c r="B174" s="98" t="s">
        <v>661</v>
      </c>
      <c r="C174" s="99"/>
      <c r="D174" s="99"/>
      <c r="E174" s="99"/>
      <c r="F174" s="99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92"/>
      <c r="Z174" s="82"/>
      <c r="AA174" s="110"/>
      <c r="AB174" s="110"/>
      <c r="AC174" s="110"/>
      <c r="AD174" s="110">
        <f t="shared" ref="AD174:AT174" si="315">+AD50/Z50-1</f>
        <v>0.13784741652676735</v>
      </c>
      <c r="AE174" s="110">
        <f t="shared" si="315"/>
        <v>6.9301470588235325E-2</v>
      </c>
      <c r="AF174" s="110">
        <f t="shared" si="315"/>
        <v>-2.9610389610389642E-2</v>
      </c>
      <c r="AG174" s="110">
        <f t="shared" si="315"/>
        <v>-0.11976935749588147</v>
      </c>
      <c r="AH174" s="110">
        <f t="shared" si="315"/>
        <v>-1</v>
      </c>
      <c r="AI174" s="110">
        <f t="shared" si="315"/>
        <v>-0.12325941206807645</v>
      </c>
      <c r="AJ174" s="110">
        <f t="shared" si="315"/>
        <v>-7.8515346181298185E-3</v>
      </c>
      <c r="AK174" s="110">
        <f t="shared" si="315"/>
        <v>5.371514130638233E-2</v>
      </c>
      <c r="AL174" s="110" t="e">
        <f t="shared" si="315"/>
        <v>#DIV/0!</v>
      </c>
      <c r="AM174" s="110">
        <f t="shared" si="315"/>
        <v>4.705882352941182E-2</v>
      </c>
      <c r="AN174" s="110">
        <f t="shared" si="315"/>
        <v>1.4388489208633004E-2</v>
      </c>
      <c r="AO174" s="110">
        <f t="shared" si="315"/>
        <v>1.4209591474245054E-2</v>
      </c>
      <c r="AP174" s="110">
        <f t="shared" si="315"/>
        <v>2.4429967426710109E-2</v>
      </c>
      <c r="AQ174" s="110">
        <f t="shared" si="315"/>
        <v>8.98876404494382E-2</v>
      </c>
      <c r="AR174" s="110">
        <f t="shared" si="315"/>
        <v>4.9645390070921946E-2</v>
      </c>
      <c r="AS174" s="110">
        <f t="shared" si="315"/>
        <v>7.5306479859895026E-2</v>
      </c>
      <c r="AT174" s="110">
        <f t="shared" si="315"/>
        <v>1.7488076311605649E-2</v>
      </c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0"/>
      <c r="CH174" s="110"/>
      <c r="CI174" s="110"/>
      <c r="CJ174" s="110"/>
      <c r="CK174" s="110"/>
      <c r="CL174" s="110"/>
      <c r="CM174" s="110"/>
      <c r="CN174" s="110"/>
      <c r="CO174" s="110"/>
      <c r="CP174" s="110"/>
      <c r="CQ174" s="110"/>
      <c r="CR174" s="110"/>
      <c r="CS174" s="110"/>
      <c r="CT174" s="110"/>
      <c r="CU174" s="110"/>
      <c r="CV174" s="110"/>
      <c r="CW174" s="110"/>
      <c r="CX174" s="110"/>
      <c r="CY174" s="110"/>
      <c r="CZ174" s="110"/>
      <c r="DA174" s="73"/>
      <c r="DB174" s="9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C174" s="85"/>
    </row>
    <row r="175" spans="2:137" s="81" customFormat="1" ht="12.75" customHeight="1">
      <c r="B175" s="108"/>
      <c r="C175" s="99"/>
      <c r="D175" s="99"/>
      <c r="E175" s="99"/>
      <c r="F175" s="99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92"/>
      <c r="Z175" s="82"/>
      <c r="AA175" s="92"/>
      <c r="AB175" s="82"/>
      <c r="AC175" s="85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73"/>
      <c r="DB175" s="99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C175" s="85"/>
    </row>
    <row r="176" spans="2:137" s="81" customFormat="1" ht="12.75" customHeight="1">
      <c r="B176" s="108"/>
      <c r="C176" s="99"/>
      <c r="D176" s="99"/>
      <c r="E176" s="99"/>
      <c r="F176" s="9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92"/>
      <c r="Z176" s="82"/>
      <c r="AA176" s="92"/>
      <c r="AB176" s="82"/>
      <c r="AC176" s="85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73"/>
      <c r="DB176" s="99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C176" s="85"/>
    </row>
    <row r="177" spans="2:133" s="81" customFormat="1" ht="12.75" customHeight="1">
      <c r="B177" s="108"/>
      <c r="C177" s="99"/>
      <c r="D177" s="99"/>
      <c r="E177" s="99"/>
      <c r="F177" s="9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92"/>
      <c r="Z177" s="82"/>
      <c r="AA177" s="92"/>
      <c r="AB177" s="82"/>
      <c r="AC177" s="85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73"/>
      <c r="DB177" s="99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C177" s="85"/>
    </row>
    <row r="178" spans="2:133" s="81" customFormat="1" ht="12.75" customHeight="1">
      <c r="B178" s="108"/>
      <c r="C178" s="99"/>
      <c r="D178" s="99"/>
      <c r="E178" s="99"/>
      <c r="F178" s="9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92"/>
      <c r="Z178" s="82"/>
      <c r="AA178" s="92"/>
      <c r="AB178" s="82"/>
      <c r="AC178" s="85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73"/>
      <c r="DB178" s="99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C178" s="85"/>
    </row>
    <row r="179" spans="2:133" s="90" customFormat="1" ht="12.75" customHeight="1">
      <c r="B179" s="111" t="s">
        <v>69</v>
      </c>
      <c r="C179" s="91"/>
      <c r="D179" s="91"/>
      <c r="E179" s="91"/>
      <c r="F179" s="91"/>
      <c r="G179" s="85"/>
      <c r="H179" s="85"/>
      <c r="I179" s="91"/>
      <c r="J179" s="91"/>
      <c r="K179" s="91"/>
      <c r="L179" s="91"/>
      <c r="M179" s="91"/>
      <c r="N179" s="91"/>
      <c r="O179" s="91">
        <v>65.5</v>
      </c>
      <c r="P179" s="91">
        <v>64.5</v>
      </c>
      <c r="Q179" s="91">
        <v>82.5</v>
      </c>
      <c r="R179" s="91">
        <v>85.5</v>
      </c>
      <c r="S179" s="91">
        <v>116</v>
      </c>
      <c r="T179" s="91">
        <v>135.1</v>
      </c>
      <c r="U179" s="91">
        <v>180.22499999999999</v>
      </c>
      <c r="V179" s="91">
        <v>211.60499999999999</v>
      </c>
      <c r="W179" s="91"/>
      <c r="X179" s="91"/>
      <c r="Y179" s="92"/>
      <c r="Z179" s="91"/>
      <c r="AA179" s="92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3"/>
      <c r="DB179" s="91"/>
      <c r="DC179" s="85"/>
      <c r="DD179" s="85"/>
      <c r="DE179" s="91">
        <f>SUM(O179:R179)</f>
        <v>298</v>
      </c>
      <c r="DF179" s="91">
        <f>SUM(S179:V179)</f>
        <v>642.92999999999995</v>
      </c>
      <c r="DG179" s="91"/>
      <c r="DH179" s="91"/>
      <c r="DI179" s="91"/>
      <c r="DJ179" s="91"/>
      <c r="DK179" s="91"/>
      <c r="DL179" s="91"/>
      <c r="DM179" s="91"/>
      <c r="DN179" s="91"/>
      <c r="DO179" s="91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85"/>
      <c r="EA179" s="85"/>
      <c r="EC179" s="85"/>
    </row>
    <row r="180" spans="2:133" s="90" customFormat="1" ht="12.75" customHeight="1">
      <c r="B180" s="111" t="s">
        <v>81</v>
      </c>
      <c r="C180" s="91"/>
      <c r="D180" s="91"/>
      <c r="E180" s="91"/>
      <c r="F180" s="91"/>
      <c r="G180" s="85"/>
      <c r="H180" s="85"/>
      <c r="I180" s="91"/>
      <c r="J180" s="91"/>
      <c r="K180" s="91"/>
      <c r="L180" s="91"/>
      <c r="M180" s="91"/>
      <c r="N180" s="91"/>
      <c r="O180" s="91">
        <f>O181-O179</f>
        <v>-260.2</v>
      </c>
      <c r="P180" s="91">
        <f>P181-P179</f>
        <v>-285</v>
      </c>
      <c r="Q180" s="91">
        <f>Q181-Q179</f>
        <v>-389.6</v>
      </c>
      <c r="R180" s="91">
        <f>R181-R179</f>
        <v>-371.4</v>
      </c>
      <c r="S180" s="91">
        <v>200</v>
      </c>
      <c r="T180" s="91">
        <v>195</v>
      </c>
      <c r="U180" s="91">
        <v>195</v>
      </c>
      <c r="V180" s="91">
        <v>195</v>
      </c>
      <c r="W180" s="91"/>
      <c r="X180" s="91"/>
      <c r="Y180" s="92"/>
      <c r="Z180" s="91"/>
      <c r="AA180" s="92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3"/>
      <c r="DB180" s="91"/>
      <c r="DC180" s="85"/>
      <c r="DD180" s="85"/>
      <c r="DE180" s="91">
        <f>SUM(O180:R180)</f>
        <v>-1306.2</v>
      </c>
      <c r="DF180" s="91">
        <f>SUM(S180:V180)</f>
        <v>785</v>
      </c>
      <c r="DG180" s="91"/>
      <c r="DH180" s="91"/>
      <c r="DI180" s="91"/>
      <c r="DJ180" s="91"/>
      <c r="DK180" s="91"/>
      <c r="DL180" s="91"/>
      <c r="DM180" s="91"/>
      <c r="DN180" s="91"/>
      <c r="DO180" s="91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85"/>
      <c r="EA180" s="85"/>
      <c r="EC180" s="85"/>
    </row>
    <row r="181" spans="2:133" s="90" customFormat="1" ht="12.75" customHeight="1">
      <c r="B181" s="111" t="s">
        <v>68</v>
      </c>
      <c r="C181" s="91"/>
      <c r="D181" s="91"/>
      <c r="E181" s="91"/>
      <c r="F181" s="91"/>
      <c r="G181" s="85"/>
      <c r="H181" s="85"/>
      <c r="I181" s="91"/>
      <c r="J181" s="91"/>
      <c r="K181" s="91"/>
      <c r="L181" s="91"/>
      <c r="M181" s="91"/>
      <c r="N181" s="91"/>
      <c r="O181" s="91">
        <f>-O98</f>
        <v>-194.7</v>
      </c>
      <c r="P181" s="91">
        <f>-P98</f>
        <v>-220.5</v>
      </c>
      <c r="Q181" s="91">
        <f>-Q98</f>
        <v>-307.10000000000002</v>
      </c>
      <c r="R181" s="91">
        <f>-R98</f>
        <v>-285.89999999999998</v>
      </c>
      <c r="S181" s="91">
        <f>-S98</f>
        <v>-316.3</v>
      </c>
      <c r="T181" s="91">
        <f>SUM(T179:T180)</f>
        <v>330.1</v>
      </c>
      <c r="U181" s="91">
        <f>SUM(U179:U180)</f>
        <v>375.22500000000002</v>
      </c>
      <c r="V181" s="91">
        <f>SUM(V179:V180)</f>
        <v>406.60500000000002</v>
      </c>
      <c r="W181" s="91"/>
      <c r="X181" s="91"/>
      <c r="Y181" s="92"/>
      <c r="Z181" s="91"/>
      <c r="AA181" s="92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3"/>
      <c r="DB181" s="91"/>
      <c r="DC181" s="85"/>
      <c r="DD181" s="85"/>
      <c r="DE181" s="91">
        <f>DE179+DE180</f>
        <v>-1008.2</v>
      </c>
      <c r="DF181" s="91">
        <f>SUM(S181:V181)</f>
        <v>795.63000000000011</v>
      </c>
      <c r="DG181" s="91"/>
      <c r="DH181" s="91"/>
      <c r="DI181" s="91"/>
      <c r="DJ181" s="91"/>
      <c r="DK181" s="91"/>
      <c r="DL181" s="91"/>
      <c r="DM181" s="91"/>
      <c r="DN181" s="91"/>
      <c r="DO181" s="91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C181" s="85"/>
    </row>
    <row r="182" spans="2:133" s="90" customFormat="1" ht="12.75" customHeight="1">
      <c r="B182" s="111"/>
      <c r="C182" s="91"/>
      <c r="D182" s="91"/>
      <c r="E182" s="91"/>
      <c r="F182" s="9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92"/>
      <c r="Z182" s="85"/>
      <c r="AA182" s="92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  <c r="DA182" s="93"/>
      <c r="DB182" s="91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C182" s="85"/>
    </row>
    <row r="183" spans="2:133" s="90" customFormat="1" ht="12.75" customHeight="1">
      <c r="B183" s="111" t="s">
        <v>82</v>
      </c>
      <c r="C183" s="91"/>
      <c r="D183" s="91"/>
      <c r="E183" s="91"/>
      <c r="F183" s="9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2"/>
      <c r="Z183" s="85"/>
      <c r="AA183" s="92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93"/>
      <c r="DB183" s="91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C183" s="85"/>
    </row>
    <row r="184" spans="2:133" s="90" customFormat="1" ht="12.75" customHeight="1">
      <c r="B184" s="93" t="s">
        <v>83</v>
      </c>
      <c r="C184" s="112"/>
      <c r="D184" s="112"/>
      <c r="E184" s="112"/>
      <c r="F184" s="112"/>
      <c r="G184" s="112"/>
      <c r="H184" s="112"/>
      <c r="I184" s="85"/>
      <c r="J184" s="85"/>
      <c r="K184" s="85">
        <v>326.10000000000002</v>
      </c>
      <c r="L184" s="85">
        <v>479.8</v>
      </c>
      <c r="M184" s="85">
        <v>187.7</v>
      </c>
      <c r="N184" s="85">
        <v>320.60000000000002</v>
      </c>
      <c r="O184" s="85" t="e">
        <f>#REF!</f>
        <v>#REF!</v>
      </c>
      <c r="P184" s="85" t="e">
        <f>#REF!</f>
        <v>#REF!</v>
      </c>
      <c r="Q184" s="85" t="e">
        <f>#REF!</f>
        <v>#REF!</v>
      </c>
      <c r="R184" s="85" t="e">
        <f>#REF!</f>
        <v>#REF!</v>
      </c>
      <c r="S184" s="85" t="e">
        <f>#REF!</f>
        <v>#REF!</v>
      </c>
      <c r="T184" s="85">
        <f>$DF$184/4</f>
        <v>0</v>
      </c>
      <c r="U184" s="85">
        <f>$DF$184/4</f>
        <v>0</v>
      </c>
      <c r="V184" s="85" t="e">
        <f>DF184-SUM(S184:U184)</f>
        <v>#REF!</v>
      </c>
      <c r="W184" s="85"/>
      <c r="X184" s="85"/>
      <c r="Y184" s="92"/>
      <c r="Z184" s="85"/>
      <c r="AA184" s="92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93"/>
      <c r="DB184" s="112"/>
      <c r="DC184" s="112"/>
      <c r="DD184" s="91">
        <v>1314.2</v>
      </c>
      <c r="DE184" s="91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C184" s="85"/>
    </row>
    <row r="185" spans="2:133" s="90" customFormat="1" ht="12.75" customHeight="1">
      <c r="B185" s="93" t="s">
        <v>84</v>
      </c>
      <c r="C185" s="112"/>
      <c r="D185" s="112"/>
      <c r="E185" s="112"/>
      <c r="F185" s="112"/>
      <c r="G185" s="112"/>
      <c r="H185" s="112"/>
      <c r="I185" s="85"/>
      <c r="J185" s="85"/>
      <c r="K185" s="85"/>
      <c r="L185" s="85"/>
      <c r="M185" s="85"/>
      <c r="N185" s="85"/>
      <c r="O185" s="85" t="e">
        <f t="shared" ref="O185:V185" si="316">O184-O186</f>
        <v>#REF!</v>
      </c>
      <c r="P185" s="85" t="e">
        <f t="shared" si="316"/>
        <v>#REF!</v>
      </c>
      <c r="Q185" s="85" t="e">
        <f t="shared" si="316"/>
        <v>#REF!</v>
      </c>
      <c r="R185" s="85" t="e">
        <f t="shared" si="316"/>
        <v>#REF!</v>
      </c>
      <c r="S185" s="85" t="e">
        <f t="shared" si="316"/>
        <v>#REF!</v>
      </c>
      <c r="T185" s="85">
        <f t="shared" si="316"/>
        <v>0</v>
      </c>
      <c r="U185" s="85">
        <f t="shared" si="316"/>
        <v>0</v>
      </c>
      <c r="V185" s="85" t="e">
        <f t="shared" si="316"/>
        <v>#REF!</v>
      </c>
      <c r="W185" s="85"/>
      <c r="X185" s="85"/>
      <c r="Y185" s="92"/>
      <c r="Z185" s="85"/>
      <c r="AA185" s="92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93"/>
      <c r="DB185" s="112"/>
      <c r="DC185" s="112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C185" s="85"/>
    </row>
    <row r="186" spans="2:133" s="90" customFormat="1" ht="12.75" customHeight="1">
      <c r="B186" s="93" t="s">
        <v>85</v>
      </c>
      <c r="C186" s="112"/>
      <c r="D186" s="112"/>
      <c r="E186" s="112"/>
      <c r="F186" s="112"/>
      <c r="G186" s="112"/>
      <c r="H186" s="112"/>
      <c r="I186" s="85"/>
      <c r="J186" s="85"/>
      <c r="K186" s="85">
        <v>31.3</v>
      </c>
      <c r="L186" s="85">
        <v>36.9</v>
      </c>
      <c r="M186" s="85">
        <v>36.1</v>
      </c>
      <c r="N186" s="85">
        <v>36.5</v>
      </c>
      <c r="O186" s="85">
        <v>37.299999999999997</v>
      </c>
      <c r="P186" s="85">
        <v>37.200000000000003</v>
      </c>
      <c r="Q186" s="85">
        <v>37.200000000000003</v>
      </c>
      <c r="R186" s="85">
        <v>37.200000000000003</v>
      </c>
      <c r="S186" s="85">
        <f>$DF186/4</f>
        <v>0</v>
      </c>
      <c r="T186" s="85">
        <f>$DF186/4</f>
        <v>0</v>
      </c>
      <c r="U186" s="85">
        <f>$DF186/4</f>
        <v>0</v>
      </c>
      <c r="V186" s="85">
        <f>$DF186/4</f>
        <v>0</v>
      </c>
      <c r="W186" s="85"/>
      <c r="X186" s="85"/>
      <c r="Y186" s="92"/>
      <c r="Z186" s="85"/>
      <c r="AA186" s="92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93"/>
      <c r="DB186" s="112"/>
      <c r="DC186" s="112"/>
      <c r="DD186" s="91">
        <f>SUM(K186:N186)</f>
        <v>140.80000000000001</v>
      </c>
      <c r="DE186" s="91">
        <f>SUM(O186:R186)</f>
        <v>148.9</v>
      </c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C186" s="85"/>
    </row>
    <row r="187" spans="2:133" s="90" customFormat="1" ht="12.75" customHeight="1">
      <c r="B187" s="93" t="s">
        <v>80</v>
      </c>
      <c r="C187" s="112"/>
      <c r="D187" s="112"/>
      <c r="E187" s="112"/>
      <c r="F187" s="112"/>
      <c r="G187" s="112"/>
      <c r="H187" s="112"/>
      <c r="I187" s="91"/>
      <c r="J187" s="91"/>
      <c r="K187" s="91">
        <v>2243.1190000000001</v>
      </c>
      <c r="L187" s="91">
        <f>2976.230393-735.820341</f>
        <v>2240.4100519999997</v>
      </c>
      <c r="M187" s="91">
        <v>2231.8939999999998</v>
      </c>
      <c r="N187" s="91">
        <v>2221.7640000000001</v>
      </c>
      <c r="O187" s="91">
        <v>2222.567</v>
      </c>
      <c r="P187" s="91">
        <v>2220.096</v>
      </c>
      <c r="Q187" s="91">
        <f>Q188*2-P187</f>
        <v>2214.904</v>
      </c>
      <c r="R187" s="91">
        <f>DE187</f>
        <v>0</v>
      </c>
      <c r="S187" s="91">
        <f>2976.230393-770.826493</f>
        <v>2205.4038999999998</v>
      </c>
      <c r="T187" s="91">
        <f>T188*2-S187</f>
        <v>2202.5960999999993</v>
      </c>
      <c r="U187" s="91">
        <f>U188*2-T187</f>
        <v>2201.2038999999991</v>
      </c>
      <c r="V187" s="91">
        <f>DF187</f>
        <v>0</v>
      </c>
      <c r="W187" s="91"/>
      <c r="X187" s="91"/>
      <c r="Y187" s="92"/>
      <c r="Z187" s="91"/>
      <c r="AA187" s="92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91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3"/>
      <c r="DB187" s="112"/>
      <c r="DC187" s="112"/>
      <c r="DD187" s="112">
        <f>N187</f>
        <v>2221.7640000000001</v>
      </c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C187" s="85"/>
    </row>
    <row r="188" spans="2:133" s="90" customFormat="1" ht="12.75" customHeight="1">
      <c r="B188" s="93" t="s">
        <v>86</v>
      </c>
      <c r="C188" s="112"/>
      <c r="D188" s="112"/>
      <c r="E188" s="112"/>
      <c r="F188" s="112"/>
      <c r="G188" s="112"/>
      <c r="H188" s="112"/>
      <c r="I188" s="112"/>
      <c r="J188" s="112"/>
      <c r="K188" s="112">
        <v>2244.3000000000002</v>
      </c>
      <c r="L188" s="112">
        <v>2241.4</v>
      </c>
      <c r="M188" s="112">
        <v>2237</v>
      </c>
      <c r="N188" s="112">
        <f>AVERAGE(M187:N187)</f>
        <v>2226.8289999999997</v>
      </c>
      <c r="O188" s="112">
        <v>2222.6</v>
      </c>
      <c r="P188" s="112">
        <v>2221.4</v>
      </c>
      <c r="Q188" s="112">
        <f>Q105-(P105-P188)</f>
        <v>2217.5</v>
      </c>
      <c r="R188" s="112">
        <f>R105-(Q105-Q188)</f>
        <v>2208.8000000000002</v>
      </c>
      <c r="S188" s="112">
        <v>2207.1999999999998</v>
      </c>
      <c r="T188" s="112">
        <f>S188-(S105-S188)</f>
        <v>2203.9999999999995</v>
      </c>
      <c r="U188" s="112">
        <f>T188-(T105-T188)</f>
        <v>2201.8999999999992</v>
      </c>
      <c r="V188" s="112">
        <f>U188-(U105-U188)</f>
        <v>2206.7999999999984</v>
      </c>
      <c r="W188" s="112"/>
      <c r="X188" s="112"/>
      <c r="Y188" s="92"/>
      <c r="Z188" s="112"/>
      <c r="AA188" s="9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  <c r="CX188" s="112"/>
      <c r="CY188" s="112"/>
      <c r="CZ188" s="112"/>
      <c r="DA188" s="93"/>
      <c r="DB188" s="112"/>
      <c r="DC188" s="112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C188" s="85"/>
    </row>
    <row r="189" spans="2:133" s="113" customFormat="1" ht="12.75" customHeight="1">
      <c r="B189" s="93" t="s">
        <v>87</v>
      </c>
      <c r="C189" s="92"/>
      <c r="D189" s="92"/>
      <c r="E189" s="92"/>
      <c r="F189" s="92"/>
      <c r="G189" s="92"/>
      <c r="H189" s="92"/>
      <c r="I189" s="92"/>
      <c r="J189" s="92"/>
      <c r="K189" s="92">
        <f t="shared" ref="K189:V189" si="317">ROUND(K103/K188,2)</f>
        <v>-1.79</v>
      </c>
      <c r="L189" s="92">
        <f t="shared" si="317"/>
        <v>-1.67</v>
      </c>
      <c r="M189" s="92">
        <f t="shared" si="317"/>
        <v>-1.74</v>
      </c>
      <c r="N189" s="92">
        <f t="shared" si="317"/>
        <v>-1.9</v>
      </c>
      <c r="O189" s="92" t="e">
        <f t="shared" si="317"/>
        <v>#REF!</v>
      </c>
      <c r="P189" s="92" t="e">
        <f t="shared" si="317"/>
        <v>#REF!</v>
      </c>
      <c r="Q189" s="92">
        <f t="shared" si="317"/>
        <v>-1.27</v>
      </c>
      <c r="R189" s="92">
        <f t="shared" si="317"/>
        <v>-1.25</v>
      </c>
      <c r="S189" s="92">
        <f t="shared" si="317"/>
        <v>-1.23</v>
      </c>
      <c r="T189" s="92">
        <f t="shared" si="317"/>
        <v>-1.34</v>
      </c>
      <c r="U189" s="92">
        <f t="shared" si="317"/>
        <v>-1.22</v>
      </c>
      <c r="V189" s="92">
        <f t="shared" si="317"/>
        <v>-1.19</v>
      </c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3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2"/>
      <c r="DR189" s="92"/>
      <c r="DS189" s="92"/>
      <c r="DT189" s="92"/>
      <c r="DU189" s="92"/>
      <c r="DV189" s="92"/>
      <c r="DW189" s="92"/>
      <c r="DX189" s="92"/>
      <c r="DY189" s="92"/>
      <c r="DZ189" s="92"/>
      <c r="EA189" s="92"/>
      <c r="EC189" s="92"/>
    </row>
    <row r="190" spans="2:133" s="90" customFormat="1" ht="12.75" customHeight="1">
      <c r="B190" s="93" t="s">
        <v>88</v>
      </c>
      <c r="C190" s="112"/>
      <c r="D190" s="112"/>
      <c r="E190" s="112"/>
      <c r="F190" s="112"/>
      <c r="G190" s="112"/>
      <c r="H190" s="112"/>
      <c r="I190" s="92"/>
      <c r="J190" s="92"/>
      <c r="K190" s="92"/>
      <c r="L190" s="92"/>
      <c r="M190" s="92"/>
      <c r="N190" s="92"/>
      <c r="O190" s="92" t="e">
        <f>-#REF!</f>
        <v>#REF!</v>
      </c>
      <c r="P190" s="92" t="e">
        <f>-#REF!</f>
        <v>#REF!</v>
      </c>
      <c r="Q190" s="92" t="e">
        <f>-#REF!</f>
        <v>#REF!</v>
      </c>
      <c r="R190" s="92" t="e">
        <f>-#REF!</f>
        <v>#REF!</v>
      </c>
      <c r="S190" s="92" t="e">
        <f>-#REF!</f>
        <v>#REF!</v>
      </c>
      <c r="T190" s="92">
        <f>$DF$190/4</f>
        <v>0</v>
      </c>
      <c r="U190" s="92">
        <f>$DF$190/4</f>
        <v>0</v>
      </c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3"/>
      <c r="DB190" s="112"/>
      <c r="DC190" s="112"/>
      <c r="DD190" s="11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85"/>
      <c r="DQ190" s="85"/>
      <c r="DR190" s="85"/>
      <c r="DS190" s="85"/>
      <c r="DT190" s="85"/>
      <c r="DU190" s="85"/>
      <c r="DV190" s="85"/>
      <c r="DW190" s="85"/>
      <c r="DX190" s="85"/>
      <c r="DY190" s="85"/>
      <c r="DZ190" s="85"/>
      <c r="EA190" s="85"/>
      <c r="EC190" s="85"/>
    </row>
    <row r="191" spans="2:133" s="90" customFormat="1" ht="12.75" customHeight="1">
      <c r="B191" s="93" t="s">
        <v>78</v>
      </c>
      <c r="C191" s="112"/>
      <c r="D191" s="112"/>
      <c r="E191" s="112"/>
      <c r="F191" s="112"/>
      <c r="G191" s="112"/>
      <c r="H191" s="112"/>
      <c r="I191" s="91"/>
      <c r="J191" s="91"/>
      <c r="K191" s="91">
        <f t="shared" ref="K191:U191" si="318">K101+K95+K94+K184</f>
        <v>-3021.7999999999997</v>
      </c>
      <c r="L191" s="91">
        <f t="shared" si="318"/>
        <v>-2563</v>
      </c>
      <c r="M191" s="91">
        <f t="shared" si="318"/>
        <v>-2950.9000000000005</v>
      </c>
      <c r="N191" s="91">
        <f t="shared" si="318"/>
        <v>-3537.7999999999997</v>
      </c>
      <c r="O191" s="91" t="e">
        <f t="shared" si="318"/>
        <v>#REF!</v>
      </c>
      <c r="P191" s="91" t="e">
        <f t="shared" si="318"/>
        <v>#REF!</v>
      </c>
      <c r="Q191" s="91" t="e">
        <f t="shared" si="318"/>
        <v>#REF!</v>
      </c>
      <c r="R191" s="91" t="e">
        <f t="shared" si="318"/>
        <v>#REF!</v>
      </c>
      <c r="S191" s="91" t="e">
        <f t="shared" si="318"/>
        <v>#REF!</v>
      </c>
      <c r="T191" s="91">
        <f t="shared" si="318"/>
        <v>-2190.2000000000003</v>
      </c>
      <c r="U191" s="91">
        <f t="shared" si="318"/>
        <v>-1877.1000000000001</v>
      </c>
      <c r="V191" s="91"/>
      <c r="W191" s="91"/>
      <c r="X191" s="91"/>
      <c r="Y191" s="92"/>
      <c r="Z191" s="91"/>
      <c r="AA191" s="92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3"/>
      <c r="DB191" s="112"/>
      <c r="DC191" s="112"/>
      <c r="DD191" s="91">
        <f>DD101+DD95+DD94+DD184</f>
        <v>-9408.5</v>
      </c>
      <c r="DE191" s="91">
        <f>DE101+DE95+DE94+DE184</f>
        <v>-8785.5</v>
      </c>
      <c r="DF191" s="91">
        <f>DF101+DF95+DF94+DF184</f>
        <v>-8008.9999999999991</v>
      </c>
      <c r="DG191" s="91"/>
      <c r="DH191" s="91"/>
      <c r="DI191" s="91"/>
      <c r="DJ191" s="91"/>
      <c r="DK191" s="91"/>
      <c r="DL191" s="91"/>
      <c r="DM191" s="91"/>
      <c r="DN191" s="91"/>
      <c r="DO191" s="91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85"/>
      <c r="EA191" s="85"/>
      <c r="EC191" s="85"/>
    </row>
    <row r="192" spans="2:133" s="90" customFormat="1" ht="12.75" customHeight="1">
      <c r="B192" s="93"/>
      <c r="C192" s="112"/>
      <c r="D192" s="112"/>
      <c r="E192" s="112"/>
      <c r="F192" s="112"/>
      <c r="G192" s="112"/>
      <c r="H192" s="11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3"/>
      <c r="DB192" s="112"/>
      <c r="DC192" s="112"/>
      <c r="DD192" s="11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C192" s="85"/>
    </row>
    <row r="193" spans="2:133" s="90" customFormat="1" ht="12.75" customHeight="1">
      <c r="B193" s="93" t="s">
        <v>89</v>
      </c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92"/>
      <c r="Z193" s="112"/>
      <c r="AA193" s="9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  <c r="CX193" s="112"/>
      <c r="CY193" s="112"/>
      <c r="CZ193" s="112"/>
      <c r="DA193" s="93"/>
      <c r="DB193" s="112"/>
      <c r="DC193" s="112"/>
      <c r="DD193" s="112"/>
      <c r="DE193" s="112"/>
      <c r="DF193" s="112"/>
      <c r="DG193" s="112"/>
      <c r="DH193" s="112"/>
      <c r="DI193" s="112"/>
      <c r="DJ193" s="112"/>
      <c r="DK193" s="112"/>
      <c r="DL193" s="112"/>
      <c r="DM193" s="112"/>
      <c r="DN193" s="112"/>
      <c r="DO193" s="112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C193" s="85"/>
    </row>
    <row r="194" spans="2:133" s="90" customFormat="1" ht="12.75" customHeight="1">
      <c r="B194" s="93" t="s">
        <v>90</v>
      </c>
      <c r="C194" s="112"/>
      <c r="D194" s="112"/>
      <c r="E194" s="112"/>
      <c r="F194" s="112"/>
      <c r="G194" s="112"/>
      <c r="H194" s="112"/>
      <c r="I194" s="112"/>
      <c r="J194" s="112"/>
      <c r="K194" s="112">
        <v>0</v>
      </c>
      <c r="L194" s="112">
        <v>0</v>
      </c>
      <c r="M194" s="112">
        <v>0</v>
      </c>
      <c r="N194" s="112">
        <v>195</v>
      </c>
      <c r="O194" s="112">
        <f>90-P194-Q194</f>
        <v>35</v>
      </c>
      <c r="P194" s="112">
        <v>21</v>
      </c>
      <c r="Q194" s="112">
        <v>34</v>
      </c>
      <c r="R194" s="112">
        <v>16</v>
      </c>
      <c r="S194" s="112"/>
      <c r="T194" s="112"/>
      <c r="U194" s="112"/>
      <c r="V194" s="112"/>
      <c r="W194" s="112"/>
      <c r="X194" s="112"/>
      <c r="Y194" s="92"/>
      <c r="Z194" s="112"/>
      <c r="AA194" s="9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93"/>
      <c r="DB194" s="112"/>
      <c r="DC194" s="112"/>
      <c r="DD194" s="91">
        <f t="shared" ref="DD194:DD199" si="319">SUM(K194:N194)</f>
        <v>195</v>
      </c>
      <c r="DE194" s="91">
        <f t="shared" ref="DE194:DE199" si="320">SUM(O194:R194)</f>
        <v>106</v>
      </c>
      <c r="DF194" s="114">
        <f>DF90/DE198-1</f>
        <v>0.17784746140269703</v>
      </c>
      <c r="DG194" s="114"/>
      <c r="DH194" s="114"/>
      <c r="DI194" s="114"/>
      <c r="DJ194" s="114"/>
      <c r="DK194" s="114"/>
      <c r="DL194" s="114"/>
      <c r="DM194" s="114"/>
      <c r="DN194" s="114"/>
      <c r="DO194" s="114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85"/>
      <c r="EA194" s="85"/>
      <c r="EC194" s="85"/>
    </row>
    <row r="195" spans="2:133" s="90" customFormat="1" ht="12.75" customHeight="1">
      <c r="B195" s="93" t="s">
        <v>91</v>
      </c>
      <c r="C195" s="112"/>
      <c r="D195" s="112"/>
      <c r="E195" s="112"/>
      <c r="F195" s="112"/>
      <c r="G195" s="112"/>
      <c r="H195" s="112"/>
      <c r="I195" s="85"/>
      <c r="J195" s="85"/>
      <c r="K195" s="85">
        <v>0</v>
      </c>
      <c r="L195" s="85">
        <v>0</v>
      </c>
      <c r="M195" s="85">
        <v>0</v>
      </c>
      <c r="N195" s="85">
        <v>0</v>
      </c>
      <c r="O195" s="85">
        <v>0</v>
      </c>
      <c r="P195" s="85">
        <v>0</v>
      </c>
      <c r="Q195" s="85">
        <v>93.2</v>
      </c>
      <c r="R195" s="85">
        <v>0</v>
      </c>
      <c r="S195" s="85"/>
      <c r="T195" s="85"/>
      <c r="U195" s="85"/>
      <c r="V195" s="85"/>
      <c r="W195" s="85"/>
      <c r="X195" s="85"/>
      <c r="Y195" s="92"/>
      <c r="Z195" s="85"/>
      <c r="AA195" s="92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  <c r="DA195" s="93"/>
      <c r="DB195" s="112"/>
      <c r="DC195" s="112"/>
      <c r="DD195" s="91">
        <f t="shared" si="319"/>
        <v>0</v>
      </c>
      <c r="DE195" s="91">
        <f t="shared" si="320"/>
        <v>93.2</v>
      </c>
      <c r="DF195" s="114">
        <f>1-(DE199/DE87)</f>
        <v>0.60155559194367114</v>
      </c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C195" s="85"/>
    </row>
    <row r="196" spans="2:133" s="90" customFormat="1" ht="12.75" customHeight="1">
      <c r="B196" s="93" t="s">
        <v>92</v>
      </c>
      <c r="C196" s="112"/>
      <c r="D196" s="112"/>
      <c r="E196" s="112"/>
      <c r="F196" s="112"/>
      <c r="G196" s="112"/>
      <c r="H196" s="112"/>
      <c r="I196" s="85"/>
      <c r="J196" s="85"/>
      <c r="K196" s="85">
        <v>0</v>
      </c>
      <c r="L196" s="85">
        <v>0</v>
      </c>
      <c r="M196" s="85">
        <v>0</v>
      </c>
      <c r="N196" s="85">
        <v>0</v>
      </c>
      <c r="O196" s="85">
        <v>0</v>
      </c>
      <c r="P196" s="85">
        <v>0</v>
      </c>
      <c r="Q196" s="85">
        <v>141.4</v>
      </c>
      <c r="R196" s="85">
        <v>604</v>
      </c>
      <c r="S196" s="85"/>
      <c r="T196" s="85"/>
      <c r="U196" s="85"/>
      <c r="V196" s="85"/>
      <c r="W196" s="85"/>
      <c r="X196" s="85"/>
      <c r="Y196" s="92"/>
      <c r="Z196" s="85"/>
      <c r="AA196" s="92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93"/>
      <c r="DB196" s="112"/>
      <c r="DC196" s="112"/>
      <c r="DD196" s="91">
        <f t="shared" si="319"/>
        <v>0</v>
      </c>
      <c r="DE196" s="91">
        <f t="shared" si="320"/>
        <v>745.4</v>
      </c>
      <c r="DF196" s="114"/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C196" s="85"/>
    </row>
    <row r="197" spans="2:133" s="90" customFormat="1" ht="12.75" customHeight="1">
      <c r="B197" s="93" t="s">
        <v>93</v>
      </c>
      <c r="C197" s="112"/>
      <c r="D197" s="112"/>
      <c r="E197" s="112"/>
      <c r="F197" s="112"/>
      <c r="G197" s="112"/>
      <c r="H197" s="112"/>
      <c r="I197" s="85"/>
      <c r="J197" s="85"/>
      <c r="K197" s="85">
        <v>0</v>
      </c>
      <c r="L197" s="85">
        <v>0</v>
      </c>
      <c r="M197" s="85">
        <v>0</v>
      </c>
      <c r="N197" s="85">
        <v>0</v>
      </c>
      <c r="O197" s="85">
        <v>0</v>
      </c>
      <c r="P197" s="85">
        <v>0</v>
      </c>
      <c r="Q197" s="85">
        <v>-173.6</v>
      </c>
      <c r="R197" s="85">
        <v>0</v>
      </c>
      <c r="S197" s="85"/>
      <c r="T197" s="85"/>
      <c r="U197" s="85"/>
      <c r="V197" s="85"/>
      <c r="W197" s="85"/>
      <c r="X197" s="85"/>
      <c r="Y197" s="92"/>
      <c r="Z197" s="85"/>
      <c r="AA197" s="92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93"/>
      <c r="DB197" s="112"/>
      <c r="DC197" s="112"/>
      <c r="DD197" s="91">
        <f t="shared" si="319"/>
        <v>0</v>
      </c>
      <c r="DE197" s="91">
        <f t="shared" si="320"/>
        <v>-173.6</v>
      </c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C197" s="85"/>
    </row>
    <row r="198" spans="2:133" s="90" customFormat="1" ht="12.75" customHeight="1">
      <c r="B198" s="93" t="s">
        <v>94</v>
      </c>
      <c r="C198" s="112"/>
      <c r="D198" s="112"/>
      <c r="E198" s="112"/>
      <c r="F198" s="112"/>
      <c r="G198" s="112"/>
      <c r="H198" s="112"/>
      <c r="I198" s="114"/>
      <c r="J198" s="114"/>
      <c r="K198" s="114">
        <f t="shared" ref="K198:P198" si="321">K90-K194</f>
        <v>1547.3</v>
      </c>
      <c r="L198" s="114">
        <f t="shared" si="321"/>
        <v>1589.9</v>
      </c>
      <c r="M198" s="114">
        <f t="shared" si="321"/>
        <v>1463.6</v>
      </c>
      <c r="N198" s="114">
        <f t="shared" si="321"/>
        <v>1599.1</v>
      </c>
      <c r="O198" s="114">
        <f t="shared" si="321"/>
        <v>1542.4</v>
      </c>
      <c r="P198" s="114">
        <f t="shared" si="321"/>
        <v>1574.2</v>
      </c>
      <c r="Q198" s="114">
        <f>Q90-Q194-Q196</f>
        <v>1577.5</v>
      </c>
      <c r="R198" s="114">
        <f>R90-R196-R194</f>
        <v>1141.8000000000002</v>
      </c>
      <c r="S198" s="114">
        <f>S90/O198-1</f>
        <v>4.5967323651452174E-2</v>
      </c>
      <c r="T198" s="114">
        <f>T90/P198-1</f>
        <v>0.11504256130097823</v>
      </c>
      <c r="U198" s="114">
        <f>U90/Q198-1</f>
        <v>5.3058637083993609E-2</v>
      </c>
      <c r="V198" s="114">
        <f>V90/R198-1</f>
        <v>0.61499386932912925</v>
      </c>
      <c r="W198" s="114"/>
      <c r="X198" s="114"/>
      <c r="Y198" s="92"/>
      <c r="Z198" s="114"/>
      <c r="AA198" s="92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  <c r="CA198" s="114"/>
      <c r="CB198" s="114"/>
      <c r="CC198" s="114"/>
      <c r="CD198" s="114"/>
      <c r="CE198" s="114"/>
      <c r="CF198" s="114"/>
      <c r="CG198" s="114"/>
      <c r="CH198" s="114"/>
      <c r="CI198" s="114"/>
      <c r="CJ198" s="114"/>
      <c r="CK198" s="114"/>
      <c r="CL198" s="114"/>
      <c r="CM198" s="114"/>
      <c r="CN198" s="114"/>
      <c r="CO198" s="114"/>
      <c r="CP198" s="114"/>
      <c r="CQ198" s="114"/>
      <c r="CR198" s="114"/>
      <c r="CS198" s="114"/>
      <c r="CT198" s="114"/>
      <c r="CU198" s="114"/>
      <c r="CV198" s="114"/>
      <c r="CW198" s="114"/>
      <c r="CX198" s="114"/>
      <c r="CY198" s="114"/>
      <c r="CZ198" s="114"/>
      <c r="DA198" s="93"/>
      <c r="DB198" s="112"/>
      <c r="DC198" s="112"/>
      <c r="DD198" s="112">
        <f t="shared" si="319"/>
        <v>6199.9</v>
      </c>
      <c r="DE198" s="112">
        <f t="shared" si="320"/>
        <v>5835.9000000000005</v>
      </c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C198" s="85"/>
    </row>
    <row r="199" spans="2:133" s="90" customFormat="1" ht="12.75" customHeight="1">
      <c r="B199" s="93" t="s">
        <v>95</v>
      </c>
      <c r="C199" s="112"/>
      <c r="D199" s="112"/>
      <c r="E199" s="112"/>
      <c r="F199" s="112"/>
      <c r="G199" s="112"/>
      <c r="H199" s="112"/>
      <c r="I199" s="85"/>
      <c r="J199" s="85"/>
      <c r="K199" s="85">
        <f t="shared" ref="K199:R199" si="322">K88-K195</f>
        <v>1046.8</v>
      </c>
      <c r="L199" s="85">
        <f t="shared" si="322"/>
        <v>988.5</v>
      </c>
      <c r="M199" s="85">
        <f t="shared" si="322"/>
        <v>1083.4000000000001</v>
      </c>
      <c r="N199" s="85">
        <f t="shared" si="322"/>
        <v>1228.3</v>
      </c>
      <c r="O199" s="85">
        <f t="shared" si="322"/>
        <v>1147.8</v>
      </c>
      <c r="P199" s="85">
        <f t="shared" si="322"/>
        <v>1164.2</v>
      </c>
      <c r="Q199" s="85">
        <f t="shared" si="322"/>
        <v>1271</v>
      </c>
      <c r="R199" s="85">
        <f t="shared" si="322"/>
        <v>1283.5999999999999</v>
      </c>
      <c r="S199" s="85"/>
      <c r="T199" s="85"/>
      <c r="U199" s="85"/>
      <c r="V199" s="85"/>
      <c r="W199" s="85"/>
      <c r="X199" s="85"/>
      <c r="Y199" s="92"/>
      <c r="Z199" s="85"/>
      <c r="AA199" s="92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93"/>
      <c r="DB199" s="112"/>
      <c r="DC199" s="112"/>
      <c r="DD199" s="112">
        <f t="shared" si="319"/>
        <v>4347</v>
      </c>
      <c r="DE199" s="112">
        <f t="shared" si="320"/>
        <v>4866.6000000000004</v>
      </c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C199" s="85"/>
    </row>
    <row r="200" spans="2:133" s="81" customFormat="1" ht="12.75" customHeight="1">
      <c r="B200" s="73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92"/>
      <c r="Z200" s="60"/>
      <c r="AA200" s="92"/>
      <c r="AB200" s="60"/>
      <c r="AC200" s="112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73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C200" s="85"/>
    </row>
    <row r="201" spans="2:133" s="81" customFormat="1" ht="12.75" customHeight="1">
      <c r="B201" s="73"/>
      <c r="C201" s="60"/>
      <c r="D201" s="60"/>
      <c r="E201" s="60"/>
      <c r="F201" s="60"/>
      <c r="G201" s="60"/>
      <c r="H201" s="60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92"/>
      <c r="Z201" s="82"/>
      <c r="AA201" s="92"/>
      <c r="AB201" s="82"/>
      <c r="AC201" s="85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73"/>
      <c r="DB201" s="60"/>
      <c r="DC201" s="60"/>
      <c r="DD201" s="60"/>
      <c r="DE201" s="60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C201" s="85"/>
    </row>
    <row r="202" spans="2:133" s="81" customFormat="1" ht="12.75" customHeight="1">
      <c r="B202" s="73" t="s">
        <v>607</v>
      </c>
      <c r="C202" s="60"/>
      <c r="D202" s="60"/>
      <c r="E202" s="60"/>
      <c r="F202" s="60"/>
      <c r="G202" s="60"/>
      <c r="H202" s="60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92"/>
      <c r="Z202" s="103"/>
      <c r="AA202" s="92"/>
      <c r="AB202" s="103"/>
      <c r="AC202" s="114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15">
        <v>0.75</v>
      </c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  <c r="BZ202" s="103"/>
      <c r="CA202" s="103"/>
      <c r="CB202" s="103"/>
      <c r="CC202" s="103"/>
      <c r="CD202" s="103"/>
      <c r="CE202" s="103"/>
      <c r="CF202" s="103"/>
      <c r="CG202" s="103"/>
      <c r="CH202" s="103"/>
      <c r="CI202" s="103"/>
      <c r="CJ202" s="103"/>
      <c r="CK202" s="103"/>
      <c r="CL202" s="103"/>
      <c r="CM202" s="103"/>
      <c r="CN202" s="103"/>
      <c r="CO202" s="103"/>
      <c r="CP202" s="103"/>
      <c r="CQ202" s="103"/>
      <c r="CR202" s="103"/>
      <c r="CS202" s="103"/>
      <c r="CT202" s="103"/>
      <c r="CU202" s="103"/>
      <c r="CV202" s="103"/>
      <c r="CW202" s="103"/>
      <c r="CX202" s="103"/>
      <c r="CY202" s="103"/>
      <c r="CZ202" s="103"/>
      <c r="DA202" s="73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 t="s">
        <v>608</v>
      </c>
      <c r="DL202" s="60"/>
      <c r="DM202" s="60"/>
      <c r="DN202" s="60"/>
      <c r="DO202" s="60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C202" s="85"/>
    </row>
    <row r="203" spans="2:133" s="81" customFormat="1" ht="12.75" customHeight="1">
      <c r="B203" s="108"/>
      <c r="C203" s="99"/>
      <c r="D203" s="99"/>
      <c r="E203" s="99"/>
      <c r="F203" s="99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92"/>
      <c r="Z203" s="82"/>
      <c r="AA203" s="92"/>
      <c r="AB203" s="82"/>
      <c r="AC203" s="85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73"/>
      <c r="DB203" s="99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C203" s="85"/>
    </row>
    <row r="204" spans="2:133" s="81" customFormat="1" ht="12.75" customHeight="1">
      <c r="B204" s="34" t="s">
        <v>618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92"/>
      <c r="Z204" s="24"/>
      <c r="AA204" s="92"/>
      <c r="AB204" s="24"/>
      <c r="AC204" s="28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73"/>
      <c r="DB204" s="24"/>
      <c r="DC204" s="24"/>
      <c r="DD204" s="24"/>
      <c r="DE204" s="24"/>
      <c r="DF204" s="24"/>
      <c r="DG204" s="24"/>
      <c r="DH204" s="24"/>
      <c r="DI204" s="29"/>
      <c r="DJ204" s="29"/>
      <c r="DK204" s="28">
        <f t="shared" ref="DK204:DT204" si="323">(DK62+DK54+DK51+DK50+DK10+DK47+DK34+DK53+DK14+DK37+DK63+DK32+DK11+DK25+DK35+DK38+DK58+DK46+DK59+DK48+DK61+DK55+DK57+DK64+DK56)</f>
        <v>25281</v>
      </c>
      <c r="DL204" s="28">
        <f t="shared" si="323"/>
        <v>26526</v>
      </c>
      <c r="DM204" s="28">
        <f t="shared" si="323"/>
        <v>24892</v>
      </c>
      <c r="DN204" s="28">
        <f t="shared" si="323"/>
        <v>20004</v>
      </c>
      <c r="DO204" s="28">
        <f t="shared" si="323"/>
        <v>18945</v>
      </c>
      <c r="DP204" s="28">
        <f t="shared" si="323"/>
        <v>16537</v>
      </c>
      <c r="DQ204" s="28">
        <f t="shared" si="323"/>
        <v>15768</v>
      </c>
      <c r="DR204" s="28">
        <f t="shared" si="323"/>
        <v>12932</v>
      </c>
      <c r="DS204" s="28">
        <f t="shared" si="323"/>
        <v>11819</v>
      </c>
      <c r="DT204" s="28">
        <f t="shared" si="323"/>
        <v>10003</v>
      </c>
      <c r="DU204" s="28"/>
      <c r="DV204" s="28"/>
      <c r="DW204" s="28"/>
      <c r="DX204" s="28"/>
      <c r="DY204" s="28"/>
      <c r="DZ204" s="28"/>
      <c r="EA204" s="28"/>
      <c r="EC204" s="85"/>
    </row>
    <row r="205" spans="2:133" s="81" customFormat="1" ht="12.75" customHeight="1">
      <c r="B205" s="98" t="s">
        <v>619</v>
      </c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92"/>
      <c r="Z205" s="116"/>
      <c r="AA205" s="92"/>
      <c r="AB205" s="116"/>
      <c r="AC205" s="114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  <c r="CX205" s="116"/>
      <c r="CY205" s="116"/>
      <c r="CZ205" s="116"/>
      <c r="DA205" s="73"/>
      <c r="DB205" s="116"/>
      <c r="DC205" s="116"/>
      <c r="DD205" s="116"/>
      <c r="DE205" s="116"/>
      <c r="DF205" s="116"/>
      <c r="DG205" s="116"/>
      <c r="DH205" s="116"/>
      <c r="DI205" s="116"/>
      <c r="DJ205" s="116"/>
      <c r="DK205" s="117">
        <f t="shared" ref="DK205:DT205" si="324">DK204/DK87</f>
        <v>0.54900214988381946</v>
      </c>
      <c r="DL205" s="117">
        <f t="shared" si="324"/>
        <v>0.55278622931688404</v>
      </c>
      <c r="DM205" s="117">
        <f t="shared" si="324"/>
        <v>0.52659191876454414</v>
      </c>
      <c r="DN205" s="117">
        <f t="shared" si="324"/>
        <v>0.45430595930232559</v>
      </c>
      <c r="DO205" s="117">
        <f t="shared" si="324"/>
        <v>0.4485403792883017</v>
      </c>
      <c r="DP205" s="117">
        <f t="shared" si="324"/>
        <v>0.41867942680642056</v>
      </c>
      <c r="DQ205" s="117">
        <f t="shared" si="324"/>
        <v>0.39611123671716031</v>
      </c>
      <c r="DR205" s="117">
        <f t="shared" si="324"/>
        <v>0.32231693335327249</v>
      </c>
      <c r="DS205" s="117">
        <f t="shared" si="324"/>
        <v>0.27944862155388472</v>
      </c>
      <c r="DT205" s="117">
        <f t="shared" si="324"/>
        <v>0.21355222988407591</v>
      </c>
      <c r="DU205" s="117"/>
      <c r="DV205" s="117"/>
      <c r="DW205" s="117"/>
      <c r="DX205" s="117"/>
      <c r="DY205" s="117"/>
      <c r="DZ205" s="117"/>
      <c r="EA205" s="117"/>
      <c r="EC205" s="85"/>
    </row>
    <row r="206" spans="2:133" s="81" customFormat="1" ht="12.75" customHeight="1">
      <c r="B206" s="108"/>
      <c r="C206" s="99"/>
      <c r="D206" s="99"/>
      <c r="E206" s="99"/>
      <c r="F206" s="99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92"/>
      <c r="Z206" s="82"/>
      <c r="AA206" s="92"/>
      <c r="AB206" s="82"/>
      <c r="AC206" s="85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73"/>
      <c r="DB206" s="99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C206" s="85"/>
    </row>
    <row r="207" spans="2:133" s="81" customFormat="1" ht="12.75" customHeight="1">
      <c r="B207" s="108"/>
      <c r="C207" s="99"/>
      <c r="D207" s="99"/>
      <c r="E207" s="99"/>
      <c r="F207" s="99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92"/>
      <c r="Z207" s="82"/>
      <c r="AA207" s="92"/>
      <c r="AB207" s="82"/>
      <c r="AC207" s="85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73"/>
      <c r="DB207" s="99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C207" s="85"/>
    </row>
    <row r="208" spans="2:133" s="81" customFormat="1" ht="12.75" customHeight="1">
      <c r="B208" s="108"/>
      <c r="C208" s="99"/>
      <c r="D208" s="99"/>
      <c r="E208" s="99"/>
      <c r="F208" s="99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92"/>
      <c r="Z208" s="82"/>
      <c r="AA208" s="92"/>
      <c r="AB208" s="82"/>
      <c r="AC208" s="85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73"/>
      <c r="DB208" s="99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C208" s="85"/>
    </row>
    <row r="209" spans="2:133" s="81" customFormat="1" ht="12.75" customHeight="1">
      <c r="B209" s="108"/>
      <c r="C209" s="99"/>
      <c r="D209" s="99"/>
      <c r="E209" s="99"/>
      <c r="F209" s="99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92"/>
      <c r="Z209" s="82"/>
      <c r="AA209" s="92"/>
      <c r="AB209" s="82"/>
      <c r="AC209" s="85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73"/>
      <c r="DB209" s="99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C209" s="85"/>
    </row>
    <row r="210" spans="2:133" s="81" customFormat="1" ht="12.75" customHeight="1">
      <c r="B210" s="108"/>
      <c r="C210" s="99"/>
      <c r="D210" s="99"/>
      <c r="E210" s="99"/>
      <c r="F210" s="99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92"/>
      <c r="Z210" s="82"/>
      <c r="AA210" s="92"/>
      <c r="AB210" s="82"/>
      <c r="AC210" s="85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73"/>
      <c r="DB210" s="99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C210" s="85"/>
    </row>
    <row r="211" spans="2:133" s="81" customFormat="1" ht="12.75" customHeight="1">
      <c r="B211" s="108"/>
      <c r="C211" s="99"/>
      <c r="D211" s="99"/>
      <c r="E211" s="99"/>
      <c r="F211" s="99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92"/>
      <c r="Z211" s="82"/>
      <c r="AA211" s="92"/>
      <c r="AB211" s="82"/>
      <c r="AC211" s="85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73"/>
      <c r="DB211" s="99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C211" s="85"/>
    </row>
    <row r="212" spans="2:133" s="81" customFormat="1" ht="12.75" customHeight="1">
      <c r="B212" s="108"/>
      <c r="C212" s="99"/>
      <c r="D212" s="99"/>
      <c r="E212" s="99"/>
      <c r="F212" s="99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92"/>
      <c r="Z212" s="82"/>
      <c r="AA212" s="92"/>
      <c r="AB212" s="82"/>
      <c r="AC212" s="85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73"/>
      <c r="DB212" s="99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C212" s="85"/>
    </row>
    <row r="213" spans="2:133" s="81" customFormat="1" ht="12.75" customHeight="1">
      <c r="B213" s="108"/>
      <c r="C213" s="99"/>
      <c r="D213" s="99"/>
      <c r="E213" s="99"/>
      <c r="F213" s="99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92"/>
      <c r="Z213" s="82"/>
      <c r="AA213" s="92"/>
      <c r="AB213" s="82"/>
      <c r="AC213" s="85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73"/>
      <c r="DB213" s="99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C213" s="85"/>
    </row>
    <row r="214" spans="2:133" s="81" customFormat="1" ht="12.75" customHeight="1">
      <c r="B214" s="108"/>
      <c r="C214" s="99"/>
      <c r="D214" s="99"/>
      <c r="E214" s="99"/>
      <c r="F214" s="99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92"/>
      <c r="Z214" s="82"/>
      <c r="AA214" s="92"/>
      <c r="AB214" s="82"/>
      <c r="AC214" s="85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73"/>
      <c r="DB214" s="99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C214" s="85"/>
    </row>
    <row r="215" spans="2:133" s="81" customFormat="1" ht="12.75" customHeight="1">
      <c r="B215" s="108"/>
      <c r="C215" s="99"/>
      <c r="D215" s="99"/>
      <c r="E215" s="99"/>
      <c r="F215" s="99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92"/>
      <c r="Z215" s="82"/>
      <c r="AA215" s="92"/>
      <c r="AB215" s="82"/>
      <c r="AC215" s="85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73"/>
      <c r="DB215" s="99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C215" s="85"/>
    </row>
    <row r="216" spans="2:133" s="81" customFormat="1" ht="12.75" customHeight="1">
      <c r="B216" s="108"/>
      <c r="C216" s="99"/>
      <c r="D216" s="99"/>
      <c r="E216" s="99"/>
      <c r="F216" s="99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92"/>
      <c r="Z216" s="82"/>
      <c r="AA216" s="92"/>
      <c r="AB216" s="82"/>
      <c r="AC216" s="85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73"/>
      <c r="DB216" s="99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C216" s="85"/>
    </row>
    <row r="217" spans="2:133" s="81" customFormat="1" ht="12.75" customHeight="1">
      <c r="B217" s="108"/>
      <c r="C217" s="99"/>
      <c r="D217" s="99"/>
      <c r="E217" s="99"/>
      <c r="F217" s="99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92"/>
      <c r="Z217" s="82"/>
      <c r="AA217" s="92"/>
      <c r="AB217" s="82"/>
      <c r="AC217" s="85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73"/>
      <c r="DB217" s="99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C217" s="85"/>
    </row>
    <row r="218" spans="2:133" s="81" customFormat="1" ht="12.75" customHeight="1">
      <c r="B218" s="108"/>
      <c r="C218" s="99"/>
      <c r="D218" s="99"/>
      <c r="E218" s="99"/>
      <c r="F218" s="99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92"/>
      <c r="Z218" s="82"/>
      <c r="AA218" s="92"/>
      <c r="AB218" s="82"/>
      <c r="AC218" s="85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73"/>
      <c r="DB218" s="99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C218" s="85"/>
    </row>
    <row r="219" spans="2:133" s="81" customFormat="1" ht="12.75" customHeight="1">
      <c r="B219" s="108"/>
      <c r="C219" s="99"/>
      <c r="D219" s="99"/>
      <c r="E219" s="99"/>
      <c r="F219" s="99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92"/>
      <c r="Z219" s="82"/>
      <c r="AA219" s="92"/>
      <c r="AB219" s="82"/>
      <c r="AC219" s="85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73"/>
      <c r="DB219" s="99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C219" s="85"/>
    </row>
    <row r="220" spans="2:133" s="81" customFormat="1" ht="12.75" customHeight="1">
      <c r="B220" s="108"/>
      <c r="C220" s="99"/>
      <c r="D220" s="99"/>
      <c r="E220" s="99"/>
      <c r="F220" s="99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92"/>
      <c r="Z220" s="82"/>
      <c r="AA220" s="92"/>
      <c r="AB220" s="82"/>
      <c r="AC220" s="85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73"/>
      <c r="DB220" s="99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C220" s="85"/>
    </row>
    <row r="221" spans="2:133" s="81" customFormat="1" ht="12.75" customHeight="1">
      <c r="B221" s="108"/>
      <c r="C221" s="99"/>
      <c r="D221" s="99"/>
      <c r="E221" s="99"/>
      <c r="F221" s="99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92"/>
      <c r="Z221" s="82"/>
      <c r="AA221" s="92"/>
      <c r="AB221" s="82"/>
      <c r="AC221" s="85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73"/>
      <c r="DB221" s="99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C221" s="85"/>
    </row>
    <row r="222" spans="2:133" s="81" customFormat="1" ht="12.75" customHeight="1">
      <c r="B222" s="108"/>
      <c r="C222" s="99"/>
      <c r="D222" s="99"/>
      <c r="E222" s="99"/>
      <c r="F222" s="99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92"/>
      <c r="Z222" s="82"/>
      <c r="AA222" s="92"/>
      <c r="AB222" s="82"/>
      <c r="AC222" s="85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73"/>
      <c r="DB222" s="99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C222" s="85"/>
    </row>
    <row r="223" spans="2:133" s="81" customFormat="1" ht="12.75" customHeight="1">
      <c r="B223" s="108"/>
      <c r="C223" s="99"/>
      <c r="D223" s="99"/>
      <c r="E223" s="99"/>
      <c r="F223" s="99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92"/>
      <c r="Z223" s="82"/>
      <c r="AA223" s="92"/>
      <c r="AB223" s="82"/>
      <c r="AC223" s="85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73"/>
      <c r="DB223" s="99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C223" s="85"/>
    </row>
    <row r="224" spans="2:133" s="81" customFormat="1" ht="12.75" customHeight="1">
      <c r="B224" s="108"/>
      <c r="C224" s="99"/>
      <c r="D224" s="99"/>
      <c r="E224" s="99"/>
      <c r="F224" s="99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92"/>
      <c r="Z224" s="82"/>
      <c r="AA224" s="92"/>
      <c r="AB224" s="82"/>
      <c r="AC224" s="85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73"/>
      <c r="DB224" s="99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C224" s="85"/>
    </row>
    <row r="225" spans="2:133" s="81" customFormat="1" ht="12.75" customHeight="1">
      <c r="B225" s="108"/>
      <c r="C225" s="99"/>
      <c r="D225" s="99"/>
      <c r="E225" s="99"/>
      <c r="F225" s="99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92"/>
      <c r="Z225" s="82"/>
      <c r="AA225" s="92"/>
      <c r="AB225" s="82"/>
      <c r="AC225" s="85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73"/>
      <c r="DB225" s="99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C225" s="85"/>
    </row>
    <row r="226" spans="2:133" s="81" customFormat="1" ht="12.75" customHeight="1">
      <c r="B226" s="108"/>
      <c r="C226" s="99"/>
      <c r="D226" s="99"/>
      <c r="E226" s="99"/>
      <c r="F226" s="99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92"/>
      <c r="Z226" s="82"/>
      <c r="AA226" s="92"/>
      <c r="AB226" s="82"/>
      <c r="AC226" s="85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73"/>
      <c r="DB226" s="99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C226" s="85"/>
    </row>
    <row r="227" spans="2:133" s="81" customFormat="1" ht="12.75" customHeight="1">
      <c r="B227" s="108"/>
      <c r="C227" s="99"/>
      <c r="D227" s="99"/>
      <c r="E227" s="99"/>
      <c r="F227" s="99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92"/>
      <c r="Z227" s="82"/>
      <c r="AA227" s="92"/>
      <c r="AB227" s="82"/>
      <c r="AC227" s="85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73"/>
      <c r="DB227" s="99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C227" s="85"/>
    </row>
    <row r="228" spans="2:133" s="81" customFormat="1" ht="12.75" customHeight="1">
      <c r="B228" s="108"/>
      <c r="C228" s="99"/>
      <c r="D228" s="99"/>
      <c r="E228" s="99"/>
      <c r="F228" s="99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92"/>
      <c r="Z228" s="82"/>
      <c r="AA228" s="92"/>
      <c r="AB228" s="82"/>
      <c r="AC228" s="85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73"/>
      <c r="DB228" s="99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C228" s="85"/>
    </row>
    <row r="229" spans="2:133" s="81" customFormat="1" ht="12.75" customHeight="1">
      <c r="B229" s="108"/>
      <c r="C229" s="99"/>
      <c r="D229" s="99"/>
      <c r="E229" s="99"/>
      <c r="F229" s="99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92"/>
      <c r="Z229" s="82"/>
      <c r="AA229" s="92"/>
      <c r="AB229" s="82"/>
      <c r="AC229" s="85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73"/>
      <c r="DB229" s="99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C229" s="85"/>
    </row>
    <row r="230" spans="2:133" s="81" customFormat="1" ht="12.75" customHeight="1">
      <c r="B230" s="108"/>
      <c r="C230" s="99"/>
      <c r="D230" s="99"/>
      <c r="E230" s="99"/>
      <c r="F230" s="99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92"/>
      <c r="Z230" s="82"/>
      <c r="AA230" s="92"/>
      <c r="AB230" s="82"/>
      <c r="AC230" s="85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73"/>
      <c r="DB230" s="99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C230" s="85"/>
    </row>
    <row r="231" spans="2:133" s="81" customFormat="1" ht="12.75" customHeight="1">
      <c r="B231" s="108"/>
      <c r="C231" s="99"/>
      <c r="D231" s="99"/>
      <c r="E231" s="99"/>
      <c r="F231" s="99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92"/>
      <c r="Z231" s="82"/>
      <c r="AA231" s="92"/>
      <c r="AB231" s="82"/>
      <c r="AC231" s="85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73"/>
      <c r="DB231" s="99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C231" s="85"/>
    </row>
    <row r="232" spans="2:133" s="81" customFormat="1" ht="12.75" customHeight="1">
      <c r="B232" s="108"/>
      <c r="C232" s="99"/>
      <c r="D232" s="99"/>
      <c r="E232" s="99"/>
      <c r="F232" s="99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92"/>
      <c r="Z232" s="82"/>
      <c r="AA232" s="92"/>
      <c r="AB232" s="82"/>
      <c r="AC232" s="85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73"/>
      <c r="DB232" s="99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C232" s="85"/>
    </row>
    <row r="233" spans="2:133" s="81" customFormat="1" ht="12.75" customHeight="1">
      <c r="B233" s="108"/>
      <c r="C233" s="99"/>
      <c r="D233" s="99"/>
      <c r="E233" s="99"/>
      <c r="F233" s="99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92"/>
      <c r="Z233" s="82"/>
      <c r="AA233" s="92"/>
      <c r="AB233" s="82"/>
      <c r="AC233" s="85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73"/>
      <c r="DB233" s="99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C233" s="85"/>
    </row>
    <row r="234" spans="2:133" s="81" customFormat="1" ht="12.75" customHeight="1">
      <c r="B234" s="108"/>
      <c r="C234" s="99"/>
      <c r="D234" s="99"/>
      <c r="E234" s="99"/>
      <c r="F234" s="99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92"/>
      <c r="Z234" s="82"/>
      <c r="AA234" s="92"/>
      <c r="AB234" s="82"/>
      <c r="AC234" s="85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73"/>
      <c r="DB234" s="99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C234" s="85"/>
    </row>
    <row r="235" spans="2:133" s="81" customFormat="1" ht="12.75" customHeight="1">
      <c r="B235" s="108"/>
      <c r="C235" s="99"/>
      <c r="D235" s="99"/>
      <c r="E235" s="99"/>
      <c r="F235" s="99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92"/>
      <c r="Z235" s="82"/>
      <c r="AA235" s="92"/>
      <c r="AB235" s="82"/>
      <c r="AC235" s="85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73"/>
      <c r="DB235" s="99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C235" s="85"/>
    </row>
    <row r="236" spans="2:133" s="81" customFormat="1" ht="12.75" customHeight="1">
      <c r="B236" s="108"/>
      <c r="C236" s="99"/>
      <c r="D236" s="99"/>
      <c r="E236" s="99"/>
      <c r="F236" s="99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92"/>
      <c r="Z236" s="82"/>
      <c r="AA236" s="92"/>
      <c r="AB236" s="82"/>
      <c r="AC236" s="85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73"/>
      <c r="DB236" s="99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C236" s="85"/>
    </row>
    <row r="237" spans="2:133" s="81" customFormat="1" ht="12.75" customHeight="1">
      <c r="B237" s="108"/>
      <c r="C237" s="99"/>
      <c r="D237" s="99"/>
      <c r="E237" s="99"/>
      <c r="F237" s="99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92"/>
      <c r="Z237" s="82"/>
      <c r="AA237" s="92"/>
      <c r="AB237" s="82"/>
      <c r="AC237" s="85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73"/>
      <c r="DB237" s="99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C237" s="85"/>
    </row>
    <row r="238" spans="2:133" s="81" customFormat="1" ht="12.75" customHeight="1">
      <c r="B238" s="108"/>
      <c r="C238" s="99"/>
      <c r="D238" s="99"/>
      <c r="E238" s="99"/>
      <c r="F238" s="99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92"/>
      <c r="Z238" s="82"/>
      <c r="AA238" s="92"/>
      <c r="AB238" s="82"/>
      <c r="AC238" s="85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73"/>
      <c r="DB238" s="99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C238" s="85"/>
    </row>
    <row r="239" spans="2:133" s="81" customFormat="1" ht="12.75" customHeight="1">
      <c r="B239" s="108"/>
      <c r="C239" s="99"/>
      <c r="D239" s="99"/>
      <c r="E239" s="99"/>
      <c r="F239" s="99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92"/>
      <c r="Z239" s="82"/>
      <c r="AA239" s="92"/>
      <c r="AB239" s="82"/>
      <c r="AC239" s="85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73"/>
      <c r="DB239" s="99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C239" s="85"/>
    </row>
    <row r="240" spans="2:133" s="81" customFormat="1" ht="12.75" customHeight="1">
      <c r="B240" s="108"/>
      <c r="C240" s="99"/>
      <c r="D240" s="99"/>
      <c r="E240" s="99"/>
      <c r="F240" s="99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92"/>
      <c r="Z240" s="82"/>
      <c r="AA240" s="92"/>
      <c r="AB240" s="82"/>
      <c r="AC240" s="85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73"/>
      <c r="DB240" s="99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C240" s="85"/>
    </row>
    <row r="241" spans="2:133" s="81" customFormat="1" ht="12.75" customHeight="1">
      <c r="B241" s="108"/>
      <c r="C241" s="99"/>
      <c r="D241" s="99"/>
      <c r="E241" s="99"/>
      <c r="F241" s="99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92"/>
      <c r="Z241" s="82"/>
      <c r="AA241" s="92"/>
      <c r="AB241" s="82"/>
      <c r="AC241" s="85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73"/>
      <c r="DB241" s="99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C241" s="85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1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1" t="s">
        <v>29</v>
      </c>
      <c r="D28" s="11"/>
      <c r="E28" s="11" t="s">
        <v>34</v>
      </c>
      <c r="F28" s="11"/>
      <c r="G28" s="11" t="s">
        <v>36</v>
      </c>
      <c r="H28" s="11"/>
      <c r="I28" s="11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1640625" defaultRowHeight="12.5"/>
  <cols>
    <col min="1" max="1" width="5" bestFit="1" customWidth="1"/>
    <col min="2" max="2" width="12" bestFit="1" customWidth="1"/>
    <col min="3" max="3" width="14.1796875" customWidth="1"/>
    <col min="4" max="4" width="22.1796875" customWidth="1"/>
  </cols>
  <sheetData>
    <row r="1" spans="1:4">
      <c r="A1" s="5" t="s">
        <v>8</v>
      </c>
    </row>
    <row r="2" spans="1:4">
      <c r="B2" s="73" t="s">
        <v>755</v>
      </c>
      <c r="C2" s="73" t="s">
        <v>757</v>
      </c>
    </row>
    <row r="3" spans="1:4">
      <c r="B3" s="73" t="s">
        <v>756</v>
      </c>
      <c r="C3" s="73" t="s">
        <v>766</v>
      </c>
    </row>
    <row r="4" spans="1:4">
      <c r="B4" s="73" t="s">
        <v>767</v>
      </c>
      <c r="C4" s="73" t="s">
        <v>1018</v>
      </c>
    </row>
    <row r="5" spans="1:4">
      <c r="B5" s="73" t="s">
        <v>207</v>
      </c>
      <c r="C5" s="73" t="s">
        <v>768</v>
      </c>
    </row>
    <row r="6" spans="1:4">
      <c r="B6" s="73" t="s">
        <v>6</v>
      </c>
      <c r="C6" s="73" t="s">
        <v>1044</v>
      </c>
    </row>
    <row r="7" spans="1:4">
      <c r="B7" s="73" t="s">
        <v>210</v>
      </c>
    </row>
    <row r="8" spans="1:4">
      <c r="B8" s="73"/>
      <c r="C8" t="s">
        <v>999</v>
      </c>
      <c r="D8" t="s">
        <v>1012</v>
      </c>
    </row>
    <row r="9" spans="1:4">
      <c r="B9" s="73"/>
      <c r="C9" t="s">
        <v>1004</v>
      </c>
      <c r="D9" t="s">
        <v>980</v>
      </c>
    </row>
    <row r="10" spans="1:4">
      <c r="B10" s="73"/>
      <c r="C10" t="s">
        <v>1008</v>
      </c>
      <c r="D10" t="s">
        <v>1011</v>
      </c>
    </row>
    <row r="11" spans="1:4">
      <c r="B11" s="73"/>
      <c r="C11" t="s">
        <v>1030</v>
      </c>
      <c r="D11" t="s">
        <v>1031</v>
      </c>
    </row>
    <row r="12" spans="1:4">
      <c r="B12" s="73"/>
      <c r="C12" t="s">
        <v>1003</v>
      </c>
    </row>
    <row r="13" spans="1:4">
      <c r="B13" s="73"/>
      <c r="C13" t="s">
        <v>1043</v>
      </c>
      <c r="D13" t="s">
        <v>1017</v>
      </c>
    </row>
    <row r="14" spans="1:4">
      <c r="B14" s="73"/>
      <c r="C14" t="s">
        <v>1007</v>
      </c>
      <c r="D14" t="s">
        <v>1011</v>
      </c>
    </row>
    <row r="15" spans="1:4">
      <c r="B15" s="73"/>
      <c r="C15" t="s">
        <v>1019</v>
      </c>
    </row>
    <row r="16" spans="1:4">
      <c r="B16" s="73"/>
      <c r="C16" t="s">
        <v>1016</v>
      </c>
      <c r="D16" t="s">
        <v>1017</v>
      </c>
    </row>
    <row r="17" spans="2:4">
      <c r="B17" s="73"/>
      <c r="C17" t="s">
        <v>1000</v>
      </c>
      <c r="D17" t="s">
        <v>1012</v>
      </c>
    </row>
    <row r="18" spans="2:4">
      <c r="B18" s="73"/>
      <c r="C18" t="s">
        <v>1041</v>
      </c>
      <c r="D18" t="s">
        <v>1042</v>
      </c>
    </row>
    <row r="19" spans="2:4">
      <c r="B19" s="73"/>
      <c r="C19" t="s">
        <v>1015</v>
      </c>
      <c r="D19" t="s">
        <v>1010</v>
      </c>
    </row>
    <row r="20" spans="2:4">
      <c r="B20" s="73"/>
      <c r="C20" t="s">
        <v>1006</v>
      </c>
      <c r="D20" t="s">
        <v>980</v>
      </c>
    </row>
    <row r="21" spans="2:4">
      <c r="B21" s="73"/>
      <c r="C21" t="s">
        <v>1037</v>
      </c>
      <c r="D21" t="s">
        <v>1038</v>
      </c>
    </row>
    <row r="22" spans="2:4">
      <c r="B22" s="73"/>
      <c r="C22" t="s">
        <v>1013</v>
      </c>
      <c r="D22" t="s">
        <v>1014</v>
      </c>
    </row>
    <row r="23" spans="2:4">
      <c r="B23" s="73"/>
      <c r="C23" t="s">
        <v>1001</v>
      </c>
      <c r="D23" t="s">
        <v>980</v>
      </c>
    </row>
    <row r="24" spans="2:4">
      <c r="B24" s="73"/>
      <c r="C24" t="s">
        <v>1009</v>
      </c>
      <c r="D24" t="s">
        <v>1010</v>
      </c>
    </row>
    <row r="25" spans="2:4">
      <c r="B25" s="73"/>
      <c r="C25" t="s">
        <v>1020</v>
      </c>
      <c r="D25" t="s">
        <v>1021</v>
      </c>
    </row>
    <row r="26" spans="2:4">
      <c r="B26" s="73"/>
      <c r="C26" t="s">
        <v>1035</v>
      </c>
      <c r="D26" t="s">
        <v>1036</v>
      </c>
    </row>
    <row r="27" spans="2:4">
      <c r="B27" s="73"/>
      <c r="C27" t="s">
        <v>1002</v>
      </c>
      <c r="D27" t="s">
        <v>980</v>
      </c>
    </row>
    <row r="28" spans="2:4">
      <c r="B28" s="73"/>
      <c r="C28" t="s">
        <v>1029</v>
      </c>
    </row>
    <row r="29" spans="2:4">
      <c r="B29" s="73"/>
      <c r="C29" t="s">
        <v>1022</v>
      </c>
      <c r="D29" t="s">
        <v>1021</v>
      </c>
    </row>
    <row r="30" spans="2:4">
      <c r="B30" s="73"/>
      <c r="C30" t="s">
        <v>1026</v>
      </c>
      <c r="D30" t="s">
        <v>1027</v>
      </c>
    </row>
    <row r="31" spans="2:4">
      <c r="B31" s="73"/>
      <c r="C31" t="s">
        <v>1028</v>
      </c>
      <c r="D31" t="s">
        <v>1027</v>
      </c>
    </row>
    <row r="32" spans="2:4">
      <c r="B32" s="73"/>
      <c r="C32" t="s">
        <v>995</v>
      </c>
      <c r="D32" t="s">
        <v>996</v>
      </c>
    </row>
    <row r="33" spans="2:8">
      <c r="B33" s="73"/>
      <c r="C33" t="s">
        <v>1005</v>
      </c>
      <c r="D33" t="s">
        <v>980</v>
      </c>
    </row>
    <row r="34" spans="2:8">
      <c r="B34" s="73"/>
      <c r="C34" t="s">
        <v>1023</v>
      </c>
      <c r="D34" t="s">
        <v>1024</v>
      </c>
    </row>
    <row r="35" spans="2:8">
      <c r="B35" s="73"/>
      <c r="C35" t="s">
        <v>993</v>
      </c>
      <c r="D35" t="s">
        <v>997</v>
      </c>
    </row>
    <row r="36" spans="2:8">
      <c r="B36" s="73"/>
      <c r="C36" t="s">
        <v>1039</v>
      </c>
      <c r="D36" t="s">
        <v>1038</v>
      </c>
    </row>
    <row r="37" spans="2:8">
      <c r="B37" s="73"/>
      <c r="C37" t="s">
        <v>992</v>
      </c>
      <c r="D37" t="s">
        <v>994</v>
      </c>
    </row>
    <row r="38" spans="2:8">
      <c r="B38" s="73"/>
      <c r="C38" t="s">
        <v>1025</v>
      </c>
      <c r="D38" t="s">
        <v>1024</v>
      </c>
    </row>
    <row r="39" spans="2:8">
      <c r="C39" s="73" t="s">
        <v>787</v>
      </c>
      <c r="D39" s="73" t="s">
        <v>788</v>
      </c>
      <c r="E39" s="73" t="s">
        <v>789</v>
      </c>
      <c r="F39" s="73" t="s">
        <v>790</v>
      </c>
      <c r="G39" s="73" t="s">
        <v>791</v>
      </c>
      <c r="H39" s="73" t="s">
        <v>793</v>
      </c>
    </row>
    <row r="40" spans="2:8">
      <c r="C40" s="73" t="s">
        <v>796</v>
      </c>
      <c r="D40" s="73" t="s">
        <v>799</v>
      </c>
      <c r="E40" s="73"/>
      <c r="F40" s="73"/>
      <c r="G40" s="73"/>
      <c r="H40" s="73" t="s">
        <v>797</v>
      </c>
    </row>
    <row r="41" spans="2:8">
      <c r="C41" s="73" t="s">
        <v>1032</v>
      </c>
      <c r="D41" s="73" t="s">
        <v>1031</v>
      </c>
      <c r="E41" s="73"/>
      <c r="F41" s="73"/>
      <c r="G41" s="73"/>
      <c r="H41" s="73"/>
    </row>
    <row r="42" spans="2:8">
      <c r="C42" s="73" t="s">
        <v>1033</v>
      </c>
      <c r="D42" s="73" t="s">
        <v>1034</v>
      </c>
      <c r="E42" s="73"/>
      <c r="F42" s="73"/>
      <c r="G42" s="73"/>
      <c r="H42" s="73"/>
    </row>
    <row r="43" spans="2:8">
      <c r="C43" s="73" t="s">
        <v>1040</v>
      </c>
      <c r="D43" s="73" t="s">
        <v>1038</v>
      </c>
      <c r="E43" s="73"/>
      <c r="F43" s="73"/>
      <c r="G43" s="73"/>
      <c r="H43" s="73"/>
    </row>
    <row r="44" spans="2:8">
      <c r="C44" s="73" t="s">
        <v>794</v>
      </c>
      <c r="D44" s="73" t="s">
        <v>800</v>
      </c>
      <c r="H44" s="73" t="s">
        <v>795</v>
      </c>
    </row>
    <row r="45" spans="2:8">
      <c r="C45" s="73" t="s">
        <v>801</v>
      </c>
      <c r="D45" s="73" t="s">
        <v>798</v>
      </c>
      <c r="H45" s="73" t="s">
        <v>802</v>
      </c>
    </row>
    <row r="47" spans="2:8">
      <c r="C47" t="s">
        <v>989</v>
      </c>
      <c r="G47" t="s">
        <v>990</v>
      </c>
      <c r="H47" t="s">
        <v>998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F21-EC52-4AF6-B8C0-F4AEC80EF4E0}">
  <dimension ref="A1:C24"/>
  <sheetViews>
    <sheetView zoomScale="190" zoomScaleNormal="190" workbookViewId="0">
      <selection activeCell="C11" sqref="C11"/>
    </sheetView>
  </sheetViews>
  <sheetFormatPr defaultRowHeight="12.5"/>
  <cols>
    <col min="1" max="1" width="5" bestFit="1" customWidth="1"/>
    <col min="2" max="2" width="12.269531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1086</v>
      </c>
    </row>
    <row r="3" spans="1:3">
      <c r="B3" s="73" t="s">
        <v>756</v>
      </c>
      <c r="C3" s="73" t="s">
        <v>934</v>
      </c>
    </row>
    <row r="4" spans="1:3">
      <c r="B4" s="73" t="s">
        <v>3</v>
      </c>
      <c r="C4" s="73" t="s">
        <v>868</v>
      </c>
    </row>
    <row r="5" spans="1:3">
      <c r="B5" s="73" t="s">
        <v>760</v>
      </c>
      <c r="C5" s="73" t="s">
        <v>1084</v>
      </c>
    </row>
    <row r="6" spans="1:3">
      <c r="B6" s="73"/>
      <c r="C6" s="73" t="s">
        <v>1090</v>
      </c>
    </row>
    <row r="7" spans="1:3">
      <c r="B7" s="73" t="s">
        <v>1049</v>
      </c>
      <c r="C7" s="73" t="s">
        <v>1083</v>
      </c>
    </row>
    <row r="8" spans="1:3">
      <c r="B8" s="73"/>
      <c r="C8" s="73" t="s">
        <v>1081</v>
      </c>
    </row>
    <row r="9" spans="1:3">
      <c r="B9" s="73" t="s">
        <v>366</v>
      </c>
      <c r="C9" s="73" t="s">
        <v>1092</v>
      </c>
    </row>
    <row r="10" spans="1:3">
      <c r="B10" s="73" t="s">
        <v>5</v>
      </c>
      <c r="C10" s="73" t="s">
        <v>1097</v>
      </c>
    </row>
    <row r="11" spans="1:3">
      <c r="B11" s="73" t="s">
        <v>210</v>
      </c>
    </row>
    <row r="12" spans="1:3" ht="13">
      <c r="C12" s="16" t="s">
        <v>1088</v>
      </c>
    </row>
    <row r="13" spans="1:3">
      <c r="C13" s="73" t="s">
        <v>1096</v>
      </c>
    </row>
    <row r="16" spans="1:3" ht="13">
      <c r="C16" s="16" t="s">
        <v>1087</v>
      </c>
    </row>
    <row r="17" spans="3:3">
      <c r="C17" s="73" t="s">
        <v>1091</v>
      </c>
    </row>
    <row r="18" spans="3:3">
      <c r="C18" s="73" t="s">
        <v>1094</v>
      </c>
    </row>
    <row r="19" spans="3:3">
      <c r="C19" s="73" t="s">
        <v>1093</v>
      </c>
    </row>
    <row r="20" spans="3:3">
      <c r="C20" s="73" t="s">
        <v>1095</v>
      </c>
    </row>
    <row r="22" spans="3:3" ht="13">
      <c r="C22" s="16" t="s">
        <v>1089</v>
      </c>
    </row>
    <row r="24" spans="3:3" ht="13">
      <c r="C24" s="16" t="s">
        <v>1085</v>
      </c>
    </row>
  </sheetData>
  <hyperlinks>
    <hyperlink ref="A1" location="Main!A1" display="Main" xr:uid="{3C0DDEF1-CB5B-490B-A02D-A35721B554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E3E-F3AF-4B8C-AEC0-E9E9F60A5323}">
  <dimension ref="A1:C10"/>
  <sheetViews>
    <sheetView zoomScale="190" zoomScaleNormal="190" workbookViewId="0"/>
  </sheetViews>
  <sheetFormatPr defaultRowHeight="12.5"/>
  <cols>
    <col min="1" max="1" width="5" bestFit="1" customWidth="1"/>
    <col min="2" max="2" width="12.269531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932</v>
      </c>
    </row>
    <row r="3" spans="1:3">
      <c r="B3" s="73" t="s">
        <v>756</v>
      </c>
      <c r="C3" s="73" t="s">
        <v>1072</v>
      </c>
    </row>
    <row r="4" spans="1:3">
      <c r="B4" s="73" t="s">
        <v>3</v>
      </c>
      <c r="C4" s="73" t="s">
        <v>1077</v>
      </c>
    </row>
    <row r="5" spans="1:3">
      <c r="B5" s="73" t="s">
        <v>760</v>
      </c>
      <c r="C5" s="73" t="s">
        <v>1075</v>
      </c>
    </row>
    <row r="6" spans="1:3">
      <c r="B6" s="73" t="s">
        <v>1049</v>
      </c>
      <c r="C6" s="73" t="s">
        <v>1071</v>
      </c>
    </row>
    <row r="7" spans="1:3">
      <c r="B7" s="73" t="s">
        <v>210</v>
      </c>
    </row>
    <row r="8" spans="1:3" ht="13">
      <c r="C8" s="16" t="s">
        <v>1078</v>
      </c>
    </row>
    <row r="9" spans="1:3">
      <c r="C9" s="73" t="s">
        <v>1079</v>
      </c>
    </row>
    <row r="10" spans="1:3">
      <c r="C10" s="73" t="s">
        <v>1080</v>
      </c>
    </row>
  </sheetData>
  <hyperlinks>
    <hyperlink ref="A1" location="Main!A1" display="Main" xr:uid="{0CFC7185-09E7-4766-B212-77A1072746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zoomScale="160" zoomScaleNormal="160" workbookViewId="0"/>
  </sheetViews>
  <sheetFormatPr defaultColWidth="9.1796875" defaultRowHeight="12.5"/>
  <cols>
    <col min="1" max="1" width="5" bestFit="1" customWidth="1"/>
    <col min="2" max="2" width="14.7265625" customWidth="1"/>
  </cols>
  <sheetData>
    <row r="1" spans="1:3">
      <c r="A1" s="70" t="s">
        <v>8</v>
      </c>
    </row>
    <row r="2" spans="1:3">
      <c r="B2" t="s">
        <v>179</v>
      </c>
      <c r="C2" s="73" t="s">
        <v>13</v>
      </c>
    </row>
    <row r="3" spans="1:3">
      <c r="C3" s="73" t="s">
        <v>1050</v>
      </c>
    </row>
    <row r="4" spans="1:3">
      <c r="C4" s="73" t="s">
        <v>829</v>
      </c>
    </row>
    <row r="5" spans="1:3">
      <c r="B5" t="s">
        <v>3</v>
      </c>
      <c r="C5" t="s">
        <v>310</v>
      </c>
    </row>
    <row r="6" spans="1:3">
      <c r="C6" s="73" t="s">
        <v>1052</v>
      </c>
    </row>
    <row r="7" spans="1:3">
      <c r="C7" t="s">
        <v>421</v>
      </c>
    </row>
    <row r="8" spans="1:3">
      <c r="C8" t="s">
        <v>479</v>
      </c>
    </row>
    <row r="9" spans="1:3">
      <c r="C9" s="73" t="s">
        <v>1053</v>
      </c>
    </row>
    <row r="10" spans="1:3">
      <c r="C10" s="73" t="s">
        <v>1054</v>
      </c>
    </row>
    <row r="11" spans="1:3">
      <c r="B11" t="s">
        <v>192</v>
      </c>
      <c r="C11" t="s">
        <v>203</v>
      </c>
    </row>
    <row r="12" spans="1:3">
      <c r="B12" t="s">
        <v>193</v>
      </c>
      <c r="C12" t="s">
        <v>194</v>
      </c>
    </row>
    <row r="13" spans="1:3">
      <c r="B13" t="s">
        <v>184</v>
      </c>
      <c r="C13" t="s">
        <v>480</v>
      </c>
    </row>
    <row r="14" spans="1:3">
      <c r="B14" t="s">
        <v>308</v>
      </c>
      <c r="C14" t="s">
        <v>309</v>
      </c>
    </row>
    <row r="15" spans="1:3">
      <c r="B15" t="s">
        <v>5</v>
      </c>
      <c r="C15" t="s">
        <v>422</v>
      </c>
    </row>
    <row r="16" spans="1:3">
      <c r="B16" s="73" t="s">
        <v>268</v>
      </c>
      <c r="C16" s="131" t="s">
        <v>1073</v>
      </c>
    </row>
    <row r="17" spans="2:3">
      <c r="B17" s="73" t="s">
        <v>1049</v>
      </c>
      <c r="C17" s="73" t="s">
        <v>1056</v>
      </c>
    </row>
    <row r="18" spans="2:3">
      <c r="C18" s="73" t="s">
        <v>1051</v>
      </c>
    </row>
    <row r="19" spans="2:3">
      <c r="B19" t="s">
        <v>305</v>
      </c>
      <c r="C19" t="s">
        <v>306</v>
      </c>
    </row>
    <row r="20" spans="2:3">
      <c r="C20" t="s">
        <v>24</v>
      </c>
    </row>
    <row r="21" spans="2:3">
      <c r="C21" t="s">
        <v>25</v>
      </c>
    </row>
    <row r="23" spans="2:3">
      <c r="C23" t="s">
        <v>19</v>
      </c>
    </row>
    <row r="24" spans="2:3">
      <c r="C24" t="s">
        <v>20</v>
      </c>
    </row>
    <row r="26" spans="2:3">
      <c r="C26" t="s">
        <v>21</v>
      </c>
    </row>
    <row r="27" spans="2:3">
      <c r="C27" t="s">
        <v>27</v>
      </c>
    </row>
    <row r="28" spans="2:3">
      <c r="C28" t="s">
        <v>22</v>
      </c>
    </row>
    <row r="29" spans="2:3">
      <c r="C29" t="s">
        <v>23</v>
      </c>
    </row>
    <row r="30" spans="2:3">
      <c r="C30" t="s">
        <v>26</v>
      </c>
    </row>
    <row r="32" spans="2:3">
      <c r="C32" t="s">
        <v>28</v>
      </c>
    </row>
    <row r="34" spans="3:11">
      <c r="D34" s="48">
        <v>2006</v>
      </c>
      <c r="E34" s="48">
        <f t="shared" ref="E34:K34" si="0">D34+1</f>
        <v>2007</v>
      </c>
      <c r="F34" s="48">
        <f t="shared" si="0"/>
        <v>2008</v>
      </c>
      <c r="G34" s="48">
        <f t="shared" si="0"/>
        <v>2009</v>
      </c>
      <c r="H34" s="48">
        <f t="shared" si="0"/>
        <v>2010</v>
      </c>
      <c r="I34" s="48">
        <f t="shared" si="0"/>
        <v>2011</v>
      </c>
      <c r="J34" s="48">
        <f t="shared" si="0"/>
        <v>2012</v>
      </c>
      <c r="K34" s="48">
        <f t="shared" si="0"/>
        <v>2013</v>
      </c>
    </row>
    <row r="35" spans="3:11" s="132" customFormat="1">
      <c r="C35" s="132" t="s">
        <v>195</v>
      </c>
      <c r="D35" s="133"/>
      <c r="E35" s="133"/>
      <c r="F35" s="133"/>
      <c r="G35" s="133"/>
      <c r="H35" s="133">
        <v>2800</v>
      </c>
      <c r="I35" s="133"/>
      <c r="J35" s="133"/>
      <c r="K35" s="133"/>
    </row>
    <row r="36" spans="3:11">
      <c r="D36" s="48"/>
      <c r="E36" s="48"/>
      <c r="F36" s="48"/>
      <c r="G36" s="48"/>
      <c r="H36" s="48"/>
      <c r="I36" s="48"/>
      <c r="J36" s="48"/>
      <c r="K36" s="48"/>
    </row>
    <row r="37" spans="3:11">
      <c r="C37" t="s">
        <v>54</v>
      </c>
      <c r="D37" s="48"/>
      <c r="E37" s="48"/>
      <c r="F37" s="48"/>
      <c r="G37" s="48"/>
      <c r="H37" s="48"/>
      <c r="I37" s="48"/>
      <c r="J37" s="48"/>
      <c r="K37" s="48"/>
    </row>
    <row r="38" spans="3:11">
      <c r="D38" s="48"/>
      <c r="E38" s="48"/>
      <c r="F38" s="48"/>
      <c r="G38" s="48"/>
      <c r="H38" s="48"/>
      <c r="I38" s="48"/>
      <c r="J38" s="48"/>
      <c r="K38" s="48"/>
    </row>
    <row r="39" spans="3:11">
      <c r="C39" t="s">
        <v>129</v>
      </c>
      <c r="D39" t="s">
        <v>130</v>
      </c>
      <c r="E39">
        <v>0</v>
      </c>
      <c r="F39">
        <v>123.35</v>
      </c>
      <c r="G39" t="s">
        <v>131</v>
      </c>
      <c r="H39" t="s">
        <v>132</v>
      </c>
    </row>
    <row r="40" spans="3:11">
      <c r="C40" t="s">
        <v>133</v>
      </c>
      <c r="D40" t="s">
        <v>134</v>
      </c>
      <c r="E40">
        <v>68</v>
      </c>
      <c r="F40">
        <v>82</v>
      </c>
      <c r="G40" t="s">
        <v>135</v>
      </c>
      <c r="H40" t="s">
        <v>132</v>
      </c>
    </row>
    <row r="41" spans="3:11">
      <c r="C41" t="s">
        <v>136</v>
      </c>
      <c r="D41" t="s">
        <v>137</v>
      </c>
      <c r="E41">
        <v>28.75</v>
      </c>
      <c r="F41">
        <v>35.25</v>
      </c>
      <c r="G41" t="s">
        <v>138</v>
      </c>
      <c r="H41" t="s">
        <v>132</v>
      </c>
    </row>
    <row r="42" spans="3:11">
      <c r="C42" t="s">
        <v>139</v>
      </c>
      <c r="D42" t="s">
        <v>140</v>
      </c>
      <c r="E42">
        <v>17.239999999999998</v>
      </c>
      <c r="F42" t="s">
        <v>141</v>
      </c>
      <c r="G42" t="s">
        <v>123</v>
      </c>
      <c r="H42" t="s">
        <v>142</v>
      </c>
    </row>
    <row r="43" spans="3:11">
      <c r="C43" t="s">
        <v>143</v>
      </c>
      <c r="D43" t="s">
        <v>144</v>
      </c>
      <c r="E43">
        <v>54.12</v>
      </c>
      <c r="F43">
        <v>66</v>
      </c>
      <c r="G43" t="s">
        <v>145</v>
      </c>
      <c r="H43" t="s">
        <v>146</v>
      </c>
    </row>
    <row r="44" spans="3:11">
      <c r="C44" t="s">
        <v>147</v>
      </c>
      <c r="D44" t="s">
        <v>151</v>
      </c>
      <c r="E44">
        <v>36.909999999999997</v>
      </c>
      <c r="F44">
        <v>78.16</v>
      </c>
      <c r="G44" t="s">
        <v>138</v>
      </c>
      <c r="H44" t="s">
        <v>149</v>
      </c>
    </row>
    <row r="45" spans="3:11">
      <c r="C45" t="s">
        <v>150</v>
      </c>
      <c r="D45" t="s">
        <v>148</v>
      </c>
      <c r="E45">
        <v>52.25</v>
      </c>
      <c r="F45">
        <v>66.81</v>
      </c>
      <c r="G45" t="s">
        <v>131</v>
      </c>
      <c r="H45" t="s">
        <v>132</v>
      </c>
    </row>
    <row r="46" spans="3:11">
      <c r="C46" t="s">
        <v>152</v>
      </c>
      <c r="D46" t="s">
        <v>153</v>
      </c>
      <c r="E46">
        <v>24.25</v>
      </c>
      <c r="F46">
        <v>59.09</v>
      </c>
      <c r="G46" t="s">
        <v>131</v>
      </c>
      <c r="H46" t="s">
        <v>149</v>
      </c>
    </row>
    <row r="48" spans="3:11">
      <c r="C48" t="s">
        <v>200</v>
      </c>
    </row>
    <row r="49" spans="3:3">
      <c r="C49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/>
  </sheetViews>
  <sheetFormatPr defaultColWidth="8.81640625" defaultRowHeight="12.5"/>
  <cols>
    <col min="1" max="1" width="5" bestFit="1" customWidth="1"/>
    <col min="3" max="3" width="11.54296875" customWidth="1"/>
  </cols>
  <sheetData>
    <row r="1" spans="1:5">
      <c r="A1" s="5" t="s">
        <v>8</v>
      </c>
    </row>
    <row r="2" spans="1:5">
      <c r="B2" s="73" t="s">
        <v>755</v>
      </c>
      <c r="C2" s="73" t="s">
        <v>742</v>
      </c>
    </row>
    <row r="3" spans="1:5">
      <c r="B3" s="73" t="s">
        <v>756</v>
      </c>
      <c r="C3" s="73" t="s">
        <v>935</v>
      </c>
    </row>
    <row r="4" spans="1:5">
      <c r="B4" s="73" t="s">
        <v>3</v>
      </c>
      <c r="C4" s="73" t="s">
        <v>936</v>
      </c>
    </row>
    <row r="5" spans="1:5">
      <c r="B5" s="73" t="s">
        <v>760</v>
      </c>
      <c r="C5" s="73" t="s">
        <v>937</v>
      </c>
    </row>
    <row r="6" spans="1:5">
      <c r="B6" s="73" t="s">
        <v>370</v>
      </c>
      <c r="C6" s="72">
        <v>42048</v>
      </c>
    </row>
    <row r="7" spans="1:5">
      <c r="B7" s="73" t="s">
        <v>6</v>
      </c>
      <c r="C7" s="73" t="s">
        <v>938</v>
      </c>
    </row>
    <row r="9" spans="1:5">
      <c r="E9" s="129" t="s">
        <v>939</v>
      </c>
    </row>
    <row r="13" spans="1:5">
      <c r="C13" s="73" t="s">
        <v>940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8"/>
  <sheetViews>
    <sheetView zoomScale="160" zoomScaleNormal="160" workbookViewId="0">
      <selection activeCell="C5" sqref="C5"/>
    </sheetView>
  </sheetViews>
  <sheetFormatPr defaultColWidth="8.81640625" defaultRowHeight="12.5"/>
  <cols>
    <col min="1" max="1" width="5" bestFit="1" customWidth="1"/>
    <col min="2" max="2" width="12.54296875" customWidth="1"/>
  </cols>
  <sheetData>
    <row r="1" spans="1:3">
      <c r="A1" s="5" t="s">
        <v>8</v>
      </c>
    </row>
    <row r="2" spans="1:3">
      <c r="B2" s="73" t="s">
        <v>755</v>
      </c>
      <c r="C2" s="73" t="s">
        <v>886</v>
      </c>
    </row>
    <row r="3" spans="1:3">
      <c r="B3" s="73" t="s">
        <v>756</v>
      </c>
      <c r="C3" s="73" t="s">
        <v>887</v>
      </c>
    </row>
    <row r="4" spans="1:3">
      <c r="B4" s="73" t="s">
        <v>760</v>
      </c>
      <c r="C4" s="73" t="s">
        <v>1104</v>
      </c>
    </row>
    <row r="5" spans="1:3">
      <c r="B5" s="73" t="s">
        <v>3</v>
      </c>
      <c r="C5" s="73" t="s">
        <v>888</v>
      </c>
    </row>
    <row r="6" spans="1:3">
      <c r="B6" s="73" t="s">
        <v>268</v>
      </c>
      <c r="C6" s="73" t="s">
        <v>1099</v>
      </c>
    </row>
    <row r="7" spans="1:3">
      <c r="B7" s="73" t="s">
        <v>415</v>
      </c>
      <c r="C7" s="73" t="s">
        <v>889</v>
      </c>
    </row>
    <row r="8" spans="1:3">
      <c r="B8" s="73" t="s">
        <v>6</v>
      </c>
      <c r="C8" s="73" t="s">
        <v>890</v>
      </c>
    </row>
    <row r="9" spans="1:3">
      <c r="B9" s="73"/>
      <c r="C9" s="73" t="s">
        <v>891</v>
      </c>
    </row>
    <row r="10" spans="1:3">
      <c r="B10" s="73"/>
      <c r="C10" s="73" t="s">
        <v>892</v>
      </c>
    </row>
    <row r="11" spans="1:3">
      <c r="B11" s="73"/>
      <c r="C11" s="73" t="s">
        <v>893</v>
      </c>
    </row>
    <row r="12" spans="1:3">
      <c r="B12" s="73"/>
      <c r="C12" s="73" t="s">
        <v>894</v>
      </c>
    </row>
    <row r="13" spans="1:3">
      <c r="B13" s="73"/>
      <c r="C13" s="73" t="s">
        <v>895</v>
      </c>
    </row>
    <row r="14" spans="1:3">
      <c r="B14" s="73"/>
      <c r="C14" s="131" t="s">
        <v>1100</v>
      </c>
    </row>
    <row r="15" spans="1:3">
      <c r="B15" s="73"/>
      <c r="C15" s="73" t="s">
        <v>1103</v>
      </c>
    </row>
    <row r="16" spans="1:3">
      <c r="B16" s="73"/>
      <c r="C16" s="73" t="s">
        <v>1101</v>
      </c>
    </row>
    <row r="17" spans="2:3">
      <c r="B17" s="73"/>
      <c r="C17" s="73" t="s">
        <v>1102</v>
      </c>
    </row>
    <row r="18" spans="2:3">
      <c r="B18" s="73" t="s">
        <v>210</v>
      </c>
    </row>
    <row r="19" spans="2:3" ht="13">
      <c r="C19" s="16" t="s">
        <v>896</v>
      </c>
    </row>
    <row r="21" spans="2:3" ht="13">
      <c r="C21" s="16" t="s">
        <v>897</v>
      </c>
    </row>
    <row r="23" spans="2:3" ht="13">
      <c r="C23" s="16" t="s">
        <v>898</v>
      </c>
    </row>
    <row r="24" spans="2:3">
      <c r="C24" s="73" t="s">
        <v>899</v>
      </c>
    </row>
    <row r="26" spans="2:3" ht="13">
      <c r="C26" s="16" t="s">
        <v>900</v>
      </c>
    </row>
    <row r="27" spans="2:3">
      <c r="C27" s="73" t="s">
        <v>901</v>
      </c>
    </row>
    <row r="28" spans="2:3">
      <c r="C28" s="73" t="s">
        <v>902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Master Pipeline</vt:lpstr>
      <vt:lpstr>Main</vt:lpstr>
      <vt:lpstr>Model</vt:lpstr>
      <vt:lpstr>Keytruda</vt:lpstr>
      <vt:lpstr>Winrevair</vt:lpstr>
      <vt:lpstr>Welireg</vt:lpstr>
      <vt:lpstr>Gardasil</vt:lpstr>
      <vt:lpstr>Lenvima</vt:lpstr>
      <vt:lpstr>Lynparza</vt:lpstr>
      <vt:lpstr>Padcev</vt:lpstr>
      <vt:lpstr>Rotateq</vt:lpstr>
      <vt:lpstr>V940</vt:lpstr>
      <vt:lpstr>0482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2025-02-05T15:00:28Z</dcterms:modified>
</cp:coreProperties>
</file>