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25D219C-4DF6-441C-AD7F-7644B09A8B9D}" xr6:coauthVersionLast="47" xr6:coauthVersionMax="47" xr10:uidLastSave="{00000000-0000-0000-0000-000000000000}"/>
  <bookViews>
    <workbookView xWindow="-27195" yWindow="1725" windowWidth="21570" windowHeight="17925" activeTab="1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2" l="1"/>
  <c r="Z23" i="2"/>
  <c r="Y23" i="2"/>
  <c r="X23" i="2"/>
  <c r="AI53" i="2"/>
  <c r="AI52" i="2"/>
  <c r="AF53" i="2"/>
  <c r="AH53" i="2"/>
  <c r="AG53" i="2"/>
  <c r="Z7" i="2"/>
  <c r="Y7" i="2"/>
  <c r="X7" i="2"/>
  <c r="W52" i="2"/>
  <c r="W73" i="2" s="1"/>
  <c r="V46" i="2"/>
  <c r="V45" i="2"/>
  <c r="V44" i="2"/>
  <c r="V37" i="2"/>
  <c r="V38" i="2"/>
  <c r="V36" i="2"/>
  <c r="V41" i="2" s="1"/>
  <c r="V32" i="2"/>
  <c r="V26" i="2"/>
  <c r="W13" i="2"/>
  <c r="W14" i="2" s="1"/>
  <c r="W16" i="2" s="1"/>
  <c r="W18" i="2" s="1"/>
  <c r="W24" i="2"/>
  <c r="W23" i="2"/>
  <c r="V13" i="2"/>
  <c r="V9" i="2"/>
  <c r="V14" i="2" s="1"/>
  <c r="V16" i="2" s="1"/>
  <c r="V18" i="2" s="1"/>
  <c r="U63" i="2"/>
  <c r="U61" i="2"/>
  <c r="U60" i="2"/>
  <c r="U59" i="2"/>
  <c r="U62" i="2"/>
  <c r="U56" i="2"/>
  <c r="U55" i="2"/>
  <c r="U57" i="2" s="1"/>
  <c r="U51" i="2"/>
  <c r="V51" i="2" s="1"/>
  <c r="U50" i="2"/>
  <c r="V50" i="2" s="1"/>
  <c r="U46" i="2"/>
  <c r="U45" i="2"/>
  <c r="U44" i="2"/>
  <c r="T38" i="2"/>
  <c r="T37" i="2"/>
  <c r="T36" i="2"/>
  <c r="T26" i="2"/>
  <c r="T63" i="2"/>
  <c r="T61" i="2"/>
  <c r="T60" i="2"/>
  <c r="T59" i="2"/>
  <c r="T62" i="2" s="1"/>
  <c r="T56" i="2"/>
  <c r="T55" i="2"/>
  <c r="T51" i="2"/>
  <c r="T50" i="2"/>
  <c r="T49" i="2"/>
  <c r="U49" i="2" s="1"/>
  <c r="V49" i="2" s="1"/>
  <c r="T48" i="2"/>
  <c r="U48" i="2" s="1"/>
  <c r="V48" i="2" s="1"/>
  <c r="T47" i="2"/>
  <c r="U47" i="2" s="1"/>
  <c r="T46" i="2"/>
  <c r="T45" i="2"/>
  <c r="T44" i="2"/>
  <c r="U36" i="2"/>
  <c r="U37" i="2"/>
  <c r="U38" i="2"/>
  <c r="U41" i="2" s="1"/>
  <c r="T32" i="2"/>
  <c r="U26" i="2"/>
  <c r="U32" i="2" s="1"/>
  <c r="U17" i="2"/>
  <c r="U15" i="2"/>
  <c r="V24" i="2"/>
  <c r="T17" i="2"/>
  <c r="T15" i="2"/>
  <c r="T13" i="2"/>
  <c r="T9" i="2"/>
  <c r="T24" i="2" s="1"/>
  <c r="U13" i="2"/>
  <c r="U9" i="2"/>
  <c r="U24" i="2" s="1"/>
  <c r="AF38" i="2"/>
  <c r="AF37" i="2"/>
  <c r="AF36" i="2"/>
  <c r="AF26" i="2"/>
  <c r="AF32" i="2" s="1"/>
  <c r="AD51" i="2"/>
  <c r="AD50" i="2"/>
  <c r="AD52" i="2" s="1"/>
  <c r="AE51" i="2"/>
  <c r="AE50" i="2"/>
  <c r="AE52" i="2" s="1"/>
  <c r="AF51" i="2"/>
  <c r="AF50" i="2"/>
  <c r="AF6" i="2"/>
  <c r="AF5" i="2"/>
  <c r="U23" i="2"/>
  <c r="AF7" i="2"/>
  <c r="AE7" i="2"/>
  <c r="AF67" i="2"/>
  <c r="AE67" i="2"/>
  <c r="AF3" i="2"/>
  <c r="AE3" i="2"/>
  <c r="O62" i="2"/>
  <c r="O56" i="2"/>
  <c r="O57" i="2" s="1"/>
  <c r="O51" i="2"/>
  <c r="O52" i="2" s="1"/>
  <c r="O17" i="2"/>
  <c r="O38" i="2"/>
  <c r="O37" i="2"/>
  <c r="O36" i="2"/>
  <c r="O26" i="2"/>
  <c r="O32" i="2" s="1"/>
  <c r="P36" i="2"/>
  <c r="P38" i="2"/>
  <c r="P37" i="2"/>
  <c r="P26" i="2"/>
  <c r="P32" i="2" s="1"/>
  <c r="L15" i="2"/>
  <c r="L9" i="2"/>
  <c r="P23" i="2"/>
  <c r="P17" i="2"/>
  <c r="P15" i="2"/>
  <c r="P13" i="2"/>
  <c r="P9" i="2"/>
  <c r="P14" i="2" s="1"/>
  <c r="Q38" i="2"/>
  <c r="Q37" i="2"/>
  <c r="Q36" i="2"/>
  <c r="Q26" i="2"/>
  <c r="Q32" i="2" s="1"/>
  <c r="Q17" i="2"/>
  <c r="Q15" i="2"/>
  <c r="Q13" i="2"/>
  <c r="Q9" i="2"/>
  <c r="Q24" i="2" s="1"/>
  <c r="R38" i="2"/>
  <c r="R37" i="2"/>
  <c r="R36" i="2"/>
  <c r="R26" i="2"/>
  <c r="R32" i="2" s="1"/>
  <c r="N17" i="2"/>
  <c r="N15" i="2"/>
  <c r="N9" i="2"/>
  <c r="R17" i="2"/>
  <c r="R15" i="2"/>
  <c r="R13" i="2"/>
  <c r="R7" i="2"/>
  <c r="R9" i="2" s="1"/>
  <c r="R24" i="2" s="1"/>
  <c r="T23" i="2"/>
  <c r="S62" i="2"/>
  <c r="S56" i="2"/>
  <c r="S57" i="2" s="1"/>
  <c r="S51" i="2"/>
  <c r="S52" i="2" s="1"/>
  <c r="S38" i="2"/>
  <c r="S37" i="2"/>
  <c r="S36" i="2"/>
  <c r="S26" i="2"/>
  <c r="S32" i="2" s="1"/>
  <c r="O15" i="2"/>
  <c r="O13" i="2"/>
  <c r="S17" i="2"/>
  <c r="S15" i="2"/>
  <c r="S13" i="2"/>
  <c r="O23" i="2"/>
  <c r="O9" i="2"/>
  <c r="O24" i="2" s="1"/>
  <c r="S23" i="2"/>
  <c r="S9" i="2"/>
  <c r="L4" i="1"/>
  <c r="L7" i="1" s="1"/>
  <c r="AE12" i="2"/>
  <c r="AF12" i="2" s="1"/>
  <c r="AG12" i="2" s="1"/>
  <c r="AH12" i="2" s="1"/>
  <c r="AI12" i="2" s="1"/>
  <c r="AJ12" i="2" s="1"/>
  <c r="AK12" i="2" s="1"/>
  <c r="AE11" i="2"/>
  <c r="AF11" i="2" s="1"/>
  <c r="AG11" i="2" s="1"/>
  <c r="AH11" i="2" s="1"/>
  <c r="AI11" i="2" s="1"/>
  <c r="AJ11" i="2" s="1"/>
  <c r="AK11" i="2" s="1"/>
  <c r="AE10" i="2"/>
  <c r="M12" i="2"/>
  <c r="M11" i="2"/>
  <c r="M10" i="2"/>
  <c r="N23" i="2"/>
  <c r="M9" i="2"/>
  <c r="L23" i="2"/>
  <c r="D17" i="2"/>
  <c r="D15" i="2"/>
  <c r="D13" i="2"/>
  <c r="D9" i="2"/>
  <c r="D24" i="2" s="1"/>
  <c r="H15" i="2"/>
  <c r="H23" i="2"/>
  <c r="H13" i="2"/>
  <c r="H9" i="2"/>
  <c r="E15" i="2"/>
  <c r="E13" i="2"/>
  <c r="E9" i="2"/>
  <c r="E24" i="2" s="1"/>
  <c r="I23" i="2"/>
  <c r="I15" i="2"/>
  <c r="I13" i="2"/>
  <c r="I9" i="2"/>
  <c r="I24" i="2" s="1"/>
  <c r="AD23" i="2"/>
  <c r="AC15" i="2"/>
  <c r="AD15" i="2"/>
  <c r="AD13" i="2"/>
  <c r="AC13" i="2"/>
  <c r="AC9" i="2"/>
  <c r="AD9" i="2"/>
  <c r="AD24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J23" i="2"/>
  <c r="F15" i="2"/>
  <c r="F13" i="2"/>
  <c r="F9" i="2"/>
  <c r="F24" i="2" s="1"/>
  <c r="J15" i="2"/>
  <c r="J13" i="2"/>
  <c r="J9" i="2"/>
  <c r="J24" i="2" s="1"/>
  <c r="M20" i="2"/>
  <c r="K38" i="2"/>
  <c r="K37" i="2"/>
  <c r="K36" i="2"/>
  <c r="K26" i="2"/>
  <c r="K32" i="2" s="1"/>
  <c r="K23" i="2"/>
  <c r="K15" i="2"/>
  <c r="G15" i="2"/>
  <c r="G13" i="2"/>
  <c r="G9" i="2"/>
  <c r="G24" i="2" s="1"/>
  <c r="K13" i="2"/>
  <c r="K9" i="2"/>
  <c r="U52" i="2" l="1"/>
  <c r="U73" i="2" s="1"/>
  <c r="V47" i="2"/>
  <c r="V52" i="2" s="1"/>
  <c r="V73" i="2" s="1"/>
  <c r="V19" i="2"/>
  <c r="V43" i="2"/>
  <c r="T52" i="2"/>
  <c r="AG52" i="2" s="1"/>
  <c r="U64" i="2"/>
  <c r="O41" i="2"/>
  <c r="T41" i="2"/>
  <c r="T57" i="2"/>
  <c r="T64" i="2" s="1"/>
  <c r="U14" i="2"/>
  <c r="U16" i="2" s="1"/>
  <c r="U18" i="2" s="1"/>
  <c r="T14" i="2"/>
  <c r="T16" i="2" s="1"/>
  <c r="T18" i="2" s="1"/>
  <c r="R41" i="2"/>
  <c r="K14" i="2"/>
  <c r="AF52" i="2"/>
  <c r="Q41" i="2"/>
  <c r="AF41" i="2"/>
  <c r="P41" i="2"/>
  <c r="P24" i="2"/>
  <c r="R23" i="2"/>
  <c r="Q14" i="2"/>
  <c r="Q16" i="2" s="1"/>
  <c r="Q18" i="2" s="1"/>
  <c r="Q19" i="2" s="1"/>
  <c r="O64" i="2"/>
  <c r="P16" i="2"/>
  <c r="P18" i="2" s="1"/>
  <c r="P19" i="2" s="1"/>
  <c r="Q23" i="2"/>
  <c r="R14" i="2"/>
  <c r="R16" i="2" s="1"/>
  <c r="R18" i="2" s="1"/>
  <c r="R19" i="2" s="1"/>
  <c r="S64" i="2"/>
  <c r="S41" i="2"/>
  <c r="O14" i="2"/>
  <c r="O16" i="2" s="1"/>
  <c r="O18" i="2" s="1"/>
  <c r="S14" i="2"/>
  <c r="S16" i="2" s="1"/>
  <c r="S18" i="2" s="1"/>
  <c r="AC14" i="2"/>
  <c r="S24" i="2"/>
  <c r="AC16" i="2"/>
  <c r="AC18" i="2" s="1"/>
  <c r="AC19" i="2" s="1"/>
  <c r="K24" i="2"/>
  <c r="AE13" i="2"/>
  <c r="AC24" i="2"/>
  <c r="AE9" i="2"/>
  <c r="AE24" i="2" s="1"/>
  <c r="M8" i="2"/>
  <c r="M24" i="2"/>
  <c r="AE20" i="2"/>
  <c r="N13" i="2"/>
  <c r="M13" i="2"/>
  <c r="M14" i="2" s="1"/>
  <c r="M16" i="2" s="1"/>
  <c r="M18" i="2" s="1"/>
  <c r="M19" i="2" s="1"/>
  <c r="K16" i="2"/>
  <c r="K18" i="2" s="1"/>
  <c r="K19" i="2" s="1"/>
  <c r="AD14" i="2"/>
  <c r="AD16" i="2" s="1"/>
  <c r="AD18" i="2" s="1"/>
  <c r="M23" i="2"/>
  <c r="K41" i="2"/>
  <c r="L13" i="2"/>
  <c r="L14" i="2" s="1"/>
  <c r="L16" i="2" s="1"/>
  <c r="L18" i="2" s="1"/>
  <c r="L19" i="2" s="1"/>
  <c r="AF10" i="2"/>
  <c r="D14" i="2"/>
  <c r="D16" i="2" s="1"/>
  <c r="D18" i="2" s="1"/>
  <c r="D19" i="2" s="1"/>
  <c r="H14" i="2"/>
  <c r="H16" i="2" s="1"/>
  <c r="H18" i="2" s="1"/>
  <c r="H19" i="2" s="1"/>
  <c r="H24" i="2"/>
  <c r="E14" i="2"/>
  <c r="E16" i="2" s="1"/>
  <c r="E18" i="2" s="1"/>
  <c r="E19" i="2" s="1"/>
  <c r="I14" i="2"/>
  <c r="I16" i="2" s="1"/>
  <c r="I18" i="2" s="1"/>
  <c r="I19" i="2" s="1"/>
  <c r="L24" i="2"/>
  <c r="F14" i="2"/>
  <c r="F16" i="2" s="1"/>
  <c r="F18" i="2" s="1"/>
  <c r="F19" i="2" s="1"/>
  <c r="J14" i="2"/>
  <c r="J16" i="2" s="1"/>
  <c r="J18" i="2" s="1"/>
  <c r="J19" i="2" s="1"/>
  <c r="G14" i="2"/>
  <c r="G16" i="2" s="1"/>
  <c r="G18" i="2" s="1"/>
  <c r="G19" i="2" s="1"/>
  <c r="T19" i="2" l="1"/>
  <c r="T43" i="2"/>
  <c r="U19" i="2"/>
  <c r="U43" i="2"/>
  <c r="AD19" i="2"/>
  <c r="AD43" i="2"/>
  <c r="V23" i="2"/>
  <c r="AG7" i="2"/>
  <c r="O19" i="2"/>
  <c r="O43" i="2"/>
  <c r="S19" i="2"/>
  <c r="S43" i="2"/>
  <c r="N14" i="2"/>
  <c r="AE14" i="2"/>
  <c r="AE16" i="2" s="1"/>
  <c r="AE18" i="2" s="1"/>
  <c r="N24" i="2"/>
  <c r="AE23" i="2"/>
  <c r="AE8" i="2"/>
  <c r="AF20" i="2"/>
  <c r="AG20" i="2" s="1"/>
  <c r="AH20" i="2" s="1"/>
  <c r="AI20" i="2" s="1"/>
  <c r="AJ20" i="2" s="1"/>
  <c r="AK20" i="2" s="1"/>
  <c r="AG10" i="2"/>
  <c r="AF13" i="2"/>
  <c r="AE19" i="2" l="1"/>
  <c r="AE43" i="2"/>
  <c r="N16" i="2"/>
  <c r="N18" i="2" s="1"/>
  <c r="N19" i="2" s="1"/>
  <c r="AF23" i="2"/>
  <c r="AF9" i="2"/>
  <c r="AF24" i="2" s="1"/>
  <c r="AH10" i="2"/>
  <c r="AG13" i="2"/>
  <c r="AG9" i="2"/>
  <c r="AG24" i="2" s="1"/>
  <c r="AG23" i="2"/>
  <c r="AF8" i="2" l="1"/>
  <c r="AF14" i="2"/>
  <c r="AF16" i="2" s="1"/>
  <c r="AF18" i="2" s="1"/>
  <c r="AI7" i="2"/>
  <c r="AH23" i="2"/>
  <c r="AH9" i="2"/>
  <c r="AH24" i="2" s="1"/>
  <c r="AG14" i="2"/>
  <c r="AG16" i="2" s="1"/>
  <c r="AG18" i="2" s="1"/>
  <c r="AG19" i="2" s="1"/>
  <c r="AG8" i="2"/>
  <c r="AH13" i="2"/>
  <c r="AI10" i="2"/>
  <c r="AF19" i="2" l="1"/>
  <c r="AF43" i="2"/>
  <c r="AH14" i="2"/>
  <c r="AH16" i="2" s="1"/>
  <c r="AH17" i="2" s="1"/>
  <c r="AH18" i="2" s="1"/>
  <c r="AH19" i="2" s="1"/>
  <c r="AH8" i="2"/>
  <c r="AI13" i="2"/>
  <c r="AJ10" i="2"/>
  <c r="AI23" i="2"/>
  <c r="AJ7" i="2"/>
  <c r="AI9" i="2"/>
  <c r="AI8" i="2" l="1"/>
  <c r="AI24" i="2"/>
  <c r="AI14" i="2"/>
  <c r="AI16" i="2" s="1"/>
  <c r="AI17" i="2" s="1"/>
  <c r="AI18" i="2" s="1"/>
  <c r="AI19" i="2" s="1"/>
  <c r="AJ23" i="2"/>
  <c r="AJ9" i="2"/>
  <c r="AK7" i="2"/>
  <c r="AJ13" i="2"/>
  <c r="AK10" i="2"/>
  <c r="AK13" i="2" s="1"/>
  <c r="AJ14" i="2" l="1"/>
  <c r="AJ16" i="2" s="1"/>
  <c r="AJ17" i="2" s="1"/>
  <c r="AJ18" i="2" s="1"/>
  <c r="AJ19" i="2" s="1"/>
  <c r="AJ24" i="2"/>
  <c r="AK23" i="2"/>
  <c r="AK9" i="2"/>
  <c r="AJ8" i="2"/>
  <c r="AK24" i="2" l="1"/>
  <c r="AK14" i="2"/>
  <c r="AK16" i="2" s="1"/>
  <c r="AK17" i="2" s="1"/>
  <c r="AK18" i="2" s="1"/>
  <c r="AK19" i="2" s="1"/>
  <c r="AK8" i="2"/>
</calcChain>
</file>

<file path=xl/sharedStrings.xml><?xml version="1.0" encoding="utf-8"?>
<sst xmlns="http://schemas.openxmlformats.org/spreadsheetml/2006/main" count="106" uniqueCount="96">
  <si>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</si>
  <si>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</si>
  <si>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</si>
  <si>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</si>
  <si>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</si>
  <si>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</si>
  <si>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</si>
  <si>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</si>
  <si>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</si>
  <si>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</si>
  <si>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</si>
  <si>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</si>
  <si>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</si>
  <si>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</si>
  <si>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</si>
  <si>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</si>
  <si>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</si>
  <si>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</si>
  <si>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</si>
  <si>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</si>
  <si>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</si>
  <si>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</si>
  <si>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</si>
  <si>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</si>
  <si>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</si>
  <si>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</si>
  <si>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</si>
  <si>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</si>
  <si>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</si>
  <si>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</si>
  <si>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</si>
  <si>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</si>
  <si>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</si>
  <si>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</si>
  <si>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</si>
  <si>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</si>
  <si>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</si>
  <si>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</si>
  <si>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</si>
  <si>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</si>
  <si>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</si>
  <si>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</si>
  <si>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</si>
  <si>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</si>
  <si>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</si>
  <si>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</si>
  <si>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</si>
  <si>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</si>
  <si>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</si>
  <si>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</si>
  <si>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</si>
  <si>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</si>
  <si>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</si>
  <si>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</si>
  <si>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</si>
  <si>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</si>
  <si>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</si>
  <si>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Reported NI</t>
  </si>
  <si>
    <t>D&amp;A</t>
  </si>
  <si>
    <t>SBC</t>
  </si>
  <si>
    <t>Loss on Stocks</t>
  </si>
  <si>
    <t>Noncash Consideration</t>
  </si>
  <si>
    <t>WC</t>
  </si>
  <si>
    <t>CFFI</t>
  </si>
  <si>
    <t>Investments</t>
  </si>
  <si>
    <t>CIC</t>
  </si>
  <si>
    <t>FX</t>
  </si>
  <si>
    <t>CFFF</t>
  </si>
  <si>
    <t>ESOP</t>
  </si>
  <si>
    <t>Buyback</t>
  </si>
  <si>
    <t>Commercial</t>
  </si>
  <si>
    <t>Government</t>
  </si>
  <si>
    <t>Gotham, Foundry, Apollo, and AIP</t>
  </si>
  <si>
    <t>Founded</t>
  </si>
  <si>
    <t>Started in counterterrorism</t>
  </si>
  <si>
    <t>Gotham</t>
  </si>
  <si>
    <t>Foundry</t>
  </si>
  <si>
    <t>AIP</t>
  </si>
  <si>
    <t>AI + big data</t>
  </si>
  <si>
    <t>Apollo</t>
  </si>
  <si>
    <t>big data for industry</t>
  </si>
  <si>
    <t>cloud</t>
  </si>
  <si>
    <t>55% of revenue is gov</t>
  </si>
  <si>
    <t>45% of revenue is industrial</t>
  </si>
  <si>
    <t>Customers</t>
  </si>
  <si>
    <t>US</t>
  </si>
  <si>
    <t>ExUS</t>
  </si>
  <si>
    <t>Gov</t>
  </si>
  <si>
    <t>Industry</t>
  </si>
  <si>
    <t>Top 3 18% of revenue: CIA? FBI?</t>
  </si>
  <si>
    <t>big data for government: CDC, NIH, FDA</t>
  </si>
  <si>
    <t>TRDV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</si>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</sst>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2" borderId="0" xfId="0" applyNumberFormat="1" applyFill="1" applyAlignment="1">
      <alignment horizontal="right"/>
    </xf>
    <xf numFmtId="0" fontId="2" fillId="0" borderId="0" xfId="1"/>
    <xf numFmtId="0" fontId="3" fillId="0" borderId="0" xfId="0" applyFont="1"/>
    <xf numFmtId="1" fontId="0" fillId="0" borderId="0" xfId="0" applyNumberFormat="1"/>
    <xf numFmtId="9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71E834B-9263-403B-91D8-EE7D3E40F7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26307</xdr:colOff>
      <xdr:row>0</xdr:row>
      <xdr:rowOff>0</xdr:rowOff>
    </xdr:from>
    <xdr:to>
      <xdr:col>22</xdr:col>
      <xdr:colOff>26307</xdr:colOff>
      <xdr:row>70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13579021" y="0"/>
          <a:ext cx="0" cy="113755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43542</xdr:colOff>
      <xdr:row>0</xdr:row>
      <xdr:rowOff>0</xdr:rowOff>
    </xdr:from>
    <xdr:to>
      <xdr:col>32</xdr:col>
      <xdr:colOff>43542</xdr:colOff>
      <xdr:row>52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7147721" y="0"/>
          <a:ext cx="0" cy="86541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B2:M9"/>
  <sheetViews>
    <sheetView zoomScale="145" zoomScaleNormal="145" workbookViewId="0">
      <selection activeCell="M3" sqref="M3"/>
    </sheetView>
  </sheetViews>
  <sheetFormatPr defaultColWidth="8.85546875" defaultRowHeight="12.75" x14ac:dyDescent="0.2"/>
  <sheetData>
    <row r="2" spans="2:13" x14ac:dyDescent="0.2">
      <c r="B2" s="15" t="s">
        <v>72</v>
      </c>
      <c r="K2" t="s">
        <v>0</v>
      </c>
      <c r="L2" s="1">
        <v>102</v>
      </c>
    </row>
    <row r="3" spans="2:13" x14ac:dyDescent="0.2">
      <c r="B3" t="s">
        <v>74</v>
      </c>
      <c r="K3" t="s">
        <v>1</v>
      </c>
      <c r="L3" s="3">
        <v>2528</v>
      </c>
      <c r="M3" s="2" t="s">
        <v>55</v>
      </c>
    </row>
    <row r="4" spans="2:13" x14ac:dyDescent="0.2">
      <c r="K4" t="s">
        <v>2</v>
      </c>
      <c r="L4" s="3">
        <f>L3*L2</f>
        <v>257856</v>
      </c>
    </row>
    <row r="5" spans="2:13" x14ac:dyDescent="0.2">
      <c r="K5" t="s">
        <v>3</v>
      </c>
      <c r="L5" s="3">
        <v>5230</v>
      </c>
      <c r="M5" s="2" t="s">
        <v>55</v>
      </c>
    </row>
    <row r="6" spans="2:13" x14ac:dyDescent="0.2">
      <c r="B6" t="s">
        <v>75</v>
      </c>
      <c r="C6" t="s">
        <v>90</v>
      </c>
      <c r="F6" t="s">
        <v>82</v>
      </c>
      <c r="K6" t="s">
        <v>4</v>
      </c>
      <c r="L6" s="3">
        <v>0</v>
      </c>
      <c r="M6" s="2" t="s">
        <v>55</v>
      </c>
    </row>
    <row r="7" spans="2:13" x14ac:dyDescent="0.2">
      <c r="B7" t="s">
        <v>76</v>
      </c>
      <c r="C7" t="s">
        <v>80</v>
      </c>
      <c r="F7" t="s">
        <v>83</v>
      </c>
      <c r="K7" t="s">
        <v>5</v>
      </c>
      <c r="L7" s="3">
        <f>L4-L5+L6</f>
        <v>252626</v>
      </c>
    </row>
    <row r="8" spans="2:13" x14ac:dyDescent="0.2">
      <c r="B8" t="s">
        <v>77</v>
      </c>
      <c r="C8" t="s">
        <v>78</v>
      </c>
    </row>
    <row r="9" spans="2:13" x14ac:dyDescent="0.2">
      <c r="B9" t="s">
        <v>79</v>
      </c>
      <c r="C9" t="s">
        <v>81</v>
      </c>
      <c r="F9" t="s">
        <v>89</v>
      </c>
      <c r="K9" t="s">
        <v>73</v>
      </c>
      <c r="L9">
        <v>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AM73"/>
  <sheetViews>
    <sheetView tabSelected="1" zoomScale="140" zoomScaleNormal="14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I7" sqref="AI7"/>
    </sheetView>
  </sheetViews>
  <sheetFormatPr defaultColWidth="8.85546875" defaultRowHeight="12.75" x14ac:dyDescent="0.2"/>
  <cols>
    <col min="1" max="1" width="5" bestFit="1" customWidth="1"/>
    <col min="2" max="2" width="17" customWidth="1"/>
    <col min="3" max="14" width="9.140625" style="2"/>
    <col min="15" max="20" width="8.85546875" style="2"/>
  </cols>
  <sheetData>
    <row r="1" spans="1:39" x14ac:dyDescent="0.2">
      <c r="A1" s="14" t="s">
        <v>6</v>
      </c>
    </row>
    <row r="2" spans="1:39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92</v>
      </c>
      <c r="X2" s="2" t="s">
        <v>93</v>
      </c>
      <c r="Y2" s="2" t="s">
        <v>94</v>
      </c>
      <c r="Z2" s="2" t="s">
        <v>95</v>
      </c>
      <c r="AC2">
        <v>2020</v>
      </c>
      <c r="AD2">
        <f>AC2+1</f>
        <v>2021</v>
      </c>
      <c r="AE2">
        <f>AD2+1</f>
        <v>2022</v>
      </c>
      <c r="AF2">
        <f t="shared" ref="AF2:AM2" si="0">AE2+1</f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 t="shared" si="0"/>
        <v>2027</v>
      </c>
      <c r="AK2">
        <f t="shared" si="0"/>
        <v>2028</v>
      </c>
      <c r="AL2">
        <f t="shared" si="0"/>
        <v>2029</v>
      </c>
      <c r="AM2">
        <f t="shared" si="0"/>
        <v>2030</v>
      </c>
    </row>
    <row r="3" spans="1:39" x14ac:dyDescent="0.2">
      <c r="B3" t="s">
        <v>91</v>
      </c>
      <c r="N3" s="4">
        <v>3700</v>
      </c>
      <c r="O3" s="4"/>
      <c r="P3" s="4"/>
      <c r="Q3" s="4"/>
      <c r="R3" s="4">
        <v>3900</v>
      </c>
      <c r="U3" s="2"/>
      <c r="V3" s="2"/>
      <c r="W3" s="2"/>
      <c r="X3" s="2"/>
      <c r="Y3" s="2"/>
      <c r="Z3" s="2"/>
      <c r="AE3" s="3">
        <f>+N3</f>
        <v>3700</v>
      </c>
      <c r="AF3" s="3">
        <f>+R3</f>
        <v>3900</v>
      </c>
    </row>
    <row r="4" spans="1:39" x14ac:dyDescent="0.2">
      <c r="U4" s="2"/>
      <c r="V4" s="2"/>
      <c r="W4" s="2"/>
      <c r="X4" s="2"/>
      <c r="Y4" s="2"/>
      <c r="Z4" s="2"/>
    </row>
    <row r="5" spans="1:39" x14ac:dyDescent="0.2">
      <c r="B5" t="s">
        <v>70</v>
      </c>
      <c r="O5" s="2">
        <v>236</v>
      </c>
      <c r="P5" s="2">
        <v>232</v>
      </c>
      <c r="Q5" s="2">
        <v>251</v>
      </c>
      <c r="R5" s="2">
        <v>284</v>
      </c>
      <c r="U5" s="2"/>
      <c r="V5" s="2"/>
      <c r="W5" s="2"/>
      <c r="X5" s="2"/>
      <c r="Y5" s="2"/>
      <c r="Z5" s="2"/>
      <c r="AE5" s="3">
        <v>834</v>
      </c>
      <c r="AF5" s="3">
        <f>SUM(O5:R5)</f>
        <v>1003</v>
      </c>
    </row>
    <row r="6" spans="1:39" x14ac:dyDescent="0.2">
      <c r="B6" t="s">
        <v>71</v>
      </c>
      <c r="O6" s="2">
        <v>289</v>
      </c>
      <c r="P6" s="2">
        <v>302</v>
      </c>
      <c r="Q6" s="2">
        <v>308</v>
      </c>
      <c r="R6" s="2">
        <v>324</v>
      </c>
      <c r="U6" s="2"/>
      <c r="V6" s="2"/>
      <c r="W6" s="2"/>
      <c r="X6" s="2"/>
      <c r="Y6" s="2"/>
      <c r="Z6" s="2"/>
      <c r="AE6" s="3">
        <v>1071.7760000000001</v>
      </c>
      <c r="AF6" s="3">
        <f>SUM(O6:R6)</f>
        <v>1223</v>
      </c>
    </row>
    <row r="7" spans="1:39" s="5" customFormat="1" x14ac:dyDescent="0.2">
      <c r="B7" s="5" t="s">
        <v>7</v>
      </c>
      <c r="C7" s="6"/>
      <c r="D7" s="6">
        <v>251.88900000000001</v>
      </c>
      <c r="E7" s="6">
        <v>289.36599999999999</v>
      </c>
      <c r="F7" s="6">
        <v>322.09100000000001</v>
      </c>
      <c r="G7" s="6">
        <v>341.23399999999998</v>
      </c>
      <c r="H7" s="6">
        <v>375.642</v>
      </c>
      <c r="I7" s="6">
        <v>392.14600000000002</v>
      </c>
      <c r="J7" s="6">
        <v>432.86700000000002</v>
      </c>
      <c r="K7" s="6">
        <v>446.35700000000003</v>
      </c>
      <c r="L7" s="6">
        <v>473.01</v>
      </c>
      <c r="M7" s="6">
        <v>477.88</v>
      </c>
      <c r="N7" s="6">
        <v>508.62400000000002</v>
      </c>
      <c r="O7" s="6">
        <v>525.18600000000004</v>
      </c>
      <c r="P7" s="6">
        <v>533.31700000000001</v>
      </c>
      <c r="Q7" s="6">
        <v>558.15899999999999</v>
      </c>
      <c r="R7" s="6">
        <f>+R6+R5</f>
        <v>608</v>
      </c>
      <c r="S7" s="6">
        <v>634.33799999999997</v>
      </c>
      <c r="T7" s="5">
        <v>678.13400000000001</v>
      </c>
      <c r="U7" s="5">
        <v>725.51599999999996</v>
      </c>
      <c r="V7" s="5">
        <v>827.51900000000001</v>
      </c>
      <c r="W7" s="5">
        <v>870</v>
      </c>
      <c r="X7" s="5">
        <f>+T7*1.35</f>
        <v>915.48090000000013</v>
      </c>
      <c r="Y7" s="5">
        <f>+U7*1.35</f>
        <v>979.44659999999999</v>
      </c>
      <c r="Z7" s="5">
        <f>+V7*1.35</f>
        <v>1117.15065</v>
      </c>
      <c r="AC7" s="5">
        <v>1092.673</v>
      </c>
      <c r="AD7" s="5">
        <v>1541.8889999999999</v>
      </c>
      <c r="AE7" s="5">
        <f>SUM(K7:N7)</f>
        <v>1905.8709999999999</v>
      </c>
      <c r="AF7" s="5">
        <f>SUM(O7:R7)</f>
        <v>2224.6620000000003</v>
      </c>
      <c r="AG7" s="5">
        <f>SUM(S7:V7)</f>
        <v>2865.5069999999996</v>
      </c>
      <c r="AH7" s="5">
        <f>SUM(W7:Z7)</f>
        <v>3882.0781499999998</v>
      </c>
      <c r="AI7" s="5">
        <f t="shared" ref="AI7" si="1">AH7*1.2</f>
        <v>4658.4937799999998</v>
      </c>
      <c r="AJ7" s="5">
        <f t="shared" ref="AJ7:AK7" si="2">AI7*1.2</f>
        <v>5590.1925359999996</v>
      </c>
      <c r="AK7" s="5">
        <f t="shared" si="2"/>
        <v>6708.2310431999995</v>
      </c>
    </row>
    <row r="8" spans="1:39" s="3" customFormat="1" x14ac:dyDescent="0.2">
      <c r="B8" s="3" t="s">
        <v>20</v>
      </c>
      <c r="C8" s="4"/>
      <c r="D8" s="4">
        <v>68.41</v>
      </c>
      <c r="E8" s="13">
        <v>149.34</v>
      </c>
      <c r="F8" s="4">
        <v>70.503</v>
      </c>
      <c r="G8" s="4">
        <v>74.111000000000004</v>
      </c>
      <c r="H8" s="4">
        <v>90.926000000000002</v>
      </c>
      <c r="I8" s="4">
        <v>86.804000000000002</v>
      </c>
      <c r="J8" s="4">
        <v>87.563000000000002</v>
      </c>
      <c r="K8" s="4">
        <v>94.403000000000006</v>
      </c>
      <c r="L8" s="4">
        <v>102.224</v>
      </c>
      <c r="M8" s="4">
        <f t="shared" ref="M8" si="3">M7-M9</f>
        <v>95.575999999999965</v>
      </c>
      <c r="N8" s="4">
        <v>104.31100000000001</v>
      </c>
      <c r="O8" s="4">
        <v>107.645</v>
      </c>
      <c r="P8" s="4">
        <v>106.899</v>
      </c>
      <c r="Q8" s="4">
        <v>107.922</v>
      </c>
      <c r="R8" s="4">
        <v>108.639</v>
      </c>
      <c r="S8" s="4">
        <v>116.256</v>
      </c>
      <c r="T8" s="3">
        <v>128.56200000000001</v>
      </c>
      <c r="U8" s="3">
        <v>146.63900000000001</v>
      </c>
      <c r="V8" s="3">
        <v>174.53299999999999</v>
      </c>
      <c r="AC8" s="3">
        <v>352.54700000000003</v>
      </c>
      <c r="AD8" s="3">
        <v>339.404</v>
      </c>
      <c r="AE8" s="3">
        <f>AE7-AE9</f>
        <v>381.17419999999993</v>
      </c>
      <c r="AF8" s="3">
        <f t="shared" ref="AF8:AH8" si="4">AF7-AF9</f>
        <v>444.93239999999992</v>
      </c>
      <c r="AG8" s="3">
        <f t="shared" si="4"/>
        <v>573.10140000000001</v>
      </c>
      <c r="AH8" s="3">
        <f t="shared" si="4"/>
        <v>776.41562999999996</v>
      </c>
      <c r="AI8" s="3">
        <f t="shared" ref="AI8" si="5">AI7-AI9</f>
        <v>931.69875599999978</v>
      </c>
      <c r="AJ8" s="3">
        <f t="shared" ref="AJ8" si="6">AJ7-AJ9</f>
        <v>1118.0385071999999</v>
      </c>
      <c r="AK8" s="3">
        <f t="shared" ref="AK8" si="7">AK7-AK9</f>
        <v>1341.6462086399997</v>
      </c>
    </row>
    <row r="9" spans="1:39" s="3" customFormat="1" x14ac:dyDescent="0.2">
      <c r="B9" s="3" t="s">
        <v>21</v>
      </c>
      <c r="C9" s="4"/>
      <c r="D9" s="4">
        <f t="shared" ref="D9:K9" si="8">D7-D8</f>
        <v>183.47900000000001</v>
      </c>
      <c r="E9" s="4">
        <f t="shared" si="8"/>
        <v>140.02599999999998</v>
      </c>
      <c r="F9" s="4">
        <f t="shared" si="8"/>
        <v>251.58800000000002</v>
      </c>
      <c r="G9" s="4">
        <f t="shared" si="8"/>
        <v>267.12299999999999</v>
      </c>
      <c r="H9" s="4">
        <f t="shared" si="8"/>
        <v>284.71600000000001</v>
      </c>
      <c r="I9" s="4">
        <f t="shared" si="8"/>
        <v>305.34199999999998</v>
      </c>
      <c r="J9" s="4">
        <f t="shared" si="8"/>
        <v>345.30400000000003</v>
      </c>
      <c r="K9" s="4">
        <f t="shared" si="8"/>
        <v>351.95400000000001</v>
      </c>
      <c r="L9" s="4">
        <f>+L7-L8</f>
        <v>370.786</v>
      </c>
      <c r="M9" s="4">
        <f t="shared" ref="M9" si="9">M7*0.8</f>
        <v>382.30400000000003</v>
      </c>
      <c r="N9" s="4">
        <f t="shared" ref="N9:S9" si="10">+N7-N8</f>
        <v>404.31299999999999</v>
      </c>
      <c r="O9" s="4">
        <f t="shared" si="10"/>
        <v>417.54100000000005</v>
      </c>
      <c r="P9" s="4">
        <f t="shared" si="10"/>
        <v>426.41800000000001</v>
      </c>
      <c r="Q9" s="4">
        <f t="shared" si="10"/>
        <v>450.23699999999997</v>
      </c>
      <c r="R9" s="4">
        <f t="shared" si="10"/>
        <v>499.36099999999999</v>
      </c>
      <c r="S9" s="4">
        <f t="shared" si="10"/>
        <v>518.08199999999999</v>
      </c>
      <c r="T9" s="3">
        <f>+T7-T8</f>
        <v>549.572</v>
      </c>
      <c r="U9" s="3">
        <f>+U7-U8</f>
        <v>578.87699999999995</v>
      </c>
      <c r="V9" s="3">
        <f>+V7-V8</f>
        <v>652.98599999999999</v>
      </c>
      <c r="AC9" s="3">
        <f>AC7-AC8</f>
        <v>740.12599999999998</v>
      </c>
      <c r="AD9" s="3">
        <f>AD7-AD8</f>
        <v>1202.4849999999999</v>
      </c>
      <c r="AE9" s="3">
        <f>AE7*0.8</f>
        <v>1524.6967999999999</v>
      </c>
      <c r="AF9" s="3">
        <f t="shared" ref="AF9:AH9" si="11">AF7*0.8</f>
        <v>1779.7296000000003</v>
      </c>
      <c r="AG9" s="3">
        <f t="shared" si="11"/>
        <v>2292.4055999999996</v>
      </c>
      <c r="AH9" s="3">
        <f t="shared" si="11"/>
        <v>3105.6625199999999</v>
      </c>
      <c r="AI9" s="3">
        <f t="shared" ref="AI9" si="12">AI7*0.8</f>
        <v>3726.795024</v>
      </c>
      <c r="AJ9" s="3">
        <f t="shared" ref="AJ9:AK9" si="13">AJ7*0.8</f>
        <v>4472.1540287999997</v>
      </c>
      <c r="AK9" s="3">
        <f t="shared" si="13"/>
        <v>5366.5848345599998</v>
      </c>
    </row>
    <row r="10" spans="1:39" s="3" customFormat="1" x14ac:dyDescent="0.2">
      <c r="B10" s="3" t="s">
        <v>22</v>
      </c>
      <c r="C10" s="4"/>
      <c r="D10" s="4">
        <v>102.518</v>
      </c>
      <c r="E10" s="4">
        <v>334.911</v>
      </c>
      <c r="F10" s="4">
        <v>147.619</v>
      </c>
      <c r="G10" s="4">
        <v>136.09700000000001</v>
      </c>
      <c r="H10" s="4">
        <v>162.37899999999999</v>
      </c>
      <c r="I10" s="4">
        <v>153.44300000000001</v>
      </c>
      <c r="J10" s="4">
        <v>162.59299999999999</v>
      </c>
      <c r="K10" s="4">
        <v>160.48500000000001</v>
      </c>
      <c r="L10" s="4">
        <v>168.875</v>
      </c>
      <c r="M10" s="4">
        <f t="shared" ref="M10" si="14">L10+1</f>
        <v>169.875</v>
      </c>
      <c r="N10" s="4">
        <v>190.233</v>
      </c>
      <c r="O10" s="4">
        <v>187.09299999999999</v>
      </c>
      <c r="P10" s="4">
        <v>184.16300000000001</v>
      </c>
      <c r="Q10" s="4">
        <v>176.37299999999999</v>
      </c>
      <c r="R10" s="4">
        <v>197.363</v>
      </c>
      <c r="S10" s="4">
        <v>193.17699999999999</v>
      </c>
      <c r="T10" s="3">
        <v>196.809</v>
      </c>
      <c r="U10" s="3">
        <v>209.47399999999999</v>
      </c>
      <c r="V10" s="3">
        <v>288.29500000000002</v>
      </c>
      <c r="AC10" s="3">
        <v>683.70100000000002</v>
      </c>
      <c r="AD10" s="3">
        <v>614.51199999999994</v>
      </c>
      <c r="AE10" s="3">
        <f>AD10*1.1</f>
        <v>675.96320000000003</v>
      </c>
      <c r="AF10" s="3">
        <f t="shared" ref="AF10:AH10" si="15">AE10*1.1</f>
        <v>743.55952000000013</v>
      </c>
      <c r="AG10" s="3">
        <f t="shared" si="15"/>
        <v>817.91547200000025</v>
      </c>
      <c r="AH10" s="3">
        <f t="shared" si="15"/>
        <v>899.70701920000033</v>
      </c>
      <c r="AI10" s="3">
        <f t="shared" ref="AI10" si="16">AH10*1.1</f>
        <v>989.67772112000046</v>
      </c>
      <c r="AJ10" s="3">
        <f t="shared" ref="AJ10:AK10" si="17">AI10*1.1</f>
        <v>1088.6454932320005</v>
      </c>
      <c r="AK10" s="3">
        <f t="shared" si="17"/>
        <v>1197.5100425552007</v>
      </c>
    </row>
    <row r="11" spans="1:39" s="3" customFormat="1" x14ac:dyDescent="0.2">
      <c r="B11" s="3" t="s">
        <v>23</v>
      </c>
      <c r="C11" s="4"/>
      <c r="D11" s="4">
        <v>86.814999999999998</v>
      </c>
      <c r="E11" s="4">
        <v>313.91500000000002</v>
      </c>
      <c r="F11" s="4">
        <v>94.13</v>
      </c>
      <c r="G11" s="4">
        <v>98.471000000000004</v>
      </c>
      <c r="H11" s="4">
        <v>110.524</v>
      </c>
      <c r="I11" s="4">
        <v>94.316000000000003</v>
      </c>
      <c r="J11" s="4">
        <v>84.176000000000002</v>
      </c>
      <c r="K11" s="4">
        <v>88.600999999999999</v>
      </c>
      <c r="L11" s="4">
        <v>88.171000000000006</v>
      </c>
      <c r="M11" s="4">
        <f t="shared" ref="M11" si="18">L11+1</f>
        <v>89.171000000000006</v>
      </c>
      <c r="N11" s="4">
        <v>82.043999999999997</v>
      </c>
      <c r="O11" s="4">
        <v>90.1</v>
      </c>
      <c r="P11" s="4">
        <v>99.533000000000001</v>
      </c>
      <c r="Q11" s="4">
        <v>105.708</v>
      </c>
      <c r="R11" s="4">
        <v>109.283</v>
      </c>
      <c r="S11" s="4">
        <v>110.04</v>
      </c>
      <c r="T11" s="3">
        <v>108.78100000000001</v>
      </c>
      <c r="U11" s="3">
        <v>117.55500000000001</v>
      </c>
      <c r="V11" s="3">
        <v>171.50200000000001</v>
      </c>
      <c r="AC11" s="3">
        <v>560.66</v>
      </c>
      <c r="AD11" s="3">
        <v>387.48700000000002</v>
      </c>
      <c r="AE11" s="3">
        <f t="shared" ref="AE11:AH11" si="19">AD11*1.1</f>
        <v>426.23570000000007</v>
      </c>
      <c r="AF11" s="3">
        <f t="shared" si="19"/>
        <v>468.85927000000009</v>
      </c>
      <c r="AG11" s="3">
        <f t="shared" si="19"/>
        <v>515.74519700000019</v>
      </c>
      <c r="AH11" s="3">
        <f t="shared" si="19"/>
        <v>567.3197167000003</v>
      </c>
      <c r="AI11" s="3">
        <f t="shared" ref="AI11" si="20">AH11*1.1</f>
        <v>624.05168837000042</v>
      </c>
      <c r="AJ11" s="3">
        <f t="shared" ref="AJ11:AK11" si="21">AI11*1.1</f>
        <v>686.45685720700055</v>
      </c>
      <c r="AK11" s="3">
        <f t="shared" si="21"/>
        <v>755.10254292770071</v>
      </c>
    </row>
    <row r="12" spans="1:39" s="3" customFormat="1" x14ac:dyDescent="0.2">
      <c r="B12" s="3" t="s">
        <v>24</v>
      </c>
      <c r="C12" s="4"/>
      <c r="D12" s="4">
        <v>93.290999999999997</v>
      </c>
      <c r="E12" s="4">
        <v>338.97699999999998</v>
      </c>
      <c r="F12" s="4">
        <v>166.411</v>
      </c>
      <c r="G12" s="4">
        <v>146.56899999999999</v>
      </c>
      <c r="H12" s="4">
        <v>157.96100000000001</v>
      </c>
      <c r="I12" s="4">
        <v>149.524</v>
      </c>
      <c r="J12" s="4">
        <v>157.47800000000001</v>
      </c>
      <c r="K12" s="4">
        <v>142.30699999999999</v>
      </c>
      <c r="L12" s="4">
        <v>155.48500000000001</v>
      </c>
      <c r="M12" s="4">
        <f t="shared" ref="M12" si="22">L12+1</f>
        <v>156.48500000000001</v>
      </c>
      <c r="N12" s="4">
        <v>149.86199999999999</v>
      </c>
      <c r="O12" s="4">
        <v>136.233</v>
      </c>
      <c r="P12" s="4">
        <v>132.648</v>
      </c>
      <c r="Q12" s="4">
        <v>128.173</v>
      </c>
      <c r="R12" s="4">
        <v>127.271</v>
      </c>
      <c r="S12" s="4">
        <v>133.98400000000001</v>
      </c>
      <c r="T12" s="3">
        <v>138.643</v>
      </c>
      <c r="U12" s="3">
        <v>138.708</v>
      </c>
      <c r="V12" s="3">
        <v>182.14599999999999</v>
      </c>
      <c r="AC12" s="3">
        <v>669.44399999999996</v>
      </c>
      <c r="AD12" s="3">
        <v>611.53200000000004</v>
      </c>
      <c r="AE12" s="3">
        <f t="shared" ref="AE12:AH12" si="23">AD12*1.1</f>
        <v>672.68520000000012</v>
      </c>
      <c r="AF12" s="3">
        <f t="shared" si="23"/>
        <v>739.9537200000002</v>
      </c>
      <c r="AG12" s="3">
        <f t="shared" si="23"/>
        <v>813.94909200000029</v>
      </c>
      <c r="AH12" s="3">
        <f t="shared" si="23"/>
        <v>895.34400120000043</v>
      </c>
      <c r="AI12" s="3">
        <f t="shared" ref="AI12" si="24">AH12*1.1</f>
        <v>984.87840132000053</v>
      </c>
      <c r="AJ12" s="3">
        <f t="shared" ref="AJ12:AK12" si="25">AI12*1.1</f>
        <v>1083.3662414520006</v>
      </c>
      <c r="AK12" s="3">
        <f t="shared" si="25"/>
        <v>1191.7028655972008</v>
      </c>
    </row>
    <row r="13" spans="1:39" s="3" customFormat="1" x14ac:dyDescent="0.2">
      <c r="B13" s="3" t="s">
        <v>25</v>
      </c>
      <c r="C13" s="4"/>
      <c r="D13" s="4">
        <f t="shared" ref="D13:L13" si="26">SUM(D10:D12)</f>
        <v>282.62400000000002</v>
      </c>
      <c r="E13" s="4">
        <f t="shared" si="26"/>
        <v>987.803</v>
      </c>
      <c r="F13" s="4">
        <f t="shared" si="26"/>
        <v>408.15999999999997</v>
      </c>
      <c r="G13" s="4">
        <f t="shared" si="26"/>
        <v>381.137</v>
      </c>
      <c r="H13" s="4">
        <f t="shared" si="26"/>
        <v>430.86400000000003</v>
      </c>
      <c r="I13" s="4">
        <f t="shared" si="26"/>
        <v>397.28300000000002</v>
      </c>
      <c r="J13" s="4">
        <f t="shared" si="26"/>
        <v>404.24700000000001</v>
      </c>
      <c r="K13" s="4">
        <f t="shared" si="26"/>
        <v>391.39300000000003</v>
      </c>
      <c r="L13" s="4">
        <f t="shared" si="26"/>
        <v>412.53100000000001</v>
      </c>
      <c r="M13" s="4">
        <f t="shared" ref="M13:N13" si="27">SUM(M10:M12)</f>
        <v>415.53100000000001</v>
      </c>
      <c r="N13" s="4">
        <f t="shared" si="27"/>
        <v>422.13900000000001</v>
      </c>
      <c r="O13" s="4">
        <f t="shared" ref="O13:W13" si="28">+O10+O11+O12</f>
        <v>413.42599999999999</v>
      </c>
      <c r="P13" s="4">
        <f t="shared" si="28"/>
        <v>416.34400000000005</v>
      </c>
      <c r="Q13" s="4">
        <f t="shared" si="28"/>
        <v>410.25400000000002</v>
      </c>
      <c r="R13" s="4">
        <f t="shared" si="28"/>
        <v>433.91700000000003</v>
      </c>
      <c r="S13" s="4">
        <f t="shared" si="28"/>
        <v>437.20100000000002</v>
      </c>
      <c r="T13" s="4">
        <f t="shared" si="28"/>
        <v>444.23300000000006</v>
      </c>
      <c r="U13" s="4">
        <f t="shared" si="28"/>
        <v>465.73699999999997</v>
      </c>
      <c r="V13" s="4">
        <f t="shared" si="28"/>
        <v>641.94299999999998</v>
      </c>
      <c r="W13" s="4">
        <f t="shared" si="28"/>
        <v>0</v>
      </c>
      <c r="AC13" s="3">
        <f>SUM(AC10:AC12)</f>
        <v>1913.8049999999998</v>
      </c>
      <c r="AD13" s="3">
        <f t="shared" ref="AD13" si="29">SUM(AD10:AD12)</f>
        <v>1613.5309999999999</v>
      </c>
      <c r="AE13" s="3">
        <f t="shared" ref="AE13" si="30">SUM(AE10:AE12)</f>
        <v>1774.8841000000002</v>
      </c>
      <c r="AF13" s="3">
        <f t="shared" ref="AF13" si="31">SUM(AF10:AF12)</f>
        <v>1952.3725100000004</v>
      </c>
      <c r="AG13" s="3">
        <f t="shared" ref="AG13" si="32">SUM(AG10:AG12)</f>
        <v>2147.6097610000006</v>
      </c>
      <c r="AH13" s="3">
        <f t="shared" ref="AH13" si="33">SUM(AH10:AH12)</f>
        <v>2362.370737100001</v>
      </c>
      <c r="AI13" s="3">
        <f t="shared" ref="AI13" si="34">SUM(AI10:AI12)</f>
        <v>2598.6078108100014</v>
      </c>
      <c r="AJ13" s="3">
        <f t="shared" ref="AJ13" si="35">SUM(AJ10:AJ12)</f>
        <v>2858.4685918910018</v>
      </c>
      <c r="AK13" s="3">
        <f t="shared" ref="AK13" si="36">SUM(AK10:AK12)</f>
        <v>3144.3154510801023</v>
      </c>
    </row>
    <row r="14" spans="1:39" s="3" customFormat="1" x14ac:dyDescent="0.2">
      <c r="B14" s="3" t="s">
        <v>26</v>
      </c>
      <c r="C14" s="4"/>
      <c r="D14" s="4">
        <f t="shared" ref="D14:L14" si="37">D9-D13</f>
        <v>-99.14500000000001</v>
      </c>
      <c r="E14" s="4">
        <f t="shared" si="37"/>
        <v>-847.77700000000004</v>
      </c>
      <c r="F14" s="4">
        <f t="shared" si="37"/>
        <v>-156.57199999999995</v>
      </c>
      <c r="G14" s="4">
        <f t="shared" si="37"/>
        <v>-114.01400000000001</v>
      </c>
      <c r="H14" s="4">
        <f t="shared" si="37"/>
        <v>-146.14800000000002</v>
      </c>
      <c r="I14" s="4">
        <f t="shared" si="37"/>
        <v>-91.941000000000031</v>
      </c>
      <c r="J14" s="4">
        <f t="shared" si="37"/>
        <v>-58.942999999999984</v>
      </c>
      <c r="K14" s="4">
        <f t="shared" si="37"/>
        <v>-39.439000000000021</v>
      </c>
      <c r="L14" s="4">
        <f t="shared" si="37"/>
        <v>-41.745000000000005</v>
      </c>
      <c r="M14" s="4">
        <f t="shared" ref="M14:N14" si="38">M9-M13</f>
        <v>-33.226999999999975</v>
      </c>
      <c r="N14" s="4">
        <f t="shared" si="38"/>
        <v>-17.826000000000022</v>
      </c>
      <c r="O14" s="4">
        <f t="shared" ref="O14:W14" si="39">+O9-O13</f>
        <v>4.1150000000000659</v>
      </c>
      <c r="P14" s="4">
        <f t="shared" si="39"/>
        <v>10.073999999999955</v>
      </c>
      <c r="Q14" s="4">
        <f t="shared" si="39"/>
        <v>39.982999999999947</v>
      </c>
      <c r="R14" s="4">
        <f t="shared" si="39"/>
        <v>65.44399999999996</v>
      </c>
      <c r="S14" s="4">
        <f t="shared" si="39"/>
        <v>80.880999999999972</v>
      </c>
      <c r="T14" s="4">
        <f t="shared" si="39"/>
        <v>105.33899999999994</v>
      </c>
      <c r="U14" s="4">
        <f t="shared" si="39"/>
        <v>113.13999999999999</v>
      </c>
      <c r="V14" s="4">
        <f t="shared" si="39"/>
        <v>11.043000000000006</v>
      </c>
      <c r="W14" s="4">
        <f t="shared" si="39"/>
        <v>0</v>
      </c>
      <c r="AC14" s="3">
        <f>AC9-AC13</f>
        <v>-1173.6789999999999</v>
      </c>
      <c r="AD14" s="3">
        <f t="shared" ref="AD14" si="40">AD9-AD13</f>
        <v>-411.04600000000005</v>
      </c>
      <c r="AE14" s="3">
        <f t="shared" ref="AE14" si="41">AE9-AE13</f>
        <v>-250.18730000000028</v>
      </c>
      <c r="AF14" s="3">
        <f t="shared" ref="AF14" si="42">AF9-AF13</f>
        <v>-172.64291000000003</v>
      </c>
      <c r="AG14" s="3">
        <f t="shared" ref="AG14" si="43">AG9-AG13</f>
        <v>144.79583899999898</v>
      </c>
      <c r="AH14" s="3">
        <f t="shared" ref="AH14" si="44">AH9-AH13</f>
        <v>743.29178289999891</v>
      </c>
      <c r="AI14" s="3">
        <f t="shared" ref="AI14" si="45">AI9-AI13</f>
        <v>1128.1872131899986</v>
      </c>
      <c r="AJ14" s="3">
        <f t="shared" ref="AJ14" si="46">AJ9-AJ13</f>
        <v>1613.6854369089979</v>
      </c>
      <c r="AK14" s="3">
        <f t="shared" ref="AK14" si="47">AK9-AK13</f>
        <v>2222.2693834798974</v>
      </c>
    </row>
    <row r="15" spans="1:39" s="3" customFormat="1" x14ac:dyDescent="0.2">
      <c r="B15" s="3" t="s">
        <v>27</v>
      </c>
      <c r="C15" s="4"/>
      <c r="D15" s="4">
        <f>0.551-5.646</f>
        <v>-5.0949999999999998</v>
      </c>
      <c r="E15" s="4">
        <f>0.494-2.085</f>
        <v>-1.591</v>
      </c>
      <c r="F15" s="4">
        <f>0.368-1.814</f>
        <v>-1.4460000000000002</v>
      </c>
      <c r="G15" s="4">
        <f>0.376-1.84</f>
        <v>-1.464</v>
      </c>
      <c r="H15" s="4">
        <f>0.372-0.59</f>
        <v>-0.21799999999999997</v>
      </c>
      <c r="I15" s="4">
        <f>0.379-0.609</f>
        <v>-0.22999999999999998</v>
      </c>
      <c r="J15" s="4">
        <f>0.48-0.601</f>
        <v>-0.121</v>
      </c>
      <c r="K15" s="4">
        <f>0.547-0.594</f>
        <v>-4.6999999999999931E-2</v>
      </c>
      <c r="L15" s="4">
        <f>1.472-0.67</f>
        <v>0.80199999999999994</v>
      </c>
      <c r="M15" s="4">
        <v>0</v>
      </c>
      <c r="N15" s="4">
        <f>12.75-1.712+44.637</f>
        <v>55.674999999999997</v>
      </c>
      <c r="O15" s="4">
        <f>20.853-4.136</f>
        <v>16.717000000000002</v>
      </c>
      <c r="P15" s="4">
        <f>30.31-1.317-9.024</f>
        <v>19.969000000000001</v>
      </c>
      <c r="Q15" s="4">
        <f>36.864-0.742+3.864</f>
        <v>39.985999999999997</v>
      </c>
      <c r="R15" s="4">
        <f>44.545-0.136-3.956</f>
        <v>40.452999999999996</v>
      </c>
      <c r="S15" s="4">
        <f>43.352-13.507</f>
        <v>29.844999999999999</v>
      </c>
      <c r="T15" s="3">
        <f>46.593-11.173</f>
        <v>35.42</v>
      </c>
      <c r="U15" s="3">
        <f>52.12-8.11</f>
        <v>44.01</v>
      </c>
      <c r="V15" s="3">
        <v>54.726999999999997</v>
      </c>
      <c r="AC15" s="3">
        <f>4.68-14.139</f>
        <v>-9.4589999999999996</v>
      </c>
      <c r="AD15" s="3">
        <f>1.607-3.64</f>
        <v>-2.0330000000000004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9" s="3" customFormat="1" x14ac:dyDescent="0.2">
      <c r="B16" s="3" t="s">
        <v>28</v>
      </c>
      <c r="C16" s="4"/>
      <c r="D16" s="4">
        <f t="shared" ref="D16:L16" si="48">D14-D15</f>
        <v>-94.050000000000011</v>
      </c>
      <c r="E16" s="4">
        <f t="shared" si="48"/>
        <v>-846.18600000000004</v>
      </c>
      <c r="F16" s="4">
        <f t="shared" si="48"/>
        <v>-155.12599999999995</v>
      </c>
      <c r="G16" s="4">
        <f t="shared" si="48"/>
        <v>-112.55000000000001</v>
      </c>
      <c r="H16" s="4">
        <f t="shared" si="48"/>
        <v>-145.93000000000004</v>
      </c>
      <c r="I16" s="4">
        <f t="shared" si="48"/>
        <v>-91.711000000000027</v>
      </c>
      <c r="J16" s="4">
        <f t="shared" si="48"/>
        <v>-58.821999999999981</v>
      </c>
      <c r="K16" s="4">
        <f t="shared" si="48"/>
        <v>-39.392000000000024</v>
      </c>
      <c r="L16" s="4">
        <f t="shared" si="48"/>
        <v>-42.547000000000004</v>
      </c>
      <c r="M16" s="4">
        <f t="shared" ref="M16" si="49">M14-M15</f>
        <v>-33.226999999999975</v>
      </c>
      <c r="N16" s="4">
        <f t="shared" ref="N16:W16" si="50">+N14+N15</f>
        <v>37.848999999999975</v>
      </c>
      <c r="O16" s="4">
        <f t="shared" si="50"/>
        <v>20.832000000000068</v>
      </c>
      <c r="P16" s="4">
        <f t="shared" si="50"/>
        <v>30.042999999999957</v>
      </c>
      <c r="Q16" s="4">
        <f t="shared" si="50"/>
        <v>79.968999999999937</v>
      </c>
      <c r="R16" s="4">
        <f t="shared" si="50"/>
        <v>105.89699999999996</v>
      </c>
      <c r="S16" s="4">
        <f t="shared" si="50"/>
        <v>110.72599999999997</v>
      </c>
      <c r="T16" s="4">
        <f t="shared" ref="T16" si="51">+T14+T15</f>
        <v>140.75899999999996</v>
      </c>
      <c r="U16" s="4">
        <f t="shared" si="50"/>
        <v>157.14999999999998</v>
      </c>
      <c r="V16" s="4">
        <f t="shared" si="50"/>
        <v>65.77000000000001</v>
      </c>
      <c r="W16" s="4">
        <f t="shared" si="50"/>
        <v>0</v>
      </c>
      <c r="AC16" s="3">
        <f t="shared" ref="AC16:AH16" si="52">AC14+AC15</f>
        <v>-1183.1379999999999</v>
      </c>
      <c r="AD16" s="3">
        <f t="shared" si="52"/>
        <v>-413.07900000000006</v>
      </c>
      <c r="AE16" s="3">
        <f t="shared" si="52"/>
        <v>-250.18730000000028</v>
      </c>
      <c r="AF16" s="3">
        <f t="shared" si="52"/>
        <v>-172.64291000000003</v>
      </c>
      <c r="AG16" s="3">
        <f t="shared" si="52"/>
        <v>144.79583899999898</v>
      </c>
      <c r="AH16" s="3">
        <f t="shared" si="52"/>
        <v>743.29178289999891</v>
      </c>
      <c r="AI16" s="3">
        <f t="shared" ref="AI16" si="53">AI14+AI15</f>
        <v>1128.1872131899986</v>
      </c>
      <c r="AJ16" s="3">
        <f t="shared" ref="AJ16" si="54">AJ14+AJ15</f>
        <v>1613.6854369089979</v>
      </c>
      <c r="AK16" s="3">
        <f t="shared" ref="AK16" si="55">AK14+AK15</f>
        <v>2222.2693834798974</v>
      </c>
    </row>
    <row r="17" spans="2:37" s="3" customFormat="1" x14ac:dyDescent="0.2">
      <c r="B17" s="3" t="s">
        <v>30</v>
      </c>
      <c r="C17" s="4"/>
      <c r="D17" s="4">
        <f>0.943</f>
        <v>0.94299999999999995</v>
      </c>
      <c r="E17" s="4">
        <v>-8.5429999999999993</v>
      </c>
      <c r="F17" s="4">
        <v>-7.593</v>
      </c>
      <c r="G17" s="4">
        <v>3.1019999999999999</v>
      </c>
      <c r="H17" s="4">
        <v>-5.6609999999999996</v>
      </c>
      <c r="I17" s="4">
        <v>1.4379999999999999</v>
      </c>
      <c r="J17" s="4">
        <v>33.006</v>
      </c>
      <c r="K17" s="4">
        <v>2.0230000000000001</v>
      </c>
      <c r="L17" s="4">
        <v>2.5880000000000001</v>
      </c>
      <c r="M17" s="4">
        <v>0</v>
      </c>
      <c r="N17" s="4">
        <f>4.36+2.611</f>
        <v>6.9710000000000001</v>
      </c>
      <c r="O17" s="4">
        <f>1.681+2.349</f>
        <v>4.03</v>
      </c>
      <c r="P17" s="4">
        <f>2.171-0.255</f>
        <v>1.9159999999999999</v>
      </c>
      <c r="Q17" s="4">
        <f>6.53+1.934</f>
        <v>8.4640000000000004</v>
      </c>
      <c r="R17" s="4">
        <f>9.334+3.522</f>
        <v>12.856</v>
      </c>
      <c r="S17" s="4">
        <f>4.655+0.541</f>
        <v>5.1960000000000006</v>
      </c>
      <c r="T17" s="3">
        <f>5.189+1.444</f>
        <v>6.633</v>
      </c>
      <c r="U17" s="3">
        <f>7.809+5.816</f>
        <v>13.625</v>
      </c>
      <c r="V17" s="3">
        <v>3.6019999999999999</v>
      </c>
      <c r="AC17" s="3">
        <v>-12.635999999999999</v>
      </c>
      <c r="AD17" s="3">
        <v>31.885000000000002</v>
      </c>
      <c r="AE17" s="3">
        <v>0</v>
      </c>
      <c r="AF17" s="3">
        <v>0</v>
      </c>
      <c r="AG17" s="3">
        <v>0</v>
      </c>
      <c r="AH17" s="3">
        <f>AH16*0.1</f>
        <v>74.329178289999888</v>
      </c>
      <c r="AI17" s="3">
        <f t="shared" ref="AI17" si="56">AI16*0.1</f>
        <v>112.81872131899986</v>
      </c>
      <c r="AJ17" s="3">
        <f t="shared" ref="AJ17" si="57">AJ16*0.1</f>
        <v>161.3685436908998</v>
      </c>
      <c r="AK17" s="3">
        <f t="shared" ref="AK17" si="58">AK16*0.1</f>
        <v>222.22693834798974</v>
      </c>
    </row>
    <row r="18" spans="2:37" s="3" customFormat="1" x14ac:dyDescent="0.2">
      <c r="B18" s="3" t="s">
        <v>31</v>
      </c>
      <c r="C18" s="4"/>
      <c r="D18" s="4">
        <f t="shared" ref="D18:L18" si="59">D16-D17</f>
        <v>-94.993000000000009</v>
      </c>
      <c r="E18" s="4">
        <f t="shared" si="59"/>
        <v>-837.64300000000003</v>
      </c>
      <c r="F18" s="4">
        <f t="shared" si="59"/>
        <v>-147.53299999999996</v>
      </c>
      <c r="G18" s="4">
        <f t="shared" si="59"/>
        <v>-115.65200000000002</v>
      </c>
      <c r="H18" s="4">
        <f t="shared" si="59"/>
        <v>-140.26900000000003</v>
      </c>
      <c r="I18" s="4">
        <f t="shared" si="59"/>
        <v>-93.149000000000029</v>
      </c>
      <c r="J18" s="4">
        <f t="shared" si="59"/>
        <v>-91.827999999999975</v>
      </c>
      <c r="K18" s="4">
        <f t="shared" si="59"/>
        <v>-41.415000000000028</v>
      </c>
      <c r="L18" s="4">
        <f t="shared" si="59"/>
        <v>-45.135000000000005</v>
      </c>
      <c r="M18" s="4">
        <f t="shared" ref="M18:N18" si="60">M16-M17</f>
        <v>-33.226999999999975</v>
      </c>
      <c r="N18" s="4">
        <f t="shared" si="60"/>
        <v>30.877999999999975</v>
      </c>
      <c r="O18" s="4">
        <f>+O16-O17</f>
        <v>16.802000000000067</v>
      </c>
      <c r="P18" s="4">
        <f>+P16-P17</f>
        <v>28.126999999999956</v>
      </c>
      <c r="Q18" s="4">
        <f>+Q16-Q17</f>
        <v>71.504999999999939</v>
      </c>
      <c r="R18" s="4">
        <f>+R16-R17</f>
        <v>93.040999999999968</v>
      </c>
      <c r="S18" s="4">
        <f>+S16-S17</f>
        <v>105.52999999999997</v>
      </c>
      <c r="T18" s="4">
        <f t="shared" ref="T18:W18" si="61">+T16-T17</f>
        <v>134.12599999999995</v>
      </c>
      <c r="U18" s="4">
        <f t="shared" si="61"/>
        <v>143.52499999999998</v>
      </c>
      <c r="V18" s="4">
        <f t="shared" si="61"/>
        <v>62.168000000000013</v>
      </c>
      <c r="W18" s="4">
        <f t="shared" si="61"/>
        <v>0</v>
      </c>
      <c r="AC18" s="3">
        <f>AC16-AC17</f>
        <v>-1170.502</v>
      </c>
      <c r="AD18" s="3">
        <f>AD16-AD17</f>
        <v>-444.96400000000006</v>
      </c>
      <c r="AE18" s="3">
        <f t="shared" ref="AE18:AH18" si="62">AE16-AE17</f>
        <v>-250.18730000000028</v>
      </c>
      <c r="AF18" s="3">
        <f t="shared" si="62"/>
        <v>-172.64291000000003</v>
      </c>
      <c r="AG18" s="3">
        <f t="shared" si="62"/>
        <v>144.79583899999898</v>
      </c>
      <c r="AH18" s="3">
        <f t="shared" si="62"/>
        <v>668.96260460999906</v>
      </c>
      <c r="AI18" s="3">
        <f t="shared" ref="AI18" si="63">AI16-AI17</f>
        <v>1015.3684918709987</v>
      </c>
      <c r="AJ18" s="3">
        <f t="shared" ref="AJ18" si="64">AJ16-AJ17</f>
        <v>1452.3168932180981</v>
      </c>
      <c r="AK18" s="3">
        <f t="shared" ref="AK18" si="65">AK16-AK17</f>
        <v>2000.0424451319077</v>
      </c>
    </row>
    <row r="19" spans="2:37" x14ac:dyDescent="0.2">
      <c r="B19" s="3" t="s">
        <v>1</v>
      </c>
      <c r="D19" s="7">
        <f t="shared" ref="D19:L19" si="66">D18/D20</f>
        <v>-0.14827157237200492</v>
      </c>
      <c r="E19" s="7">
        <f t="shared" si="66"/>
        <v>-0.92510011463761044</v>
      </c>
      <c r="F19" s="7">
        <f t="shared" si="66"/>
        <v>-8.3658536308756248E-2</v>
      </c>
      <c r="G19" s="7">
        <f t="shared" si="66"/>
        <v>-6.3504649239659608E-2</v>
      </c>
      <c r="H19" s="7">
        <f t="shared" si="66"/>
        <v>-7.4035973706406522E-2</v>
      </c>
      <c r="I19" s="7">
        <f t="shared" si="66"/>
        <v>-4.7418670888492401E-2</v>
      </c>
      <c r="J19" s="7">
        <f t="shared" si="66"/>
        <v>-4.5645513091992884E-2</v>
      </c>
      <c r="K19" s="7">
        <f t="shared" si="66"/>
        <v>-2.0338288872945007E-2</v>
      </c>
      <c r="L19" s="7">
        <f t="shared" si="66"/>
        <v>-2.1965652114878394E-2</v>
      </c>
      <c r="M19" s="7">
        <f t="shared" ref="M19:N19" si="67">M18/M20</f>
        <v>-1.6170438081778302E-2</v>
      </c>
      <c r="N19" s="7">
        <f t="shared" si="67"/>
        <v>1.4011679273305783E-2</v>
      </c>
      <c r="O19" s="7">
        <f>+O18/O20</f>
        <v>7.5772095647276289E-3</v>
      </c>
      <c r="P19" s="7">
        <f>+P18/P20</f>
        <v>1.2346394341034721E-2</v>
      </c>
      <c r="Q19" s="7">
        <f>+Q18/Q20</f>
        <v>3.0746904024767777E-2</v>
      </c>
      <c r="R19" s="7">
        <f>+R18/R20</f>
        <v>3.9461908894187728E-2</v>
      </c>
      <c r="S19" s="7">
        <f>+S18/S20</f>
        <v>4.3968873054409649E-2</v>
      </c>
      <c r="T19" s="7">
        <f t="shared" ref="T19:V19" si="68">+T18/T20</f>
        <v>5.5545708445286675E-2</v>
      </c>
      <c r="U19" s="7">
        <f t="shared" si="68"/>
        <v>5.8353245196656835E-2</v>
      </c>
      <c r="V19" s="7">
        <f t="shared" si="68"/>
        <v>2.4589058406924241E-2</v>
      </c>
      <c r="W19" s="7"/>
      <c r="AC19" s="1">
        <f>AC18/AC20</f>
        <v>-1.1952069271849119</v>
      </c>
      <c r="AD19" s="1">
        <f>AD18/AD20</f>
        <v>-0.23131631712549852</v>
      </c>
      <c r="AE19" s="1">
        <f t="shared" ref="AE19:AH19" si="69">AE18/AE20</f>
        <v>-0.11985539971912569</v>
      </c>
      <c r="AF19" s="1">
        <f t="shared" si="69"/>
        <v>-8.2706776030290197E-2</v>
      </c>
      <c r="AG19" s="1">
        <f t="shared" si="69"/>
        <v>6.9366283424502476E-2</v>
      </c>
      <c r="AH19" s="1">
        <f t="shared" si="69"/>
        <v>0.32047502160452901</v>
      </c>
      <c r="AI19" s="1">
        <f t="shared" ref="AI19" si="70">AI18/AI20</f>
        <v>0.48642515609467085</v>
      </c>
      <c r="AJ19" s="1">
        <f t="shared" ref="AJ19" si="71">AJ18/AJ20</f>
        <v>0.69575083049976461</v>
      </c>
      <c r="AK19" s="1">
        <f t="shared" ref="AK19" si="72">AK18/AK20</f>
        <v>0.95814570410449307</v>
      </c>
    </row>
    <row r="20" spans="2:37" s="3" customFormat="1" x14ac:dyDescent="0.2">
      <c r="B20" s="3" t="s">
        <v>29</v>
      </c>
      <c r="C20" s="4"/>
      <c r="D20" s="4">
        <v>640.66899999999998</v>
      </c>
      <c r="E20" s="4">
        <v>905.46199999999999</v>
      </c>
      <c r="F20" s="4">
        <v>1763.5139999999999</v>
      </c>
      <c r="G20" s="4">
        <v>1821.1579999999999</v>
      </c>
      <c r="H20" s="4">
        <v>1894.606</v>
      </c>
      <c r="I20" s="4">
        <v>1964.395</v>
      </c>
      <c r="J20" s="4">
        <v>2011.7639999999999</v>
      </c>
      <c r="K20" s="4">
        <v>2036.307</v>
      </c>
      <c r="L20" s="4">
        <v>2054.799</v>
      </c>
      <c r="M20" s="4">
        <f t="shared" ref="M20" si="73">L20</f>
        <v>2054.799</v>
      </c>
      <c r="N20" s="4">
        <v>2203.7330000000002</v>
      </c>
      <c r="O20" s="4">
        <v>2217.4389999999999</v>
      </c>
      <c r="P20" s="4">
        <v>2278.1550000000002</v>
      </c>
      <c r="Q20" s="4">
        <v>2325.6</v>
      </c>
      <c r="R20" s="4">
        <v>2357.7420000000002</v>
      </c>
      <c r="S20" s="4">
        <v>2400.107</v>
      </c>
      <c r="T20" s="3">
        <v>2414.6959999999999</v>
      </c>
      <c r="U20" s="3">
        <v>2459.5889999999999</v>
      </c>
      <c r="V20" s="3">
        <v>2528.279</v>
      </c>
      <c r="AC20" s="3">
        <v>979.33</v>
      </c>
      <c r="AD20" s="3">
        <v>1923.617</v>
      </c>
      <c r="AE20" s="3">
        <f>AVERAGE(K20:N20)</f>
        <v>2087.4094999999998</v>
      </c>
      <c r="AF20" s="3">
        <f>AE20</f>
        <v>2087.4094999999998</v>
      </c>
      <c r="AG20" s="3">
        <f>AF20</f>
        <v>2087.4094999999998</v>
      </c>
      <c r="AH20" s="3">
        <f>AG20</f>
        <v>2087.4094999999998</v>
      </c>
      <c r="AI20" s="3">
        <f t="shared" ref="AI20" si="74">AH20</f>
        <v>2087.4094999999998</v>
      </c>
      <c r="AJ20" s="3">
        <f t="shared" ref="AJ20:AK20" si="75">AI20</f>
        <v>2087.4094999999998</v>
      </c>
      <c r="AK20" s="3">
        <f t="shared" si="75"/>
        <v>2087.4094999999998</v>
      </c>
    </row>
    <row r="23" spans="2:37" s="11" customFormat="1" x14ac:dyDescent="0.2">
      <c r="B23" s="5" t="s">
        <v>32</v>
      </c>
      <c r="C23" s="9"/>
      <c r="D23" s="9"/>
      <c r="E23" s="9"/>
      <c r="F23" s="9"/>
      <c r="G23" s="9"/>
      <c r="H23" s="10">
        <f>H7/D7-1</f>
        <v>0.49129973917082514</v>
      </c>
      <c r="I23" s="10">
        <f>I7/E7-1</f>
        <v>0.35519031261447442</v>
      </c>
      <c r="J23" s="10">
        <f>J7/F7-1</f>
        <v>0.34392764777656004</v>
      </c>
      <c r="K23" s="10">
        <f>K7/G7-1</f>
        <v>0.30806719142875583</v>
      </c>
      <c r="L23" s="10">
        <f>L7/H7-1</f>
        <v>0.25920424233711881</v>
      </c>
      <c r="M23" s="10">
        <f t="shared" ref="M23:O23" si="76">M7/I7-1</f>
        <v>0.21862775598884077</v>
      </c>
      <c r="N23" s="10">
        <f t="shared" si="76"/>
        <v>0.17501218619113956</v>
      </c>
      <c r="O23" s="10">
        <f t="shared" si="76"/>
        <v>0.1766052733574246</v>
      </c>
      <c r="P23" s="10">
        <f t="shared" ref="P23:T23" si="77">P7/L7-1</f>
        <v>0.12749624743662924</v>
      </c>
      <c r="Q23" s="10">
        <f t="shared" si="77"/>
        <v>0.16798987193437687</v>
      </c>
      <c r="R23" s="10">
        <f t="shared" si="77"/>
        <v>0.19538205039479051</v>
      </c>
      <c r="S23" s="10">
        <f t="shared" si="77"/>
        <v>0.20783493847893864</v>
      </c>
      <c r="T23" s="10">
        <f t="shared" si="77"/>
        <v>0.2715401909183468</v>
      </c>
      <c r="U23" s="10">
        <f t="shared" ref="U23" si="78">U7/Q7-1</f>
        <v>0.2998375015004684</v>
      </c>
      <c r="V23" s="10">
        <f t="shared" ref="V23:Z23" si="79">V7/R7-1</f>
        <v>0.36105098684210524</v>
      </c>
      <c r="W23" s="10">
        <f t="shared" si="79"/>
        <v>0.37150856483452044</v>
      </c>
      <c r="X23" s="10">
        <f t="shared" si="79"/>
        <v>0.35000000000000009</v>
      </c>
      <c r="Y23" s="10">
        <f t="shared" si="79"/>
        <v>0.35000000000000009</v>
      </c>
      <c r="Z23" s="10">
        <f t="shared" si="79"/>
        <v>0.35000000000000009</v>
      </c>
      <c r="AD23" s="12">
        <f>AD7/AC7-1</f>
        <v>0.41111659206368234</v>
      </c>
      <c r="AE23" s="12">
        <f>AE7/AD7-1</f>
        <v>0.23606238840798532</v>
      </c>
      <c r="AF23" s="12">
        <f>AF7/AE7-1</f>
        <v>0.16726787909569985</v>
      </c>
      <c r="AG23" s="12">
        <f>AG7/AF7-1</f>
        <v>0.28806398455136084</v>
      </c>
      <c r="AH23" s="12">
        <f>AH7/AG7-1</f>
        <v>0.35476135636730266</v>
      </c>
      <c r="AI23" s="12">
        <f t="shared" ref="AI23" si="80">AI7/AH7-1</f>
        <v>0.19999999999999996</v>
      </c>
      <c r="AJ23" s="12">
        <f t="shared" ref="AJ23:AK23" si="81">AJ7/AI7-1</f>
        <v>0.19999999999999996</v>
      </c>
      <c r="AK23" s="12">
        <f t="shared" si="81"/>
        <v>0.19999999999999996</v>
      </c>
    </row>
    <row r="24" spans="2:37" x14ac:dyDescent="0.2">
      <c r="B24" t="s">
        <v>33</v>
      </c>
      <c r="D24" s="8">
        <f t="shared" ref="D24:K24" si="82">D9/D7</f>
        <v>0.72841211803611916</v>
      </c>
      <c r="E24" s="8">
        <f t="shared" si="82"/>
        <v>0.48390619492269304</v>
      </c>
      <c r="F24" s="8">
        <f t="shared" si="82"/>
        <v>0.78110844450791861</v>
      </c>
      <c r="G24" s="8">
        <f t="shared" si="82"/>
        <v>0.78281472537906538</v>
      </c>
      <c r="H24" s="8">
        <f t="shared" si="82"/>
        <v>0.75794506471587308</v>
      </c>
      <c r="I24" s="8">
        <f t="shared" si="82"/>
        <v>0.77864366842961541</v>
      </c>
      <c r="J24" s="8">
        <f t="shared" si="82"/>
        <v>0.79771384744043783</v>
      </c>
      <c r="K24" s="8">
        <f t="shared" si="82"/>
        <v>0.78850337286073702</v>
      </c>
      <c r="L24" s="8">
        <f t="shared" ref="L24:P24" si="83">L9/L7</f>
        <v>0.78388617576795416</v>
      </c>
      <c r="M24" s="8">
        <f t="shared" si="83"/>
        <v>0.8</v>
      </c>
      <c r="N24" s="8">
        <f t="shared" si="83"/>
        <v>0.79491530089024498</v>
      </c>
      <c r="O24" s="8">
        <f t="shared" si="83"/>
        <v>0.79503452110299977</v>
      </c>
      <c r="P24" s="8">
        <f t="shared" si="83"/>
        <v>0.79955823647099189</v>
      </c>
      <c r="Q24" s="8">
        <f t="shared" ref="Q24:R24" si="84">Q9/Q7</f>
        <v>0.80664649320354953</v>
      </c>
      <c r="R24" s="8">
        <f t="shared" si="84"/>
        <v>0.82131743421052628</v>
      </c>
      <c r="S24" s="8">
        <f t="shared" ref="S24:W24" si="85">S9/S7</f>
        <v>0.81672862101907817</v>
      </c>
      <c r="T24" s="8">
        <f t="shared" si="85"/>
        <v>0.81041799998230435</v>
      </c>
      <c r="U24" s="8">
        <f t="shared" si="85"/>
        <v>0.79788316177727303</v>
      </c>
      <c r="V24" s="8">
        <f t="shared" si="85"/>
        <v>0.7890888305887841</v>
      </c>
      <c r="W24" s="8">
        <f t="shared" si="85"/>
        <v>0</v>
      </c>
      <c r="AC24" s="8">
        <f t="shared" ref="AC24:AH24" si="86">AC9/AC7</f>
        <v>0.67735360899372454</v>
      </c>
      <c r="AD24" s="8">
        <f t="shared" si="86"/>
        <v>0.77987779924495215</v>
      </c>
      <c r="AE24" s="8">
        <f t="shared" si="86"/>
        <v>0.8</v>
      </c>
      <c r="AF24" s="8">
        <f t="shared" si="86"/>
        <v>0.8</v>
      </c>
      <c r="AG24" s="8">
        <f t="shared" si="86"/>
        <v>0.79999999999999993</v>
      </c>
      <c r="AH24" s="8">
        <f t="shared" si="86"/>
        <v>0.8</v>
      </c>
      <c r="AI24" s="8">
        <f t="shared" ref="AI24" si="87">AI9/AI7</f>
        <v>0.8</v>
      </c>
      <c r="AJ24" s="8">
        <f t="shared" ref="AJ24:AK24" si="88">AJ9/AJ7</f>
        <v>0.8</v>
      </c>
      <c r="AK24" s="8">
        <f t="shared" si="88"/>
        <v>0.8</v>
      </c>
    </row>
    <row r="26" spans="2:37" s="3" customFormat="1" x14ac:dyDescent="0.2"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>
        <f>2269.411+33.804+252.563+29.222</f>
        <v>2585.0000000000005</v>
      </c>
      <c r="L26" s="4"/>
      <c r="M26" s="4"/>
      <c r="N26" s="4"/>
      <c r="O26" s="4">
        <f>1264.738+1639.797+11.946+12.095</f>
        <v>2928.5759999999996</v>
      </c>
      <c r="P26" s="4">
        <f>1055.923+2047.329</f>
        <v>3103.252</v>
      </c>
      <c r="Q26" s="4">
        <f>1040.31+2243.264</f>
        <v>3283.5740000000001</v>
      </c>
      <c r="R26" s="4">
        <f>831.047+2843.132</f>
        <v>3674.1790000000001</v>
      </c>
      <c r="S26" s="4">
        <f>520.388+3347.512</f>
        <v>3867.9</v>
      </c>
      <c r="T26" s="4">
        <f>512.659+3485.8</f>
        <v>3998.4590000000003</v>
      </c>
      <c r="U26" s="3">
        <f>768.71+3795.949</f>
        <v>4564.6589999999997</v>
      </c>
      <c r="V26" s="3">
        <f>2098.524+3131.463</f>
        <v>5229.9870000000001</v>
      </c>
      <c r="AF26" s="4">
        <f>831.047+2843.132</f>
        <v>3674.1790000000001</v>
      </c>
    </row>
    <row r="27" spans="2:37" s="3" customFormat="1" x14ac:dyDescent="0.2">
      <c r="B27" s="3" t="s">
        <v>34</v>
      </c>
      <c r="C27" s="4"/>
      <c r="D27" s="4"/>
      <c r="E27" s="4"/>
      <c r="F27" s="4"/>
      <c r="G27" s="4"/>
      <c r="H27" s="4"/>
      <c r="I27" s="4"/>
      <c r="J27" s="4"/>
      <c r="K27" s="4">
        <v>256.55399999999997</v>
      </c>
      <c r="L27" s="4"/>
      <c r="M27" s="4"/>
      <c r="N27" s="4"/>
      <c r="O27" s="4">
        <v>254.041</v>
      </c>
      <c r="P27" s="4">
        <v>375.75599999999997</v>
      </c>
      <c r="Q27" s="4">
        <v>430.26900000000001</v>
      </c>
      <c r="R27" s="4">
        <v>364.78399999999999</v>
      </c>
      <c r="S27" s="4">
        <v>486.98599999999999</v>
      </c>
      <c r="T27" s="4">
        <v>659.33900000000006</v>
      </c>
      <c r="U27" s="3">
        <v>668.11</v>
      </c>
      <c r="V27" s="3">
        <v>575.048</v>
      </c>
      <c r="AF27" s="4">
        <v>364.78399999999999</v>
      </c>
    </row>
    <row r="28" spans="2:37" s="3" customFormat="1" x14ac:dyDescent="0.2"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>
        <v>115.042</v>
      </c>
      <c r="L28" s="4"/>
      <c r="M28" s="4"/>
      <c r="N28" s="4"/>
      <c r="O28" s="4">
        <v>85.625</v>
      </c>
      <c r="P28" s="4">
        <v>97.906000000000006</v>
      </c>
      <c r="Q28" s="4">
        <v>95.554000000000002</v>
      </c>
      <c r="R28" s="4">
        <v>99.655000000000001</v>
      </c>
      <c r="S28" s="4">
        <v>81.177999999999997</v>
      </c>
      <c r="T28" s="4">
        <v>115.712</v>
      </c>
      <c r="U28" s="3">
        <v>119.193</v>
      </c>
      <c r="V28" s="3">
        <v>129.25399999999999</v>
      </c>
      <c r="AF28" s="4">
        <v>99.655000000000001</v>
      </c>
    </row>
    <row r="29" spans="2:37" s="3" customFormat="1" x14ac:dyDescent="0.2">
      <c r="B29" s="3" t="s">
        <v>36</v>
      </c>
      <c r="C29" s="4"/>
      <c r="D29" s="4"/>
      <c r="E29" s="4"/>
      <c r="F29" s="4"/>
      <c r="G29" s="4"/>
      <c r="H29" s="4"/>
      <c r="I29" s="4"/>
      <c r="J29" s="4"/>
      <c r="K29" s="4">
        <v>41.866</v>
      </c>
      <c r="L29" s="4"/>
      <c r="M29" s="4"/>
      <c r="N29" s="4"/>
      <c r="O29" s="4">
        <v>63.115000000000002</v>
      </c>
      <c r="P29" s="4">
        <v>54.097000000000001</v>
      </c>
      <c r="Q29" s="4">
        <v>50.133000000000003</v>
      </c>
      <c r="R29" s="4">
        <v>47.758000000000003</v>
      </c>
      <c r="S29" s="4">
        <v>46.905999999999999</v>
      </c>
      <c r="T29" s="4">
        <v>43.482999999999997</v>
      </c>
      <c r="U29" s="3">
        <v>40.344999999999999</v>
      </c>
      <c r="V29" s="3">
        <v>39.637999999999998</v>
      </c>
      <c r="AF29" s="4">
        <v>47.758000000000003</v>
      </c>
    </row>
    <row r="30" spans="2:37" s="3" customFormat="1" x14ac:dyDescent="0.2">
      <c r="B30" s="3" t="s">
        <v>37</v>
      </c>
      <c r="C30" s="4"/>
      <c r="D30" s="4"/>
      <c r="E30" s="4"/>
      <c r="F30" s="4"/>
      <c r="G30" s="4"/>
      <c r="H30" s="4"/>
      <c r="I30" s="4"/>
      <c r="J30" s="4"/>
      <c r="K30" s="4">
        <v>224.88800000000001</v>
      </c>
      <c r="L30" s="4"/>
      <c r="M30" s="4"/>
      <c r="N30" s="4"/>
      <c r="O30" s="4">
        <v>210.01900000000001</v>
      </c>
      <c r="P30" s="4">
        <v>199.661</v>
      </c>
      <c r="Q30" s="4">
        <v>190.191</v>
      </c>
      <c r="R30" s="4">
        <v>182.863</v>
      </c>
      <c r="S30" s="4">
        <v>173.70699999999999</v>
      </c>
      <c r="T30" s="4">
        <v>213.453</v>
      </c>
      <c r="U30" s="3">
        <v>211.57</v>
      </c>
      <c r="V30" s="3">
        <v>200.74</v>
      </c>
      <c r="AF30" s="4">
        <v>182.863</v>
      </c>
    </row>
    <row r="31" spans="2:37" s="3" customFormat="1" x14ac:dyDescent="0.2">
      <c r="B31" s="3" t="s">
        <v>38</v>
      </c>
      <c r="C31" s="4"/>
      <c r="D31" s="4"/>
      <c r="E31" s="4"/>
      <c r="F31" s="4"/>
      <c r="G31" s="4"/>
      <c r="H31" s="4"/>
      <c r="I31" s="4"/>
      <c r="J31" s="4"/>
      <c r="K31" s="4">
        <v>95.828999999999994</v>
      </c>
      <c r="L31" s="4"/>
      <c r="M31" s="4"/>
      <c r="N31" s="4"/>
      <c r="O31" s="4">
        <v>141.762</v>
      </c>
      <c r="P31" s="4">
        <v>149.59200000000001</v>
      </c>
      <c r="Q31" s="4">
        <v>143.696</v>
      </c>
      <c r="R31" s="4">
        <v>153.18600000000001</v>
      </c>
      <c r="S31" s="4">
        <v>150.40199999999999</v>
      </c>
      <c r="T31" s="4">
        <v>161.434</v>
      </c>
      <c r="U31" s="3">
        <v>164.22</v>
      </c>
      <c r="V31" s="3">
        <v>166.21700000000001</v>
      </c>
      <c r="AF31" s="4">
        <v>153.18600000000001</v>
      </c>
    </row>
    <row r="32" spans="2:37" s="3" customFormat="1" x14ac:dyDescent="0.2">
      <c r="B32" s="3" t="s">
        <v>39</v>
      </c>
      <c r="C32" s="4"/>
      <c r="D32" s="4"/>
      <c r="E32" s="4"/>
      <c r="F32" s="4"/>
      <c r="G32" s="4"/>
      <c r="H32" s="4"/>
      <c r="I32" s="4"/>
      <c r="J32" s="4"/>
      <c r="K32" s="4">
        <f>SUM(K26:K31)</f>
        <v>3319.1790000000005</v>
      </c>
      <c r="L32" s="4"/>
      <c r="M32" s="4"/>
      <c r="N32" s="4"/>
      <c r="O32" s="4">
        <f t="shared" ref="O32:V32" si="89">SUM(O26:O31)</f>
        <v>3683.1379999999995</v>
      </c>
      <c r="P32" s="4">
        <f t="shared" si="89"/>
        <v>3980.2640000000001</v>
      </c>
      <c r="Q32" s="4">
        <f t="shared" si="89"/>
        <v>4193.4169999999995</v>
      </c>
      <c r="R32" s="4">
        <f t="shared" si="89"/>
        <v>4522.4250000000002</v>
      </c>
      <c r="S32" s="4">
        <f t="shared" si="89"/>
        <v>4807.0790000000006</v>
      </c>
      <c r="T32" s="4">
        <f t="shared" si="89"/>
        <v>5191.8800000000019</v>
      </c>
      <c r="U32" s="4">
        <f t="shared" si="89"/>
        <v>5768.0969999999998</v>
      </c>
      <c r="V32" s="4">
        <f t="shared" si="89"/>
        <v>6340.8839999999991</v>
      </c>
      <c r="AF32" s="4">
        <f>SUM(AF26:AF31)</f>
        <v>4522.4250000000002</v>
      </c>
    </row>
    <row r="33" spans="2:32" x14ac:dyDescent="0.2">
      <c r="AF33" s="2"/>
    </row>
    <row r="34" spans="2:32" s="3" customFormat="1" x14ac:dyDescent="0.2">
      <c r="B34" s="3" t="s">
        <v>40</v>
      </c>
      <c r="C34" s="4"/>
      <c r="D34" s="4"/>
      <c r="E34" s="4"/>
      <c r="F34" s="4"/>
      <c r="G34" s="4"/>
      <c r="H34" s="4"/>
      <c r="I34" s="4"/>
      <c r="J34" s="4"/>
      <c r="K34" s="4">
        <v>27.454000000000001</v>
      </c>
      <c r="L34" s="4"/>
      <c r="M34" s="4"/>
      <c r="N34" s="4"/>
      <c r="O34" s="4">
        <v>4.53</v>
      </c>
      <c r="P34" s="4">
        <v>4.6130000000000004</v>
      </c>
      <c r="Q34" s="4">
        <v>9.4749999999999996</v>
      </c>
      <c r="R34" s="4">
        <v>12.122</v>
      </c>
      <c r="S34" s="4">
        <v>35.634</v>
      </c>
      <c r="T34" s="4">
        <v>67.344999999999999</v>
      </c>
      <c r="U34" s="3">
        <v>27.021000000000001</v>
      </c>
      <c r="V34" s="3">
        <v>0.10299999999999999</v>
      </c>
      <c r="AF34" s="4">
        <v>12.122</v>
      </c>
    </row>
    <row r="35" spans="2:32" s="3" customFormat="1" x14ac:dyDescent="0.2">
      <c r="B35" s="3" t="s">
        <v>41</v>
      </c>
      <c r="C35" s="4"/>
      <c r="D35" s="4"/>
      <c r="E35" s="4"/>
      <c r="F35" s="4"/>
      <c r="G35" s="4"/>
      <c r="H35" s="4"/>
      <c r="I35" s="4"/>
      <c r="J35" s="4"/>
      <c r="K35" s="4">
        <v>150.17599999999999</v>
      </c>
      <c r="L35" s="4"/>
      <c r="M35" s="4"/>
      <c r="N35" s="4"/>
      <c r="O35" s="4">
        <v>174.52500000000001</v>
      </c>
      <c r="P35" s="4">
        <v>184.61699999999999</v>
      </c>
      <c r="Q35" s="4">
        <v>174.75299999999999</v>
      </c>
      <c r="R35" s="4">
        <v>222.99100000000001</v>
      </c>
      <c r="S35" s="4">
        <v>206.03399999999999</v>
      </c>
      <c r="T35" s="4">
        <v>195.489</v>
      </c>
      <c r="U35" s="3">
        <v>265.24400000000003</v>
      </c>
      <c r="V35" s="3">
        <v>427.04599999999999</v>
      </c>
      <c r="AF35" s="4">
        <v>222.99100000000001</v>
      </c>
    </row>
    <row r="36" spans="2:32" s="3" customFormat="1" x14ac:dyDescent="0.2">
      <c r="B36" s="3" t="s">
        <v>42</v>
      </c>
      <c r="C36" s="4"/>
      <c r="D36" s="4"/>
      <c r="E36" s="4"/>
      <c r="F36" s="4"/>
      <c r="G36" s="4"/>
      <c r="H36" s="4"/>
      <c r="I36" s="4"/>
      <c r="J36" s="4"/>
      <c r="K36" s="4">
        <f>218.521+33.244</f>
        <v>251.76499999999999</v>
      </c>
      <c r="L36" s="4"/>
      <c r="M36" s="4"/>
      <c r="N36" s="4"/>
      <c r="O36" s="4">
        <f>229.551+54.4</f>
        <v>283.95099999999996</v>
      </c>
      <c r="P36" s="4">
        <f>260.335+50.408</f>
        <v>310.74299999999999</v>
      </c>
      <c r="Q36" s="4">
        <f>223.507+34.88</f>
        <v>258.387</v>
      </c>
      <c r="R36" s="4">
        <f>246.901+28.047</f>
        <v>274.94800000000004</v>
      </c>
      <c r="S36" s="4">
        <f>237.195+20.722</f>
        <v>257.91699999999997</v>
      </c>
      <c r="T36" s="4">
        <f>278.441+15.649</f>
        <v>294.08999999999997</v>
      </c>
      <c r="U36" s="3">
        <f>236.608+7.825</f>
        <v>244.43299999999999</v>
      </c>
      <c r="V36" s="3">
        <f>259.624+39.885</f>
        <v>299.50900000000001</v>
      </c>
      <c r="AF36" s="4">
        <f>246.901+28.047</f>
        <v>274.94800000000004</v>
      </c>
    </row>
    <row r="37" spans="2:32" s="3" customFormat="1" x14ac:dyDescent="0.2">
      <c r="B37" s="3" t="s">
        <v>43</v>
      </c>
      <c r="C37" s="4"/>
      <c r="D37" s="4"/>
      <c r="E37" s="4"/>
      <c r="F37" s="4"/>
      <c r="G37" s="4"/>
      <c r="H37" s="4"/>
      <c r="I37" s="4"/>
      <c r="J37" s="4"/>
      <c r="K37" s="4">
        <f>232.908+22.276</f>
        <v>255.184</v>
      </c>
      <c r="L37" s="4"/>
      <c r="M37" s="4"/>
      <c r="N37" s="4"/>
      <c r="O37" s="4">
        <f>139.741+4.162</f>
        <v>143.90300000000002</v>
      </c>
      <c r="P37" s="4">
        <f>183.964+3.099</f>
        <v>187.06299999999999</v>
      </c>
      <c r="Q37" s="4">
        <f>228.986+2.234</f>
        <v>231.22</v>
      </c>
      <c r="R37" s="4">
        <f>1.477+209.828</f>
        <v>211.30500000000001</v>
      </c>
      <c r="S37" s="4">
        <f>217.634+1.651</f>
        <v>219.285</v>
      </c>
      <c r="T37" s="4">
        <f>221.519+1.527</f>
        <v>223.04599999999999</v>
      </c>
      <c r="U37" s="3">
        <f>366.946+3.681</f>
        <v>370.62700000000001</v>
      </c>
      <c r="V37" s="3">
        <f>1.663+265.252</f>
        <v>266.91500000000002</v>
      </c>
      <c r="AF37" s="4">
        <f>1.477+209.828</f>
        <v>211.30500000000001</v>
      </c>
    </row>
    <row r="38" spans="2:32" s="3" customFormat="1" x14ac:dyDescent="0.2">
      <c r="B38" s="3" t="s">
        <v>37</v>
      </c>
      <c r="C38" s="4"/>
      <c r="D38" s="4"/>
      <c r="E38" s="4"/>
      <c r="F38" s="4"/>
      <c r="G38" s="4"/>
      <c r="H38" s="4"/>
      <c r="I38" s="4"/>
      <c r="J38" s="4"/>
      <c r="K38" s="4">
        <f>40.045+227.617</f>
        <v>267.66199999999998</v>
      </c>
      <c r="L38" s="4"/>
      <c r="M38" s="4"/>
      <c r="N38" s="4"/>
      <c r="O38" s="4">
        <f>53.066+206.422</f>
        <v>259.488</v>
      </c>
      <c r="P38" s="4">
        <f>51.855+194.134</f>
        <v>245.98899999999998</v>
      </c>
      <c r="Q38" s="4">
        <f>52.204+184.067</f>
        <v>236.27100000000002</v>
      </c>
      <c r="R38" s="4">
        <f>54.176+175.216</f>
        <v>229.392</v>
      </c>
      <c r="S38" s="4">
        <f>54.056+163.013</f>
        <v>217.06900000000002</v>
      </c>
      <c r="T38" s="4">
        <f>44.125+214.334</f>
        <v>258.459</v>
      </c>
      <c r="U38" s="3">
        <f>47.637+207.278</f>
        <v>254.91499999999999</v>
      </c>
      <c r="V38" s="3">
        <f>195.226+43.993</f>
        <v>239.21899999999999</v>
      </c>
      <c r="AF38" s="4">
        <f>54.176+175.216</f>
        <v>229.392</v>
      </c>
    </row>
    <row r="39" spans="2:32" s="3" customFormat="1" x14ac:dyDescent="0.2">
      <c r="B39" s="3" t="s">
        <v>46</v>
      </c>
      <c r="C39" s="4"/>
      <c r="D39" s="4"/>
      <c r="E39" s="4"/>
      <c r="F39" s="4"/>
      <c r="G39" s="4"/>
      <c r="H39" s="4"/>
      <c r="I39" s="4"/>
      <c r="J39" s="4"/>
      <c r="K39" s="4">
        <v>2.1920000000000002</v>
      </c>
      <c r="L39" s="4"/>
      <c r="M39" s="4"/>
      <c r="N39" s="4"/>
      <c r="O39" s="4">
        <v>13.548</v>
      </c>
      <c r="P39" s="4">
        <v>12.101000000000001</v>
      </c>
      <c r="Q39" s="4">
        <v>11.414</v>
      </c>
      <c r="R39" s="4">
        <v>10.702</v>
      </c>
      <c r="S39" s="4">
        <v>9.968</v>
      </c>
      <c r="T39" s="4">
        <v>15.645</v>
      </c>
      <c r="U39" s="3">
        <v>14.494999999999999</v>
      </c>
      <c r="V39" s="3">
        <v>13.685</v>
      </c>
      <c r="AF39" s="4">
        <v>10.702</v>
      </c>
    </row>
    <row r="40" spans="2:32" s="3" customFormat="1" x14ac:dyDescent="0.2">
      <c r="B40" s="3" t="s">
        <v>44</v>
      </c>
      <c r="C40" s="4"/>
      <c r="D40" s="4"/>
      <c r="E40" s="4"/>
      <c r="F40" s="4"/>
      <c r="G40" s="4"/>
      <c r="H40" s="4"/>
      <c r="I40" s="4"/>
      <c r="J40" s="4"/>
      <c r="K40" s="4">
        <v>2364.7460000000001</v>
      </c>
      <c r="L40" s="4"/>
      <c r="M40" s="4"/>
      <c r="N40" s="4"/>
      <c r="O40" s="4">
        <v>2803.1930000000002</v>
      </c>
      <c r="P40" s="4">
        <v>3035.1379999999999</v>
      </c>
      <c r="Q40" s="4">
        <v>3271.8969999999999</v>
      </c>
      <c r="R40" s="4">
        <v>3560.9650000000001</v>
      </c>
      <c r="S40" s="4">
        <v>3861.172</v>
      </c>
      <c r="T40" s="4">
        <v>4137.8059999999996</v>
      </c>
      <c r="U40" s="3">
        <v>4591.3620000000001</v>
      </c>
      <c r="V40" s="3">
        <v>5094.4070000000002</v>
      </c>
      <c r="AF40" s="4">
        <v>3560.9650000000001</v>
      </c>
    </row>
    <row r="41" spans="2:32" s="3" customFormat="1" x14ac:dyDescent="0.2">
      <c r="B41" s="3" t="s">
        <v>45</v>
      </c>
      <c r="C41" s="4"/>
      <c r="D41" s="4"/>
      <c r="E41" s="4"/>
      <c r="F41" s="4"/>
      <c r="G41" s="4"/>
      <c r="H41" s="4"/>
      <c r="I41" s="4"/>
      <c r="J41" s="4"/>
      <c r="K41" s="4">
        <f>SUM(K34:K40)</f>
        <v>3319.1790000000001</v>
      </c>
      <c r="L41" s="4"/>
      <c r="M41" s="4"/>
      <c r="N41" s="4"/>
      <c r="O41" s="4">
        <f t="shared" ref="O41:V41" si="90">SUM(O34:O40)</f>
        <v>3683.1379999999999</v>
      </c>
      <c r="P41" s="4">
        <f t="shared" si="90"/>
        <v>3980.2639999999997</v>
      </c>
      <c r="Q41" s="4">
        <f t="shared" si="90"/>
        <v>4193.4169999999995</v>
      </c>
      <c r="R41" s="4">
        <f t="shared" si="90"/>
        <v>4522.4250000000002</v>
      </c>
      <c r="S41" s="4">
        <f t="shared" si="90"/>
        <v>4807.0789999999997</v>
      </c>
      <c r="T41" s="4">
        <f t="shared" si="90"/>
        <v>5191.8799999999992</v>
      </c>
      <c r="U41" s="4">
        <f t="shared" si="90"/>
        <v>5768.0969999999998</v>
      </c>
      <c r="V41" s="4">
        <f t="shared" si="90"/>
        <v>6340.884</v>
      </c>
      <c r="AF41" s="4">
        <f>SUM(AF34:AF40)</f>
        <v>4522.4250000000002</v>
      </c>
    </row>
    <row r="43" spans="2:32" x14ac:dyDescent="0.2">
      <c r="B43" s="3" t="s">
        <v>56</v>
      </c>
      <c r="O43" s="4">
        <f>+O18</f>
        <v>16.802000000000067</v>
      </c>
      <c r="R43" s="4"/>
      <c r="S43" s="4">
        <f>+S18</f>
        <v>105.52999999999997</v>
      </c>
      <c r="T43" s="4">
        <f>+T18</f>
        <v>134.12599999999995</v>
      </c>
      <c r="U43" s="4">
        <f>+U18</f>
        <v>143.52499999999998</v>
      </c>
      <c r="V43" s="4">
        <f>+V18</f>
        <v>62.168000000000013</v>
      </c>
      <c r="AD43" s="16">
        <f>+AD18</f>
        <v>-444.96400000000006</v>
      </c>
      <c r="AE43" s="16">
        <f>+AE18</f>
        <v>-250.18730000000028</v>
      </c>
      <c r="AF43" s="16">
        <f>+AF18</f>
        <v>-172.64291000000003</v>
      </c>
    </row>
    <row r="44" spans="2:32" x14ac:dyDescent="0.2">
      <c r="B44" s="3" t="s">
        <v>57</v>
      </c>
      <c r="O44" s="4">
        <v>19.151</v>
      </c>
      <c r="R44" s="4"/>
      <c r="S44" s="4">
        <v>106.071</v>
      </c>
      <c r="T44" s="4">
        <f>241.641-S44</f>
        <v>135.57</v>
      </c>
      <c r="U44" s="3">
        <f>390.982-T44-S44</f>
        <v>149.34100000000004</v>
      </c>
      <c r="V44" s="3">
        <f>467.918-U44-T44-S44</f>
        <v>76.936000000000007</v>
      </c>
      <c r="AD44" s="16">
        <v>-520.37900000000002</v>
      </c>
      <c r="AE44" s="16">
        <v>-371.09399999999999</v>
      </c>
      <c r="AF44" s="16">
        <v>217.375</v>
      </c>
    </row>
    <row r="45" spans="2:32" x14ac:dyDescent="0.2">
      <c r="B45" s="3" t="s">
        <v>58</v>
      </c>
      <c r="O45" s="4">
        <v>8.32</v>
      </c>
      <c r="R45" s="4"/>
      <c r="S45" s="4">
        <v>8.4380000000000006</v>
      </c>
      <c r="T45" s="4">
        <f>16.494-S45</f>
        <v>8.0559999999999992</v>
      </c>
      <c r="U45" s="3">
        <f>24.581-T45-S45</f>
        <v>8.086999999999998</v>
      </c>
      <c r="V45" s="3">
        <f>31.587-U45-T45-S45</f>
        <v>7.0060000000000002</v>
      </c>
      <c r="AD45" s="16">
        <v>14.897</v>
      </c>
      <c r="AE45" s="16">
        <v>22.521999999999998</v>
      </c>
      <c r="AF45" s="16">
        <v>33.353999999999999</v>
      </c>
    </row>
    <row r="46" spans="2:32" x14ac:dyDescent="0.2">
      <c r="B46" s="3" t="s">
        <v>59</v>
      </c>
      <c r="O46" s="4">
        <v>114.714</v>
      </c>
      <c r="R46" s="4"/>
      <c r="S46" s="4">
        <v>125.651</v>
      </c>
      <c r="T46" s="4">
        <f>267.415-S46</f>
        <v>141.76400000000001</v>
      </c>
      <c r="U46" s="3">
        <f>409.84-T46-S46</f>
        <v>142.42499999999995</v>
      </c>
      <c r="V46" s="3">
        <f>691.638-U46-T46-S46</f>
        <v>281.79800000000006</v>
      </c>
      <c r="AD46" s="16">
        <v>778.21500000000003</v>
      </c>
      <c r="AE46" s="16">
        <v>564.798</v>
      </c>
      <c r="AF46" s="16">
        <v>475.90300000000002</v>
      </c>
    </row>
    <row r="47" spans="2:32" x14ac:dyDescent="0.2">
      <c r="B47" s="3" t="s">
        <v>37</v>
      </c>
      <c r="O47" s="4">
        <v>10.836</v>
      </c>
      <c r="R47" s="4"/>
      <c r="S47" s="4">
        <v>12.366</v>
      </c>
      <c r="T47" s="4">
        <f>22.439-S47</f>
        <v>10.073</v>
      </c>
      <c r="U47" s="3">
        <f>32.041-T47-S47</f>
        <v>9.6019999999999968</v>
      </c>
      <c r="V47" s="3">
        <f>41.239-U47-T47-S47</f>
        <v>9.1980000000000004</v>
      </c>
      <c r="AD47" s="16">
        <v>33.820999999999998</v>
      </c>
      <c r="AE47" s="16">
        <v>40.308999999999997</v>
      </c>
      <c r="AF47" s="16">
        <v>47.018999999999998</v>
      </c>
    </row>
    <row r="48" spans="2:32" x14ac:dyDescent="0.2">
      <c r="B48" s="3" t="s">
        <v>60</v>
      </c>
      <c r="O48" s="4">
        <v>8.5079999999999991</v>
      </c>
      <c r="R48" s="4"/>
      <c r="S48" s="4">
        <v>12.353999999999999</v>
      </c>
      <c r="T48" s="4">
        <f>20.042-S48</f>
        <v>7.6880000000000024</v>
      </c>
      <c r="U48" s="3">
        <f>26.021-T48-S48</f>
        <v>5.9789999999999992</v>
      </c>
      <c r="V48" s="3">
        <f>19.306-U48-T48-S48</f>
        <v>-6.7149999999999999</v>
      </c>
      <c r="AD48" s="16">
        <v>73.311000000000007</v>
      </c>
      <c r="AE48" s="16">
        <v>272.108</v>
      </c>
      <c r="AF48" s="16">
        <v>13.16</v>
      </c>
    </row>
    <row r="49" spans="2:35" x14ac:dyDescent="0.2">
      <c r="B49" s="3" t="s">
        <v>61</v>
      </c>
      <c r="O49" s="4">
        <v>0</v>
      </c>
      <c r="R49" s="4"/>
      <c r="S49" s="4">
        <v>-11.907</v>
      </c>
      <c r="T49" s="4">
        <f>-26.484-S49</f>
        <v>-14.577000000000002</v>
      </c>
      <c r="U49" s="3">
        <f>-34.789-T49-S49</f>
        <v>-8.3049999999999997</v>
      </c>
      <c r="V49" s="3">
        <f>-52.521-U49-T49-S49</f>
        <v>-17.731999999999999</v>
      </c>
      <c r="AD49" s="16">
        <v>0</v>
      </c>
      <c r="AE49" s="16">
        <v>-15.537000000000001</v>
      </c>
      <c r="AF49" s="16">
        <v>-46.609000000000002</v>
      </c>
    </row>
    <row r="50" spans="2:35" x14ac:dyDescent="0.2">
      <c r="B50" s="3" t="s">
        <v>38</v>
      </c>
      <c r="O50" s="4">
        <v>-11.342000000000001</v>
      </c>
      <c r="R50" s="4"/>
      <c r="S50" s="4">
        <v>-6.774</v>
      </c>
      <c r="T50" s="4">
        <f>-11.088-S50</f>
        <v>-4.3139999999999992</v>
      </c>
      <c r="U50" s="3">
        <f>19.115-T50-S50</f>
        <v>30.202999999999999</v>
      </c>
      <c r="V50" s="3">
        <f>24.795-U50-T50-S50</f>
        <v>5.6800000000000015</v>
      </c>
      <c r="AD50" s="16">
        <f>2.767+43.316</f>
        <v>46.083000000000006</v>
      </c>
      <c r="AE50" s="16">
        <f>16.328-44.306-0.174</f>
        <v>-28.151999999999997</v>
      </c>
      <c r="AF50" s="16">
        <f>-4.806-29.449</f>
        <v>-34.255000000000003</v>
      </c>
    </row>
    <row r="51" spans="2:35" s="3" customFormat="1" x14ac:dyDescent="0.2">
      <c r="B51" s="3" t="s">
        <v>62</v>
      </c>
      <c r="C51" s="4"/>
      <c r="D51" s="4"/>
      <c r="E51" s="4"/>
      <c r="F51" s="4"/>
      <c r="G51" s="4">
        <v>116881</v>
      </c>
      <c r="H51" s="4"/>
      <c r="I51" s="4"/>
      <c r="J51" s="4"/>
      <c r="K51" s="4">
        <v>35477</v>
      </c>
      <c r="L51" s="4"/>
      <c r="M51" s="4"/>
      <c r="N51" s="4"/>
      <c r="O51" s="4">
        <f>-0.628+1.973-4.551-39.921+4.271+88.673-2.112-10.536+0.2</f>
        <v>37.369</v>
      </c>
      <c r="P51" s="4"/>
      <c r="Q51" s="4"/>
      <c r="R51" s="4"/>
      <c r="S51" s="4">
        <f>-121.884+19.399+3.525+23.809-19.105-14.802+7.953-15.482-0.033</f>
        <v>-116.61999999999999</v>
      </c>
      <c r="T51" s="4">
        <f>-298.311-2.774+5.571+53.372-30.548+21.463+11.806-23.778+6.506-S51</f>
        <v>-140.07299999999998</v>
      </c>
      <c r="U51" s="3">
        <f>-311.699-19.547+4.056+7.71+42.149-27.117+159.457-35.205+5.943-T51-S51</f>
        <v>82.439999999999898</v>
      </c>
      <c r="V51" s="3">
        <f>-211.157+7.202+4.681-18.841+115.634+22.356+54.44-48.966+4.554-U51-T51-S51</f>
        <v>104.15600000000005</v>
      </c>
      <c r="AD51" s="16">
        <f>-35.237-10.974-3.345+57.767+15.245+24.732-104.944-32.156-3.185</f>
        <v>-92.097000000000008</v>
      </c>
      <c r="AE51" s="16">
        <f>-72.819-24.811+6.033-29.859+5.527-61.154-49.471-34.59-0.073</f>
        <v>-261.21699999999998</v>
      </c>
      <c r="AF51" s="16">
        <f>-106.159-6.197+3.242-31.832+52.895+79.512+64.347-49.63+0.058</f>
        <v>6.2360000000000042</v>
      </c>
    </row>
    <row r="52" spans="2:35" x14ac:dyDescent="0.2">
      <c r="B52" s="3" t="s">
        <v>47</v>
      </c>
      <c r="O52" s="4">
        <f>SUM(O44:O51)</f>
        <v>187.55600000000001</v>
      </c>
      <c r="R52" s="4"/>
      <c r="S52" s="4">
        <f>SUM(S44:S51)</f>
        <v>129.57900000000001</v>
      </c>
      <c r="T52" s="4">
        <f>SUM(T44:T51)</f>
        <v>144.18699999999995</v>
      </c>
      <c r="U52" s="4">
        <f>SUM(U44:U51)</f>
        <v>419.77199999999976</v>
      </c>
      <c r="V52" s="4">
        <f>SUM(V44:V51)</f>
        <v>460.32700000000017</v>
      </c>
      <c r="W52" s="4">
        <f>+W7*0.56</f>
        <v>487.20000000000005</v>
      </c>
      <c r="AC52" s="3">
        <v>-296608</v>
      </c>
      <c r="AD52" s="16">
        <f>SUM(AD44:AD51)</f>
        <v>333.851</v>
      </c>
      <c r="AE52" s="16">
        <f>SUM(AE44:AE51)</f>
        <v>223.73700000000002</v>
      </c>
      <c r="AF52" s="16">
        <f>SUM(AF44:AF51)</f>
        <v>712.18299999999999</v>
      </c>
      <c r="AG52" s="3">
        <f>SUM(S52:V52)</f>
        <v>1153.865</v>
      </c>
      <c r="AH52" s="3">
        <v>1800</v>
      </c>
      <c r="AI52" s="3">
        <f>+AH52*1.5</f>
        <v>2700</v>
      </c>
    </row>
    <row r="53" spans="2:35" s="18" customFormat="1" x14ac:dyDescent="0.2"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1"/>
      <c r="P53" s="20"/>
      <c r="Q53" s="20"/>
      <c r="R53" s="21"/>
      <c r="S53" s="21"/>
      <c r="T53" s="21"/>
      <c r="U53" s="21"/>
      <c r="V53" s="21"/>
      <c r="W53" s="21"/>
      <c r="AC53" s="19"/>
      <c r="AD53" s="22"/>
      <c r="AE53" s="22"/>
      <c r="AF53" s="23">
        <f>AF52/AE52-1</f>
        <v>2.1831257235057229</v>
      </c>
      <c r="AG53" s="23">
        <f>AG52/AF52-1</f>
        <v>0.62018048731856834</v>
      </c>
      <c r="AH53" s="23">
        <f>AH52/AG52-1</f>
        <v>0.55997452041616658</v>
      </c>
      <c r="AI53" s="23">
        <f>AI52/AH52-1</f>
        <v>0.5</v>
      </c>
    </row>
    <row r="55" spans="2:35" x14ac:dyDescent="0.2">
      <c r="B55" s="3" t="s">
        <v>36</v>
      </c>
      <c r="O55" s="4">
        <v>-4.7549999999999999</v>
      </c>
      <c r="R55" s="4"/>
      <c r="S55" s="4">
        <v>-2.6640000000000001</v>
      </c>
      <c r="T55" s="4">
        <f>-5.543-S55</f>
        <v>-2.879</v>
      </c>
      <c r="U55" s="3">
        <f>-9.528-T55-S55</f>
        <v>-3.9850000000000008</v>
      </c>
    </row>
    <row r="56" spans="2:35" x14ac:dyDescent="0.2">
      <c r="B56" s="3" t="s">
        <v>64</v>
      </c>
      <c r="O56" s="4">
        <f>-2310.367+709.459+51.072</f>
        <v>-1549.8360000000002</v>
      </c>
      <c r="R56" s="4"/>
      <c r="S56" s="4">
        <f>-1260.327+751.746</f>
        <v>-508.58100000000002</v>
      </c>
      <c r="T56" s="4">
        <f>-1784.115+1133.535-4-S56</f>
        <v>-145.99899999999991</v>
      </c>
      <c r="U56" s="3">
        <f>-3418.699+2451.378-4-T56-S56</f>
        <v>-316.74099999999999</v>
      </c>
    </row>
    <row r="57" spans="2:35" x14ac:dyDescent="0.2">
      <c r="B57" t="s">
        <v>63</v>
      </c>
      <c r="O57" s="4">
        <f>O55+O56</f>
        <v>-1554.5910000000003</v>
      </c>
      <c r="R57" s="4"/>
      <c r="S57" s="4">
        <f>SUM(S55:S56)</f>
        <v>-511.245</v>
      </c>
      <c r="T57" s="4">
        <f>SUM(T55:T56)</f>
        <v>-148.8779999999999</v>
      </c>
      <c r="U57" s="4">
        <f>SUM(U55:U56)</f>
        <v>-320.726</v>
      </c>
    </row>
    <row r="59" spans="2:35" x14ac:dyDescent="0.2">
      <c r="B59" t="s">
        <v>68</v>
      </c>
      <c r="O59" s="4">
        <v>25.923999999999999</v>
      </c>
      <c r="R59" s="4"/>
      <c r="S59" s="4">
        <v>83.84</v>
      </c>
      <c r="T59" s="4">
        <f>99.87-S59</f>
        <v>16.03</v>
      </c>
      <c r="U59" s="3">
        <f>270.207-T59-S59</f>
        <v>170.33699999999999</v>
      </c>
    </row>
    <row r="60" spans="2:35" x14ac:dyDescent="0.2">
      <c r="B60" t="s">
        <v>69</v>
      </c>
      <c r="O60" s="4">
        <v>0</v>
      </c>
      <c r="R60" s="4"/>
      <c r="S60" s="4">
        <v>-9</v>
      </c>
      <c r="T60" s="4">
        <f>-26.699-S60</f>
        <v>-17.699000000000002</v>
      </c>
      <c r="U60" s="3">
        <f>-45.598-T60-S60</f>
        <v>-18.898999999999997</v>
      </c>
    </row>
    <row r="61" spans="2:35" x14ac:dyDescent="0.2">
      <c r="B61" t="s">
        <v>38</v>
      </c>
      <c r="O61" s="4">
        <v>5.8999999999999997E-2</v>
      </c>
      <c r="R61" s="4"/>
      <c r="S61" s="4">
        <v>0.40799999999999997</v>
      </c>
      <c r="T61" s="4">
        <f>0.102-S61</f>
        <v>-0.30599999999999999</v>
      </c>
      <c r="U61" s="3">
        <f>0.091-T61-S61</f>
        <v>-1.0999999999999954E-2</v>
      </c>
    </row>
    <row r="62" spans="2:35" x14ac:dyDescent="0.2">
      <c r="B62" t="s">
        <v>67</v>
      </c>
      <c r="O62" s="4">
        <f>SUM(O59:O61)</f>
        <v>25.983000000000001</v>
      </c>
      <c r="R62" s="4"/>
      <c r="S62" s="4">
        <f>SUM(S59:S61)</f>
        <v>75.248000000000005</v>
      </c>
      <c r="T62" s="4">
        <f>SUM(T59:T61)</f>
        <v>-1.9750000000000005</v>
      </c>
      <c r="U62" s="4">
        <f>SUM(U59:U61)</f>
        <v>151.42699999999999</v>
      </c>
    </row>
    <row r="63" spans="2:35" x14ac:dyDescent="0.2">
      <c r="B63" t="s">
        <v>66</v>
      </c>
      <c r="O63" s="4">
        <v>2.6760000000000002</v>
      </c>
      <c r="R63" s="4"/>
      <c r="S63" s="4">
        <v>-4.024</v>
      </c>
      <c r="T63" s="4">
        <f>-4.948-S63</f>
        <v>-0.92400000000000038</v>
      </c>
      <c r="U63" s="3">
        <f>0.96-T63-S63</f>
        <v>5.9080000000000004</v>
      </c>
    </row>
    <row r="64" spans="2:35" x14ac:dyDescent="0.2">
      <c r="B64" t="s">
        <v>65</v>
      </c>
      <c r="O64" s="4">
        <f>+O63+O62+O57+O52</f>
        <v>-1338.3760000000002</v>
      </c>
      <c r="R64" s="4"/>
      <c r="S64" s="4">
        <f>+S63+S62+S57+S52</f>
        <v>-310.44200000000001</v>
      </c>
      <c r="T64" s="4">
        <f t="shared" ref="T64:U64" si="91">+T63+T62+T57+T52</f>
        <v>-7.5899999999999466</v>
      </c>
      <c r="U64" s="4">
        <f t="shared" si="91"/>
        <v>256.38099999999974</v>
      </c>
    </row>
    <row r="67" spans="2:32" x14ac:dyDescent="0.2">
      <c r="B67" t="s">
        <v>84</v>
      </c>
      <c r="N67" s="2">
        <v>367</v>
      </c>
      <c r="R67" s="2">
        <v>497</v>
      </c>
      <c r="AE67">
        <f>+N67</f>
        <v>367</v>
      </c>
      <c r="AF67">
        <f>+R67</f>
        <v>497</v>
      </c>
    </row>
    <row r="68" spans="2:32" x14ac:dyDescent="0.2">
      <c r="B68" t="s">
        <v>85</v>
      </c>
      <c r="R68" s="8">
        <v>0.62</v>
      </c>
      <c r="AF68" s="8">
        <v>0.62</v>
      </c>
    </row>
    <row r="69" spans="2:32" x14ac:dyDescent="0.2">
      <c r="B69" t="s">
        <v>86</v>
      </c>
      <c r="R69" s="8">
        <v>0.38</v>
      </c>
      <c r="AF69" s="8">
        <v>0.38</v>
      </c>
    </row>
    <row r="70" spans="2:32" x14ac:dyDescent="0.2">
      <c r="B70" t="s">
        <v>87</v>
      </c>
      <c r="R70" s="8">
        <v>0.55000000000000004</v>
      </c>
      <c r="AF70" s="8">
        <v>0.55000000000000004</v>
      </c>
    </row>
    <row r="71" spans="2:32" x14ac:dyDescent="0.2">
      <c r="B71" t="s">
        <v>88</v>
      </c>
      <c r="R71" s="8">
        <v>0.45</v>
      </c>
      <c r="AF71" s="8">
        <v>0.45</v>
      </c>
    </row>
    <row r="73" spans="2:32" x14ac:dyDescent="0.2">
      <c r="U73" s="17">
        <f>+U52/U7</f>
        <v>0.57858406982065147</v>
      </c>
      <c r="V73" s="17">
        <f>+V52/V7</f>
        <v>0.55627363238789707</v>
      </c>
      <c r="W73" s="17">
        <f>+W52/W7</f>
        <v>0.56000000000000005</v>
      </c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2022-07-18T16:27:52Z</dcterms:created>
  <dcterms:modified xsi:type="dcterms:W3CDTF">2025-02-04T19:02:12Z</dcterms:modified>
</cp:coreProperties>
</file>