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6E14A13-1425-41B8-A6A7-F914C7AB05B6}" xr6:coauthVersionLast="47" xr6:coauthVersionMax="47" xr10:uidLastSave="{00000000-0000-0000-0000-000000000000}"/>
  <bookViews>
    <workbookView xWindow="760" yWindow="760" windowWidth="28800" windowHeight="15370" xr2:uid="{77457E1E-5BA7-4596-88BB-5A4DC9A1A3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1" i="2" l="1"/>
  <c r="Z90" i="2"/>
  <c r="Y90" i="2"/>
  <c r="X90" i="2"/>
  <c r="W90" i="2"/>
  <c r="Z70" i="2"/>
  <c r="Z76" i="2"/>
  <c r="Z73" i="2"/>
  <c r="Y86" i="2"/>
  <c r="Y76" i="2"/>
  <c r="Y77" i="2" s="1"/>
  <c r="Y73" i="2"/>
  <c r="Z77" i="2"/>
  <c r="Z86" i="2"/>
  <c r="Z35" i="2"/>
  <c r="Z68" i="2"/>
  <c r="Y68" i="2"/>
  <c r="Z53" i="2"/>
  <c r="Y53" i="2"/>
  <c r="Z46" i="2"/>
  <c r="Z51" i="2"/>
  <c r="Y51" i="2"/>
  <c r="Z44" i="2"/>
  <c r="Y44" i="2"/>
  <c r="Z42" i="2"/>
  <c r="Z38" i="2"/>
  <c r="Z36" i="2"/>
  <c r="Y35" i="2"/>
  <c r="Z33" i="2"/>
  <c r="Y33" i="2"/>
  <c r="X33" i="2"/>
  <c r="W33" i="2"/>
  <c r="V33" i="2"/>
  <c r="U33" i="2"/>
  <c r="T33" i="2"/>
  <c r="Z32" i="2"/>
  <c r="Y32" i="2"/>
  <c r="X32" i="2"/>
  <c r="W32" i="2"/>
  <c r="V32" i="2"/>
  <c r="U32" i="2"/>
  <c r="T32" i="2"/>
  <c r="Y31" i="2"/>
  <c r="X31" i="2"/>
  <c r="W31" i="2"/>
  <c r="V31" i="2"/>
  <c r="U31" i="2"/>
  <c r="T31" i="2"/>
  <c r="S31" i="2"/>
  <c r="R31" i="2"/>
  <c r="Z31" i="2"/>
  <c r="AD10" i="2"/>
  <c r="AC10" i="2"/>
  <c r="AB10" i="2"/>
  <c r="AA10" i="2"/>
  <c r="Y19" i="2"/>
  <c r="Y18" i="2"/>
  <c r="Y13" i="2"/>
  <c r="Z30" i="2"/>
  <c r="Y30" i="2"/>
  <c r="Y21" i="2"/>
  <c r="Y23" i="2" s="1"/>
  <c r="Y24" i="2" s="1"/>
  <c r="Z18" i="2"/>
  <c r="Z10" i="2"/>
  <c r="Z29" i="2" s="1"/>
  <c r="Y10" i="2"/>
  <c r="Y29" i="2" s="1"/>
  <c r="W82" i="2"/>
  <c r="W86" i="2" s="1"/>
  <c r="W73" i="2"/>
  <c r="W77" i="2" s="1"/>
  <c r="W68" i="2"/>
  <c r="W30" i="2"/>
  <c r="V30" i="2"/>
  <c r="U30" i="2"/>
  <c r="T30" i="2"/>
  <c r="S30" i="2"/>
  <c r="R30" i="2"/>
  <c r="Q30" i="2"/>
  <c r="X10" i="2"/>
  <c r="X13" i="2" s="1"/>
  <c r="W10" i="2"/>
  <c r="W29" i="2" s="1"/>
  <c r="V10" i="2"/>
  <c r="V29" i="2" s="1"/>
  <c r="U10" i="2"/>
  <c r="U29" i="2" s="1"/>
  <c r="T10" i="2"/>
  <c r="T13" i="2" s="1"/>
  <c r="X82" i="2"/>
  <c r="X86" i="2" s="1"/>
  <c r="X73" i="2"/>
  <c r="X77" i="2" s="1"/>
  <c r="X68" i="2"/>
  <c r="X18" i="2"/>
  <c r="W18" i="2"/>
  <c r="V18" i="2"/>
  <c r="U18" i="2"/>
  <c r="T18" i="2"/>
  <c r="X46" i="2"/>
  <c r="X51" i="2" s="1"/>
  <c r="X36" i="2"/>
  <c r="X35" i="2" s="1"/>
  <c r="X42" i="2"/>
  <c r="X38" i="2"/>
  <c r="X30" i="2"/>
  <c r="AJ2" i="2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S35" i="2"/>
  <c r="S29" i="2"/>
  <c r="O18" i="2"/>
  <c r="S18" i="2"/>
  <c r="O13" i="2"/>
  <c r="O31" i="2" s="1"/>
  <c r="S13" i="2"/>
  <c r="M18" i="2"/>
  <c r="M13" i="2"/>
  <c r="M31" i="2" s="1"/>
  <c r="Q18" i="2"/>
  <c r="Q13" i="2"/>
  <c r="Q31" i="2" s="1"/>
  <c r="Q29" i="2"/>
  <c r="Z88" i="2" l="1"/>
  <c r="Y88" i="2"/>
  <c r="Z13" i="2"/>
  <c r="Z19" i="2" s="1"/>
  <c r="Z21" i="2" s="1"/>
  <c r="Z23" i="2" s="1"/>
  <c r="Z24" i="2" s="1"/>
  <c r="W88" i="2"/>
  <c r="U13" i="2"/>
  <c r="U19" i="2" s="1"/>
  <c r="U21" i="2" s="1"/>
  <c r="U23" i="2" s="1"/>
  <c r="U24" i="2" s="1"/>
  <c r="V13" i="2"/>
  <c r="V19" i="2" s="1"/>
  <c r="V21" i="2" s="1"/>
  <c r="V23" i="2" s="1"/>
  <c r="V24" i="2" s="1"/>
  <c r="W13" i="2"/>
  <c r="X44" i="2"/>
  <c r="W19" i="2"/>
  <c r="W21" i="2" s="1"/>
  <c r="W23" i="2" s="1"/>
  <c r="T29" i="2"/>
  <c r="X88" i="2"/>
  <c r="X29" i="2"/>
  <c r="X19" i="2"/>
  <c r="X21" i="2" s="1"/>
  <c r="X23" i="2" s="1"/>
  <c r="T19" i="2"/>
  <c r="T21" i="2" s="1"/>
  <c r="T23" i="2" s="1"/>
  <c r="T24" i="2" s="1"/>
  <c r="O19" i="2"/>
  <c r="S19" i="2"/>
  <c r="M19" i="2"/>
  <c r="Q19" i="2"/>
  <c r="R48" i="2"/>
  <c r="R46" i="2"/>
  <c r="R42" i="2"/>
  <c r="R36" i="2"/>
  <c r="R35" i="2" s="1"/>
  <c r="M4" i="1"/>
  <c r="M7" i="1" s="1"/>
  <c r="N18" i="2"/>
  <c r="N13" i="2"/>
  <c r="W24" i="2" l="1"/>
  <c r="W53" i="2"/>
  <c r="X24" i="2"/>
  <c r="X53" i="2"/>
  <c r="Q21" i="2"/>
  <c r="Q32" i="2"/>
  <c r="M21" i="2"/>
  <c r="M32" i="2"/>
  <c r="S32" i="2"/>
  <c r="S21" i="2"/>
  <c r="O21" i="2"/>
  <c r="O32" i="2"/>
  <c r="N19" i="2"/>
  <c r="N32" i="2" s="1"/>
  <c r="R51" i="2"/>
  <c r="R44" i="2"/>
  <c r="N31" i="2"/>
  <c r="R18" i="2"/>
  <c r="R13" i="2"/>
  <c r="R29" i="2"/>
  <c r="O23" i="2" l="1"/>
  <c r="O24" i="2" s="1"/>
  <c r="O33" i="2"/>
  <c r="S23" i="2"/>
  <c r="S24" i="2" s="1"/>
  <c r="S33" i="2"/>
  <c r="M23" i="2"/>
  <c r="M24" i="2" s="1"/>
  <c r="M33" i="2"/>
  <c r="Q23" i="2"/>
  <c r="Q24" i="2" s="1"/>
  <c r="Q33" i="2"/>
  <c r="N21" i="2"/>
  <c r="N23" i="2" s="1"/>
  <c r="N24" i="2" s="1"/>
  <c r="R19" i="2"/>
  <c r="N33" i="2"/>
  <c r="R32" i="2" l="1"/>
  <c r="R21" i="2"/>
  <c r="R33" i="2" l="1"/>
  <c r="R23" i="2"/>
  <c r="R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tc={774D2F1E-BB2E-4780-A52B-4E03D3C621F7}</author>
  </authors>
  <commentList>
    <comment ref="T29" authorId="0" shapeId="0" xr:uid="{774D2F1E-BB2E-4780-A52B-4E03D3C621F7}">
      <text>
        <t>[Threaded comment]
Your version of Excel allows you to read this threaded comment; however, any edits to it will get removed if the file is opened in a newer version of Excel. Learn more: https://go.microsoft.com/fwlink/?linkid=870924
Comment:
    +7.5-8.0% FXN</t>
      </text>
    </comment>
  </commentList>
</comments>
</file>

<file path=xl/sharedStrings.xml><?xml version="1.0" encoding="utf-8"?>
<sst xmlns="http://schemas.openxmlformats.org/spreadsheetml/2006/main" count="116" uniqueCount="97">
  <si>
    <t>Price</t>
  </si>
  <si>
    <t>Shares</t>
  </si>
  <si>
    <t>MC</t>
  </si>
  <si>
    <t>Cash</t>
  </si>
  <si>
    <t>Debt</t>
  </si>
  <si>
    <t>EV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</si>
  <si>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</si>
  <si>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</si>
  <si>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</si>
  <si>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</si>
  <si>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</si>
  <si>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</si>
  <si>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</si>
  <si>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</si>
  <si>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</si>
  <si>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</si>
  <si>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</si>
  <si>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</si>
  <si>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</si>
  <si>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</si>
  <si>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</si>
  <si>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</si>
  <si>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</si>
  <si>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</si>
  <si>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</si>
  <si>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</si>
  <si>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</si>
  <si>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Main</t>
  </si>
  <si>
    <t>Revenue y/y</t>
  </si>
  <si>
    <t>Gross Margin</t>
  </si>
  <si>
    <t>COGS</t>
  </si>
  <si>
    <t>Losses</t>
  </si>
  <si>
    <t>Operating Expenses</t>
  </si>
  <si>
    <t>Operating Income</t>
  </si>
  <si>
    <t>Customer Service</t>
  </si>
  <si>
    <t>S&amp;M</t>
  </si>
  <si>
    <t>R&amp;D</t>
  </si>
  <si>
    <t>G&amp;A</t>
  </si>
  <si>
    <t>Interst Expense</t>
  </si>
  <si>
    <t>EPS</t>
  </si>
  <si>
    <t>Net Income</t>
  </si>
  <si>
    <t>Taxes</t>
  </si>
  <si>
    <t>Pretax</t>
  </si>
  <si>
    <t>Operating Margin</t>
  </si>
  <si>
    <t>Tax Rate</t>
  </si>
  <si>
    <t>Assets</t>
  </si>
  <si>
    <t>AR</t>
  </si>
  <si>
    <t>Loans</t>
  </si>
  <si>
    <t>Funds</t>
  </si>
  <si>
    <t>Prepaids</t>
  </si>
  <si>
    <t>PP&amp;E</t>
  </si>
  <si>
    <t>Goodwill</t>
  </si>
  <si>
    <t>Other</t>
  </si>
  <si>
    <t>Net Cash</t>
  </si>
  <si>
    <t>AP</t>
  </si>
  <si>
    <t>SE</t>
  </si>
  <si>
    <t>TPV</t>
  </si>
  <si>
    <t>Q124</t>
  </si>
  <si>
    <t>Q224</t>
  </si>
  <si>
    <t>Q324</t>
  </si>
  <si>
    <t>Q424</t>
  </si>
  <si>
    <t>TPV y/y</t>
  </si>
  <si>
    <t>Model NI</t>
  </si>
  <si>
    <t>Reported NI</t>
  </si>
  <si>
    <t>Credit Losses</t>
  </si>
  <si>
    <t>D&amp;A</t>
  </si>
  <si>
    <t>SBC</t>
  </si>
  <si>
    <t>DT</t>
  </si>
  <si>
    <t>Strategic</t>
  </si>
  <si>
    <t>Discount on Investments</t>
  </si>
  <si>
    <t>Loan Adjustments</t>
  </si>
  <si>
    <t>Originations</t>
  </si>
  <si>
    <t>Repayments</t>
  </si>
  <si>
    <t>CFFO</t>
  </si>
  <si>
    <t>Investments</t>
  </si>
  <si>
    <t>Funds Receivable</t>
  </si>
  <si>
    <t>Collateral</t>
  </si>
  <si>
    <t>CFFI</t>
  </si>
  <si>
    <t>Issuance</t>
  </si>
  <si>
    <t>Buyback</t>
  </si>
  <si>
    <t>Tax Withholdings</t>
  </si>
  <si>
    <t>Financing Arragements</t>
  </si>
  <si>
    <t>Customer Funds</t>
  </si>
  <si>
    <t>CFFF</t>
  </si>
  <si>
    <t>FX</t>
  </si>
  <si>
    <t>CIC</t>
  </si>
  <si>
    <t>Transactions</t>
  </si>
  <si>
    <t>Tranasction Revenue</t>
  </si>
  <si>
    <t>VAS Revenue</t>
  </si>
  <si>
    <t>Accounts</t>
  </si>
  <si>
    <t>L+SE</t>
  </si>
  <si>
    <t>Q125</t>
  </si>
  <si>
    <t>Q225</t>
  </si>
  <si>
    <t>Q325</t>
  </si>
  <si>
    <t>Q425</t>
  </si>
  <si>
    <t>FCF</t>
  </si>
  <si>
    <t xml:space="preserve"> 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</si>
</sst>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9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 applyAlignment="1">
      <alignment horizontal="right"/>
    </xf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7A44FBD-EC87-45E1-BBBE-6A63EE7502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10018</xdr:colOff>
      <xdr:row>0</xdr:row>
      <xdr:rowOff>12051</xdr:rowOff>
    </xdr:from>
    <xdr:to>
      <xdr:col>26</xdr:col>
      <xdr:colOff>10018</xdr:colOff>
      <xdr:row>96</xdr:row>
      <xdr:rowOff>148828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C3EBC1-B683-130A-9C99-2C18DCF1CF0A}"/>
            </a:ext>
          </a:extLst>
        </xdr:cNvPr>
        <xdr:cNvCxnSpPr/>
      </xdr:nvCxnSpPr>
      <xdr:spPr>
        <a:xfrm>
          <a:off x="16166799" y="12051"/>
          <a:ext cx="0" cy="155672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638F1B7-E2AF-467F-B83C-DE23294646C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9" dT="2023-05-11T02:04:41.45" personId="{F638F1B7-E2AF-467F-B83C-DE23294646CE}" id="{774D2F1E-BB2E-4780-A52B-4E03D3C621F7}">
    <text>+7.5-8.0% FXN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C1F2-1B95-4A2D-94EF-7F01AC3D39CD}">
  <dimension ref="L2:N7"/>
  <sheetViews>
    <sheetView tabSelected="1" zoomScale="130" zoomScaleNormal="130" workbookViewId="0">
      <selection activeCell="N4" sqref="N4"/>
    </sheetView>
  </sheetViews>
  <sheetFormatPr defaultRowHeight="12.5" x14ac:dyDescent="0.25"/>
  <sheetData>
    <row r="2" spans="12:14" x14ac:dyDescent="0.25">
      <c r="L2" t="s">
        <v>0</v>
      </c>
      <c r="M2">
        <v>79.12</v>
      </c>
    </row>
    <row r="3" spans="12:14" x14ac:dyDescent="0.25">
      <c r="L3" t="s">
        <v>1</v>
      </c>
      <c r="M3" s="4">
        <v>1014</v>
      </c>
      <c r="N3" s="1" t="s">
        <v>60</v>
      </c>
    </row>
    <row r="4" spans="12:14" x14ac:dyDescent="0.25">
      <c r="L4" t="s">
        <v>2</v>
      </c>
      <c r="M4" s="4">
        <f>M2*M3</f>
        <v>80227.680000000008</v>
      </c>
    </row>
    <row r="5" spans="12:14" x14ac:dyDescent="0.25">
      <c r="L5" t="s">
        <v>3</v>
      </c>
      <c r="M5" s="4">
        <v>15406</v>
      </c>
      <c r="N5" s="1" t="s">
        <v>60</v>
      </c>
    </row>
    <row r="6" spans="12:14" x14ac:dyDescent="0.25">
      <c r="L6" t="s">
        <v>4</v>
      </c>
      <c r="M6" s="4">
        <v>9879</v>
      </c>
      <c r="N6" s="1" t="s">
        <v>60</v>
      </c>
    </row>
    <row r="7" spans="12:14" x14ac:dyDescent="0.25">
      <c r="L7" t="s">
        <v>5</v>
      </c>
      <c r="M7" s="4">
        <f>M4-M5+M6</f>
        <v>74700.680000000008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DD04-3742-4652-B3CF-AD5D3283DE29}">
  <dimension ref="A1:BE91"/>
  <sheetViews>
    <sheetView zoomScale="160" zoomScaleNormal="16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D26" sqref="AD26"/>
    </sheetView>
  </sheetViews>
  <sheetFormatPr defaultRowHeight="12.5" x14ac:dyDescent="0.25"/>
  <cols>
    <col min="1" max="1" width="5" bestFit="1" customWidth="1"/>
    <col min="2" max="2" width="18.7265625" customWidth="1"/>
    <col min="3" max="14" width="9.1796875" style="1"/>
  </cols>
  <sheetData>
    <row r="1" spans="1:57" x14ac:dyDescent="0.25">
      <c r="A1" s="2" t="s">
        <v>27</v>
      </c>
    </row>
    <row r="2" spans="1:57" x14ac:dyDescent="0.2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57</v>
      </c>
      <c r="X2" s="1" t="s">
        <v>58</v>
      </c>
      <c r="Y2" s="1" t="s">
        <v>59</v>
      </c>
      <c r="Z2" s="1" t="s">
        <v>60</v>
      </c>
      <c r="AA2" s="1" t="s">
        <v>91</v>
      </c>
      <c r="AB2" s="1" t="s">
        <v>92</v>
      </c>
      <c r="AC2" s="1" t="s">
        <v>93</v>
      </c>
      <c r="AD2" s="1" t="s">
        <v>94</v>
      </c>
      <c r="AI2">
        <v>2020</v>
      </c>
      <c r="AJ2">
        <f>+AI2+1</f>
        <v>2021</v>
      </c>
      <c r="AK2">
        <f t="shared" ref="AK2:BE2" si="0">+AJ2+1</f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si="0"/>
        <v>2036</v>
      </c>
      <c r="AZ2">
        <f t="shared" si="0"/>
        <v>2037</v>
      </c>
      <c r="BA2">
        <f t="shared" si="0"/>
        <v>2038</v>
      </c>
      <c r="BB2">
        <f t="shared" si="0"/>
        <v>2039</v>
      </c>
      <c r="BC2">
        <f t="shared" si="0"/>
        <v>2040</v>
      </c>
      <c r="BD2">
        <f t="shared" si="0"/>
        <v>2041</v>
      </c>
      <c r="BE2">
        <f t="shared" si="0"/>
        <v>2042</v>
      </c>
    </row>
    <row r="3" spans="1:57" s="4" customFormat="1" x14ac:dyDescent="0.25">
      <c r="B3" s="4" t="s">
        <v>56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>
        <v>309910</v>
      </c>
      <c r="N3" s="11">
        <v>339530</v>
      </c>
      <c r="O3" s="11">
        <v>322981</v>
      </c>
      <c r="P3" s="11">
        <v>339791</v>
      </c>
      <c r="Q3" s="11">
        <v>336973</v>
      </c>
      <c r="R3" s="11">
        <v>357378</v>
      </c>
      <c r="S3" s="11">
        <v>354508</v>
      </c>
      <c r="T3" s="4">
        <v>376538</v>
      </c>
      <c r="U3" s="11">
        <v>387701</v>
      </c>
      <c r="V3" s="11">
        <v>409832</v>
      </c>
      <c r="W3" s="4">
        <v>403860</v>
      </c>
      <c r="X3" s="4">
        <v>416814</v>
      </c>
      <c r="Y3" s="4">
        <v>422641</v>
      </c>
      <c r="Z3" s="4">
        <v>437836</v>
      </c>
    </row>
    <row r="4" spans="1:57" s="4" customFormat="1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57" s="4" customFormat="1" x14ac:dyDescent="0.25">
      <c r="B5" s="4" t="s">
        <v>89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>
        <v>431</v>
      </c>
      <c r="U5" s="11">
        <v>428</v>
      </c>
      <c r="V5" s="11">
        <v>426</v>
      </c>
      <c r="W5" s="4">
        <v>427</v>
      </c>
      <c r="X5" s="4">
        <v>429</v>
      </c>
      <c r="Y5" s="4">
        <v>432</v>
      </c>
      <c r="Z5" s="4">
        <v>434</v>
      </c>
    </row>
    <row r="6" spans="1:57" s="4" customFormat="1" x14ac:dyDescent="0.25">
      <c r="B6" s="4" t="s">
        <v>86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>
        <v>6074</v>
      </c>
      <c r="U6" s="11">
        <v>6275</v>
      </c>
      <c r="V6" s="11">
        <v>6798</v>
      </c>
      <c r="W6" s="4">
        <v>6505</v>
      </c>
      <c r="X6" s="4">
        <v>6580</v>
      </c>
      <c r="Y6" s="4">
        <v>6631</v>
      </c>
      <c r="Z6" s="4">
        <v>6619</v>
      </c>
    </row>
    <row r="7" spans="1:57" x14ac:dyDescent="0.25">
      <c r="O7" s="1"/>
      <c r="P7" s="1"/>
      <c r="Q7" s="1"/>
      <c r="R7" s="1"/>
      <c r="S7" s="1"/>
      <c r="T7" s="1"/>
      <c r="U7" s="1"/>
      <c r="V7" s="1"/>
    </row>
    <row r="8" spans="1:57" s="4" customFormat="1" x14ac:dyDescent="0.25">
      <c r="B8" s="4" t="s">
        <v>87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>
        <v>6556</v>
      </c>
      <c r="U8" s="11">
        <v>6654</v>
      </c>
      <c r="V8" s="11">
        <v>7283</v>
      </c>
      <c r="W8" s="4">
        <v>7034</v>
      </c>
      <c r="X8" s="4">
        <v>7153</v>
      </c>
      <c r="Y8" s="4">
        <v>7067</v>
      </c>
      <c r="Z8" s="4">
        <v>7588</v>
      </c>
    </row>
    <row r="9" spans="1:57" s="4" customFormat="1" x14ac:dyDescent="0.25">
      <c r="B9" s="4" t="s">
        <v>88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731</v>
      </c>
      <c r="U9" s="11">
        <v>764</v>
      </c>
      <c r="V9" s="11">
        <v>743</v>
      </c>
      <c r="W9" s="11">
        <v>665</v>
      </c>
      <c r="X9" s="11">
        <v>732</v>
      </c>
      <c r="Y9" s="4">
        <v>780</v>
      </c>
      <c r="Z9" s="4">
        <v>778</v>
      </c>
    </row>
    <row r="10" spans="1:57" s="8" customFormat="1" ht="13" x14ac:dyDescent="0.3">
      <c r="B10" s="8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6182</v>
      </c>
      <c r="N10" s="8">
        <v>6918</v>
      </c>
      <c r="O10" s="8">
        <v>6483</v>
      </c>
      <c r="Q10" s="8">
        <v>6846</v>
      </c>
      <c r="R10" s="8">
        <v>7383</v>
      </c>
      <c r="S10" s="8">
        <v>7040</v>
      </c>
      <c r="T10" s="8">
        <f t="shared" ref="T10:AD10" si="1">+T8+T9</f>
        <v>7287</v>
      </c>
      <c r="U10" s="8">
        <f t="shared" si="1"/>
        <v>7418</v>
      </c>
      <c r="V10" s="8">
        <f t="shared" si="1"/>
        <v>8026</v>
      </c>
      <c r="W10" s="8">
        <f t="shared" si="1"/>
        <v>7699</v>
      </c>
      <c r="X10" s="8">
        <f t="shared" si="1"/>
        <v>7885</v>
      </c>
      <c r="Y10" s="8">
        <f t="shared" si="1"/>
        <v>7847</v>
      </c>
      <c r="Z10" s="8">
        <f t="shared" si="1"/>
        <v>8366</v>
      </c>
      <c r="AA10" s="8">
        <f t="shared" si="1"/>
        <v>0</v>
      </c>
      <c r="AB10" s="8">
        <f t="shared" si="1"/>
        <v>0</v>
      </c>
      <c r="AC10" s="8">
        <f t="shared" si="1"/>
        <v>0</v>
      </c>
      <c r="AD10" s="8">
        <f t="shared" si="1"/>
        <v>0</v>
      </c>
    </row>
    <row r="11" spans="1:57" x14ac:dyDescent="0.25">
      <c r="B11" t="s">
        <v>30</v>
      </c>
      <c r="M11" s="4">
        <v>2564</v>
      </c>
      <c r="N11" s="4">
        <v>2952</v>
      </c>
      <c r="O11" s="4">
        <v>2817</v>
      </c>
      <c r="Q11" s="4">
        <v>2988</v>
      </c>
      <c r="R11" s="4">
        <v>3324</v>
      </c>
      <c r="S11" s="4">
        <v>3283</v>
      </c>
      <c r="T11" s="4">
        <v>3541</v>
      </c>
      <c r="U11" s="4">
        <v>3603</v>
      </c>
      <c r="V11" s="4">
        <v>3958</v>
      </c>
      <c r="W11" s="4">
        <v>3917</v>
      </c>
      <c r="X11" s="4">
        <v>3942</v>
      </c>
      <c r="Y11" s="4">
        <v>3841</v>
      </c>
      <c r="Z11" s="4">
        <v>3997</v>
      </c>
    </row>
    <row r="12" spans="1:57" x14ac:dyDescent="0.25">
      <c r="B12" t="s">
        <v>31</v>
      </c>
      <c r="M12" s="4">
        <v>268</v>
      </c>
      <c r="N12" s="4">
        <v>350</v>
      </c>
      <c r="O12" s="4">
        <v>369</v>
      </c>
      <c r="Q12" s="4">
        <v>367</v>
      </c>
      <c r="R12" s="4">
        <v>388</v>
      </c>
      <c r="S12" s="1">
        <v>442</v>
      </c>
      <c r="T12" s="4">
        <v>398</v>
      </c>
      <c r="U12" s="4">
        <v>446</v>
      </c>
      <c r="V12" s="4">
        <v>396</v>
      </c>
      <c r="W12" s="4">
        <v>321</v>
      </c>
      <c r="X12" s="4">
        <v>335</v>
      </c>
      <c r="Y12" s="4">
        <v>352</v>
      </c>
      <c r="Z12" s="4">
        <v>434</v>
      </c>
    </row>
    <row r="13" spans="1:57" x14ac:dyDescent="0.25">
      <c r="B13" t="s">
        <v>29</v>
      </c>
      <c r="M13" s="4">
        <f>M10-M11-M12</f>
        <v>3350</v>
      </c>
      <c r="N13" s="4">
        <f>N10-N11-N12</f>
        <v>3616</v>
      </c>
      <c r="O13" s="4">
        <f>O10-O11-O12</f>
        <v>3297</v>
      </c>
      <c r="Q13" s="4">
        <f>Q10-Q11-Q12</f>
        <v>3491</v>
      </c>
      <c r="R13" s="4">
        <f>R10-R11-R12</f>
        <v>3671</v>
      </c>
      <c r="S13" s="4">
        <f>S10-S11-S12</f>
        <v>3315</v>
      </c>
      <c r="T13" s="4">
        <f t="shared" ref="T13:W13" si="2">+T10-T11-T12</f>
        <v>3348</v>
      </c>
      <c r="U13" s="4">
        <f t="shared" si="2"/>
        <v>3369</v>
      </c>
      <c r="V13" s="4">
        <f t="shared" si="2"/>
        <v>3672</v>
      </c>
      <c r="W13" s="4">
        <f t="shared" si="2"/>
        <v>3461</v>
      </c>
      <c r="X13" s="4">
        <f>+X10-X11-X12</f>
        <v>3608</v>
      </c>
      <c r="Y13" s="4">
        <f>+Y10-Y11-Y12</f>
        <v>3654</v>
      </c>
      <c r="Z13" s="4">
        <f>+Z10-Z11-Z12</f>
        <v>3935</v>
      </c>
    </row>
    <row r="14" spans="1:57" x14ac:dyDescent="0.25">
      <c r="B14" t="s">
        <v>34</v>
      </c>
      <c r="M14" s="4">
        <v>504</v>
      </c>
      <c r="N14" s="4">
        <v>532</v>
      </c>
      <c r="O14" s="4">
        <v>534</v>
      </c>
      <c r="Q14" s="4">
        <v>509</v>
      </c>
      <c r="R14" s="4">
        <v>541</v>
      </c>
      <c r="S14" s="4">
        <v>488</v>
      </c>
      <c r="T14" s="4">
        <v>492</v>
      </c>
      <c r="U14" s="4">
        <v>474</v>
      </c>
      <c r="V14" s="4">
        <v>465</v>
      </c>
      <c r="W14" s="4">
        <v>454</v>
      </c>
      <c r="X14" s="4">
        <v>436</v>
      </c>
      <c r="Y14" s="4">
        <v>427</v>
      </c>
      <c r="Z14" s="4">
        <v>451</v>
      </c>
    </row>
    <row r="15" spans="1:57" x14ac:dyDescent="0.25">
      <c r="B15" t="s">
        <v>35</v>
      </c>
      <c r="M15" s="4">
        <v>549</v>
      </c>
      <c r="N15" s="4">
        <v>666</v>
      </c>
      <c r="O15" s="4">
        <v>594</v>
      </c>
      <c r="Q15" s="4">
        <v>544</v>
      </c>
      <c r="R15" s="4">
        <v>524</v>
      </c>
      <c r="S15" s="4">
        <v>436</v>
      </c>
      <c r="T15" s="4">
        <v>465</v>
      </c>
      <c r="U15" s="4">
        <v>442</v>
      </c>
      <c r="V15" s="4">
        <v>466</v>
      </c>
      <c r="W15" s="4">
        <v>421</v>
      </c>
      <c r="X15" s="4">
        <v>446</v>
      </c>
      <c r="Y15" s="4">
        <v>508</v>
      </c>
      <c r="Z15" s="4">
        <v>626</v>
      </c>
    </row>
    <row r="16" spans="1:57" x14ac:dyDescent="0.25">
      <c r="B16" t="s">
        <v>36</v>
      </c>
      <c r="M16" s="4">
        <v>755</v>
      </c>
      <c r="N16" s="4">
        <v>796</v>
      </c>
      <c r="O16" s="4">
        <v>815</v>
      </c>
      <c r="Q16" s="4">
        <v>801</v>
      </c>
      <c r="R16" s="4">
        <v>822</v>
      </c>
      <c r="S16" s="4">
        <v>721</v>
      </c>
      <c r="T16" s="4">
        <v>743</v>
      </c>
      <c r="U16" s="4">
        <v>739</v>
      </c>
      <c r="V16" s="4">
        <v>770</v>
      </c>
      <c r="W16" s="4">
        <v>742</v>
      </c>
      <c r="X16" s="4">
        <v>718</v>
      </c>
      <c r="Y16" s="4">
        <v>746</v>
      </c>
      <c r="Z16" s="4">
        <v>773</v>
      </c>
    </row>
    <row r="17" spans="2:26" x14ac:dyDescent="0.25">
      <c r="B17" t="s">
        <v>37</v>
      </c>
      <c r="M17" s="4">
        <v>498</v>
      </c>
      <c r="N17" s="4">
        <v>570</v>
      </c>
      <c r="O17" s="4">
        <v>607</v>
      </c>
      <c r="Q17" s="4">
        <v>463</v>
      </c>
      <c r="R17" s="4">
        <v>515</v>
      </c>
      <c r="S17" s="4">
        <v>507</v>
      </c>
      <c r="T17" s="4">
        <v>491</v>
      </c>
      <c r="U17" s="4">
        <v>507</v>
      </c>
      <c r="V17" s="4">
        <v>554</v>
      </c>
      <c r="W17" s="4">
        <v>464</v>
      </c>
      <c r="X17" s="4">
        <v>570</v>
      </c>
      <c r="Y17" s="4">
        <v>519</v>
      </c>
      <c r="Z17" s="4">
        <v>594</v>
      </c>
    </row>
    <row r="18" spans="2:26" x14ac:dyDescent="0.25">
      <c r="B18" t="s">
        <v>32</v>
      </c>
      <c r="M18" s="4">
        <f>SUM(M14:M17)</f>
        <v>2306</v>
      </c>
      <c r="N18" s="4">
        <f>SUM(N14:N17)</f>
        <v>2564</v>
      </c>
      <c r="O18" s="4">
        <f>SUM(O14:O17)</f>
        <v>2550</v>
      </c>
      <c r="Q18" s="4">
        <f>SUM(Q14:Q17)</f>
        <v>2317</v>
      </c>
      <c r="R18" s="4">
        <f>SUM(R14:R17)</f>
        <v>2402</v>
      </c>
      <c r="S18" s="4">
        <f>SUM(S14:S17)</f>
        <v>2152</v>
      </c>
      <c r="T18" s="4">
        <f t="shared" ref="T18:Y18" si="3">SUM(T14:T17)</f>
        <v>2191</v>
      </c>
      <c r="U18" s="4">
        <f t="shared" si="3"/>
        <v>2162</v>
      </c>
      <c r="V18" s="4">
        <f t="shared" si="3"/>
        <v>2255</v>
      </c>
      <c r="W18" s="4">
        <f t="shared" si="3"/>
        <v>2081</v>
      </c>
      <c r="X18" s="4">
        <f t="shared" si="3"/>
        <v>2170</v>
      </c>
      <c r="Y18" s="4">
        <f t="shared" si="3"/>
        <v>2200</v>
      </c>
      <c r="Z18" s="4">
        <f t="shared" ref="Z18" si="4">SUM(Z14:Z17)</f>
        <v>2444</v>
      </c>
    </row>
    <row r="19" spans="2:26" x14ac:dyDescent="0.25">
      <c r="B19" t="s">
        <v>33</v>
      </c>
      <c r="M19" s="4">
        <f>M13-M18</f>
        <v>1044</v>
      </c>
      <c r="N19" s="4">
        <f>N13-N18</f>
        <v>1052</v>
      </c>
      <c r="O19" s="4">
        <f>O13-O18</f>
        <v>747</v>
      </c>
      <c r="Q19" s="4">
        <f>Q13-Q18</f>
        <v>1174</v>
      </c>
      <c r="R19" s="4">
        <f>R13-R18</f>
        <v>1269</v>
      </c>
      <c r="S19" s="4">
        <f>S13-S18</f>
        <v>1163</v>
      </c>
      <c r="T19" s="4">
        <f t="shared" ref="T19:Y19" si="5">T13-T18</f>
        <v>1157</v>
      </c>
      <c r="U19" s="4">
        <f t="shared" si="5"/>
        <v>1207</v>
      </c>
      <c r="V19" s="4">
        <f t="shared" si="5"/>
        <v>1417</v>
      </c>
      <c r="W19" s="4">
        <f t="shared" si="5"/>
        <v>1380</v>
      </c>
      <c r="X19" s="4">
        <f t="shared" si="5"/>
        <v>1438</v>
      </c>
      <c r="Y19" s="4">
        <f t="shared" si="5"/>
        <v>1454</v>
      </c>
      <c r="Z19" s="4">
        <f t="shared" ref="Z19" si="6">Z13-Z18</f>
        <v>1491</v>
      </c>
    </row>
    <row r="20" spans="2:26" x14ac:dyDescent="0.25">
      <c r="B20" t="s">
        <v>38</v>
      </c>
      <c r="M20" s="1">
        <v>122</v>
      </c>
      <c r="N20" s="1">
        <v>-344</v>
      </c>
      <c r="O20" s="4">
        <v>-82</v>
      </c>
      <c r="Q20" s="4">
        <v>460</v>
      </c>
      <c r="R20" s="4">
        <v>-134</v>
      </c>
      <c r="S20" s="4">
        <v>75</v>
      </c>
      <c r="T20" s="4">
        <v>170</v>
      </c>
      <c r="U20" s="4">
        <v>73</v>
      </c>
      <c r="V20" s="4">
        <v>65</v>
      </c>
      <c r="W20" s="4">
        <v>41</v>
      </c>
      <c r="X20" s="4">
        <v>74</v>
      </c>
      <c r="Y20" s="4">
        <v>-80</v>
      </c>
      <c r="Z20" s="4">
        <v>-31</v>
      </c>
    </row>
    <row r="21" spans="2:26" x14ac:dyDescent="0.25">
      <c r="B21" t="s">
        <v>42</v>
      </c>
      <c r="M21" s="4">
        <f>M19+M20</f>
        <v>1166</v>
      </c>
      <c r="N21" s="4">
        <f>N19+N20</f>
        <v>708</v>
      </c>
      <c r="O21" s="4">
        <f>O19+O20</f>
        <v>665</v>
      </c>
      <c r="Q21" s="4">
        <f>Q19+Q20</f>
        <v>1634</v>
      </c>
      <c r="R21" s="4">
        <f>R19+R20</f>
        <v>1135</v>
      </c>
      <c r="S21" s="4">
        <f>S19+S20</f>
        <v>1238</v>
      </c>
      <c r="T21" s="4">
        <f t="shared" ref="T21:W21" si="7">+T19+T20</f>
        <v>1327</v>
      </c>
      <c r="U21" s="4">
        <f t="shared" si="7"/>
        <v>1280</v>
      </c>
      <c r="V21" s="4">
        <f t="shared" si="7"/>
        <v>1482</v>
      </c>
      <c r="W21" s="4">
        <f t="shared" si="7"/>
        <v>1421</v>
      </c>
      <c r="X21" s="4">
        <f>+X19+X20</f>
        <v>1512</v>
      </c>
      <c r="Y21" s="4">
        <f>+Y19+Y20</f>
        <v>1374</v>
      </c>
      <c r="Z21" s="4">
        <f>+Z19+Z20</f>
        <v>1460</v>
      </c>
    </row>
    <row r="22" spans="2:26" x14ac:dyDescent="0.25">
      <c r="B22" t="s">
        <v>41</v>
      </c>
      <c r="M22">
        <v>78</v>
      </c>
      <c r="N22">
        <v>0</v>
      </c>
      <c r="O22">
        <v>120</v>
      </c>
      <c r="Q22">
        <v>248</v>
      </c>
      <c r="R22">
        <v>189</v>
      </c>
      <c r="S22">
        <v>279</v>
      </c>
      <c r="T22" s="4">
        <v>274</v>
      </c>
      <c r="U22" s="4">
        <v>221</v>
      </c>
      <c r="V22" s="4">
        <v>391</v>
      </c>
      <c r="W22" s="4">
        <v>321</v>
      </c>
      <c r="X22" s="4">
        <v>271</v>
      </c>
      <c r="Y22" s="4">
        <v>301</v>
      </c>
      <c r="Z22">
        <v>289</v>
      </c>
    </row>
    <row r="23" spans="2:26" x14ac:dyDescent="0.25">
      <c r="B23" t="s">
        <v>40</v>
      </c>
      <c r="M23" s="4">
        <f>M21-M22</f>
        <v>1088</v>
      </c>
      <c r="N23" s="4">
        <f>N21-N22</f>
        <v>708</v>
      </c>
      <c r="O23" s="4">
        <f>O21-O22</f>
        <v>545</v>
      </c>
      <c r="Q23" s="4">
        <f>Q21-Q22</f>
        <v>1386</v>
      </c>
      <c r="R23" s="4">
        <f>R21-R22</f>
        <v>946</v>
      </c>
      <c r="S23" s="4">
        <f>S21-S22</f>
        <v>959</v>
      </c>
      <c r="T23" s="4">
        <f t="shared" ref="T23:W23" si="8">+T21-T22</f>
        <v>1053</v>
      </c>
      <c r="U23" s="4">
        <f t="shared" si="8"/>
        <v>1059</v>
      </c>
      <c r="V23" s="4">
        <f t="shared" si="8"/>
        <v>1091</v>
      </c>
      <c r="W23" s="4">
        <f t="shared" si="8"/>
        <v>1100</v>
      </c>
      <c r="X23" s="4">
        <f>+X21-X22</f>
        <v>1241</v>
      </c>
      <c r="Y23" s="4">
        <f>+Y21-Y22</f>
        <v>1073</v>
      </c>
      <c r="Z23" s="4">
        <f>+Z21-Z22</f>
        <v>1171</v>
      </c>
    </row>
    <row r="24" spans="2:26" x14ac:dyDescent="0.25">
      <c r="B24" t="s">
        <v>39</v>
      </c>
      <c r="M24" s="5">
        <f>M23/M25</f>
        <v>0.91659646166807074</v>
      </c>
      <c r="N24" s="5">
        <f>N23/N25</f>
        <v>0.59847844463229083</v>
      </c>
      <c r="O24" s="5">
        <f>O23/O25</f>
        <v>0.46501706484641636</v>
      </c>
      <c r="Q24" s="5">
        <f>Q23/Q25</f>
        <v>1.1979256698357823</v>
      </c>
      <c r="R24" s="5">
        <f>R23/R25</f>
        <v>0.82692307692307687</v>
      </c>
      <c r="S24" s="5">
        <f>S23/S25</f>
        <v>0.84567901234567899</v>
      </c>
      <c r="T24" s="5">
        <f t="shared" ref="T24:W24" si="9">T23/T25</f>
        <v>0.94524236983842014</v>
      </c>
      <c r="U24" s="5">
        <f t="shared" si="9"/>
        <v>0.96448087431693985</v>
      </c>
      <c r="V24" s="5">
        <f t="shared" si="9"/>
        <v>1.0064575645756457</v>
      </c>
      <c r="W24" s="5">
        <f t="shared" si="9"/>
        <v>1.0261194029850746</v>
      </c>
      <c r="X24" s="5">
        <f>X23/X25</f>
        <v>1.1852913085004775</v>
      </c>
      <c r="Y24" s="5">
        <f>Y23/Y25</f>
        <v>1.0478515625</v>
      </c>
      <c r="Z24" s="5">
        <f>Z23/Z25</f>
        <v>1.1548323471400395</v>
      </c>
    </row>
    <row r="25" spans="2:26" x14ac:dyDescent="0.25">
      <c r="B25" t="s">
        <v>1</v>
      </c>
      <c r="M25" s="4">
        <v>1187</v>
      </c>
      <c r="N25" s="4">
        <v>1183</v>
      </c>
      <c r="O25" s="4">
        <v>1172</v>
      </c>
      <c r="Q25" s="4">
        <v>1157</v>
      </c>
      <c r="R25" s="4">
        <v>1144</v>
      </c>
      <c r="S25" s="4">
        <v>1134</v>
      </c>
      <c r="T25" s="4">
        <v>1114</v>
      </c>
      <c r="U25" s="4">
        <v>1098</v>
      </c>
      <c r="V25" s="4">
        <v>1084</v>
      </c>
      <c r="W25" s="4">
        <v>1072</v>
      </c>
      <c r="X25" s="4">
        <v>1047</v>
      </c>
      <c r="Y25" s="4">
        <v>1024</v>
      </c>
      <c r="Z25" s="4">
        <v>1014</v>
      </c>
    </row>
    <row r="29" spans="2:26" s="6" customFormat="1" ht="13" x14ac:dyDescent="0.3">
      <c r="B29" s="6" t="s">
        <v>28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Q29" s="10">
        <f>Q10/M10-1</f>
        <v>0.10740860562924626</v>
      </c>
      <c r="R29" s="10">
        <f>R10/N10-1</f>
        <v>6.7215958369470918E-2</v>
      </c>
      <c r="S29" s="10">
        <f>S10/O10-1</f>
        <v>8.5917013728212144E-2</v>
      </c>
      <c r="T29" s="10" t="e">
        <f>T10/P10-1</f>
        <v>#DIV/0!</v>
      </c>
      <c r="U29" s="10">
        <f t="shared" ref="U29:W29" si="10">+U10/Q10-1</f>
        <v>8.3552439380660148E-2</v>
      </c>
      <c r="V29" s="10">
        <f t="shared" si="10"/>
        <v>8.7091968034674228E-2</v>
      </c>
      <c r="W29" s="10">
        <f t="shared" si="10"/>
        <v>9.3607954545454453E-2</v>
      </c>
      <c r="X29" s="10">
        <f>+X10/T10-1</f>
        <v>8.2063949499108002E-2</v>
      </c>
      <c r="Y29" s="10">
        <f>+Y10/U10-1</f>
        <v>5.7832299811269916E-2</v>
      </c>
      <c r="Z29" s="10">
        <f>+Z10/V10-1</f>
        <v>4.2362322452030865E-2</v>
      </c>
    </row>
    <row r="30" spans="2:26" s="6" customFormat="1" ht="13" x14ac:dyDescent="0.3">
      <c r="B30" s="6" t="s">
        <v>61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Q30" s="10">
        <f t="shared" ref="Q30:W30" si="11">+Q3/M3-1</f>
        <v>8.7325352521699928E-2</v>
      </c>
      <c r="R30" s="10">
        <f t="shared" si="11"/>
        <v>5.2566783494831126E-2</v>
      </c>
      <c r="S30" s="10">
        <f t="shared" si="11"/>
        <v>9.7612553060396845E-2</v>
      </c>
      <c r="T30" s="10">
        <f t="shared" si="11"/>
        <v>0.10814588967924399</v>
      </c>
      <c r="U30" s="10">
        <f t="shared" si="11"/>
        <v>0.15054025099933832</v>
      </c>
      <c r="V30" s="10">
        <f t="shared" si="11"/>
        <v>0.14677456362730767</v>
      </c>
      <c r="W30" s="10">
        <f t="shared" si="11"/>
        <v>0.1392126552856352</v>
      </c>
      <c r="X30" s="10">
        <f>+X3/T3-1</f>
        <v>0.10696397176380601</v>
      </c>
      <c r="Y30" s="10">
        <f>+Y3/U3-1</f>
        <v>9.0120995303081486E-2</v>
      </c>
      <c r="Z30" s="10">
        <f>+Z3/V3-1</f>
        <v>6.8330437837943458E-2</v>
      </c>
    </row>
    <row r="31" spans="2:26" x14ac:dyDescent="0.25">
      <c r="B31" t="s">
        <v>29</v>
      </c>
      <c r="M31" s="3">
        <f>M13/M10</f>
        <v>0.54189582659333546</v>
      </c>
      <c r="N31" s="3">
        <f>N13/N10</f>
        <v>0.52269442035270308</v>
      </c>
      <c r="O31" s="3">
        <f>O13/O10</f>
        <v>0.5085608514576585</v>
      </c>
      <c r="Q31" s="3">
        <f>Q13/Q10</f>
        <v>0.50993280747881975</v>
      </c>
      <c r="R31" s="3">
        <f t="shared" ref="R31:Y31" si="12">+R13/R10</f>
        <v>0.49722335094135173</v>
      </c>
      <c r="S31" s="3">
        <f t="shared" si="12"/>
        <v>0.47088068181818182</v>
      </c>
      <c r="T31" s="3">
        <f t="shared" si="12"/>
        <v>0.45944833264717994</v>
      </c>
      <c r="U31" s="3">
        <f t="shared" si="12"/>
        <v>0.45416554327311942</v>
      </c>
      <c r="V31" s="3">
        <f t="shared" si="12"/>
        <v>0.45751308248193373</v>
      </c>
      <c r="W31" s="3">
        <f t="shared" si="12"/>
        <v>0.44953890115599426</v>
      </c>
      <c r="X31" s="3">
        <f t="shared" si="12"/>
        <v>0.45757767913760306</v>
      </c>
      <c r="Y31" s="3">
        <f t="shared" si="12"/>
        <v>0.46565566458519181</v>
      </c>
      <c r="Z31" s="3">
        <f>+Z13/Z10</f>
        <v>0.47035620368156827</v>
      </c>
    </row>
    <row r="32" spans="2:26" x14ac:dyDescent="0.25">
      <c r="B32" t="s">
        <v>43</v>
      </c>
      <c r="M32" s="9">
        <f>M19/M10</f>
        <v>0.16887738595923649</v>
      </c>
      <c r="N32" s="9">
        <f>N19/N10</f>
        <v>0.15206707140792136</v>
      </c>
      <c r="O32" s="9">
        <f>O19/O10</f>
        <v>0.11522443313280889</v>
      </c>
      <c r="Q32" s="9">
        <f>Q19/Q10</f>
        <v>0.17148699970785861</v>
      </c>
      <c r="R32" s="9">
        <f>R19/R10</f>
        <v>0.1718813490451036</v>
      </c>
      <c r="S32" s="9">
        <f>S19/S10</f>
        <v>0.16519886363636363</v>
      </c>
      <c r="T32" s="9">
        <f t="shared" ref="T32:Z32" si="13">T19/T10</f>
        <v>0.15877590229175242</v>
      </c>
      <c r="U32" s="9">
        <f t="shared" si="13"/>
        <v>0.16271232138042599</v>
      </c>
      <c r="V32" s="9">
        <f t="shared" si="13"/>
        <v>0.17655120857214054</v>
      </c>
      <c r="W32" s="9">
        <f t="shared" si="13"/>
        <v>0.17924405766982726</v>
      </c>
      <c r="X32" s="9">
        <f t="shared" si="13"/>
        <v>0.18237159162967659</v>
      </c>
      <c r="Y32" s="9">
        <f t="shared" si="13"/>
        <v>0.18529374283165542</v>
      </c>
      <c r="Z32" s="9">
        <f t="shared" si="13"/>
        <v>0.1782213722208941</v>
      </c>
    </row>
    <row r="33" spans="2:26" x14ac:dyDescent="0.25">
      <c r="B33" t="s">
        <v>44</v>
      </c>
      <c r="M33" s="3">
        <f>M22/M21</f>
        <v>6.6895368782161235E-2</v>
      </c>
      <c r="N33" s="3">
        <f>N22/N21</f>
        <v>0</v>
      </c>
      <c r="O33" s="3">
        <f>O22/O21</f>
        <v>0.18045112781954886</v>
      </c>
      <c r="Q33" s="3">
        <f>Q22/Q21</f>
        <v>0.15177478580171358</v>
      </c>
      <c r="R33" s="3">
        <f>R22/R21</f>
        <v>0.16651982378854627</v>
      </c>
      <c r="S33" s="3">
        <f>S22/S21</f>
        <v>0.22536348949919224</v>
      </c>
      <c r="T33" s="3">
        <f t="shared" ref="T33:Z33" si="14">T22/T21</f>
        <v>0.20648078372268275</v>
      </c>
      <c r="U33" s="3">
        <f t="shared" si="14"/>
        <v>0.17265625000000001</v>
      </c>
      <c r="V33" s="3">
        <f t="shared" si="14"/>
        <v>0.26383265856950067</v>
      </c>
      <c r="W33" s="3">
        <f t="shared" si="14"/>
        <v>0.22589725545390571</v>
      </c>
      <c r="X33" s="3">
        <f t="shared" si="14"/>
        <v>0.17923280423280424</v>
      </c>
      <c r="Y33" s="3">
        <f t="shared" si="14"/>
        <v>0.2190684133915575</v>
      </c>
      <c r="Z33" s="3">
        <f t="shared" si="14"/>
        <v>0.19794520547945205</v>
      </c>
    </row>
    <row r="35" spans="2:26" x14ac:dyDescent="0.25">
      <c r="B35" t="s">
        <v>53</v>
      </c>
      <c r="R35" s="4">
        <f>R36-R49</f>
        <v>5469</v>
      </c>
      <c r="S35" s="4">
        <f>S36-S49</f>
        <v>0</v>
      </c>
      <c r="X35" s="4">
        <f>X36-X49</f>
        <v>8542</v>
      </c>
      <c r="Y35" s="4">
        <f>Y36-Y49</f>
        <v>0</v>
      </c>
      <c r="Z35" s="4">
        <f>Z36-Z49</f>
        <v>5527</v>
      </c>
    </row>
    <row r="36" spans="2:26" x14ac:dyDescent="0.25">
      <c r="B36" t="s">
        <v>3</v>
      </c>
      <c r="R36" s="4">
        <f>7776+3092+5018</f>
        <v>15886</v>
      </c>
      <c r="X36" s="4">
        <f>7701+5915+4653</f>
        <v>18269</v>
      </c>
      <c r="Z36" s="4">
        <f>6561+4262+4583</f>
        <v>15406</v>
      </c>
    </row>
    <row r="37" spans="2:26" x14ac:dyDescent="0.25">
      <c r="B37" t="s">
        <v>46</v>
      </c>
      <c r="R37" s="4">
        <v>963</v>
      </c>
      <c r="X37" s="4">
        <v>987</v>
      </c>
      <c r="Z37" s="4">
        <v>984</v>
      </c>
    </row>
    <row r="38" spans="2:26" x14ac:dyDescent="0.25">
      <c r="B38" t="s">
        <v>47</v>
      </c>
      <c r="R38" s="4">
        <v>7431</v>
      </c>
      <c r="X38" s="4">
        <f>369+5319</f>
        <v>5688</v>
      </c>
      <c r="Z38" s="4">
        <f>541+6422</f>
        <v>6963</v>
      </c>
    </row>
    <row r="39" spans="2:26" x14ac:dyDescent="0.25">
      <c r="B39" t="s">
        <v>48</v>
      </c>
      <c r="R39" s="4">
        <v>36357</v>
      </c>
      <c r="X39" s="4">
        <v>38727</v>
      </c>
      <c r="Z39" s="4">
        <v>37671</v>
      </c>
    </row>
    <row r="40" spans="2:26" x14ac:dyDescent="0.25">
      <c r="B40" t="s">
        <v>49</v>
      </c>
      <c r="R40" s="4">
        <v>1898</v>
      </c>
      <c r="X40" s="4">
        <v>3954</v>
      </c>
      <c r="Z40" s="4">
        <v>4651</v>
      </c>
    </row>
    <row r="41" spans="2:26" x14ac:dyDescent="0.25">
      <c r="B41" t="s">
        <v>50</v>
      </c>
      <c r="R41" s="4">
        <v>1730</v>
      </c>
      <c r="X41" s="4">
        <v>1459</v>
      </c>
      <c r="Z41" s="4">
        <v>1508</v>
      </c>
    </row>
    <row r="42" spans="2:26" x14ac:dyDescent="0.25">
      <c r="B42" t="s">
        <v>51</v>
      </c>
      <c r="R42" s="4">
        <f>11209+788</f>
        <v>11997</v>
      </c>
      <c r="X42" s="4">
        <f>10816+403</f>
        <v>11219</v>
      </c>
      <c r="Z42" s="4">
        <f>10837+326</f>
        <v>11163</v>
      </c>
    </row>
    <row r="43" spans="2:26" x14ac:dyDescent="0.25">
      <c r="B43" t="s">
        <v>52</v>
      </c>
      <c r="R43" s="4">
        <v>2455</v>
      </c>
      <c r="X43" s="4">
        <v>3713</v>
      </c>
      <c r="Z43" s="4">
        <v>3265</v>
      </c>
    </row>
    <row r="44" spans="2:26" x14ac:dyDescent="0.25">
      <c r="B44" t="s">
        <v>45</v>
      </c>
      <c r="R44" s="4">
        <f>SUM(R36:R43)</f>
        <v>78717</v>
      </c>
      <c r="X44" s="4">
        <f>SUM(X36:X43)</f>
        <v>84016</v>
      </c>
      <c r="Y44" s="4">
        <f>SUM(Y36:Y43)</f>
        <v>0</v>
      </c>
      <c r="Z44" s="4">
        <f>SUM(Z36:Z43)</f>
        <v>81611</v>
      </c>
    </row>
    <row r="46" spans="2:26" x14ac:dyDescent="0.25">
      <c r="B46" t="s">
        <v>54</v>
      </c>
      <c r="R46" s="4">
        <f>126+4055</f>
        <v>4181</v>
      </c>
      <c r="X46" s="4">
        <f>133+8853</f>
        <v>8986</v>
      </c>
      <c r="Z46" s="4">
        <f>227+8478</f>
        <v>8705</v>
      </c>
    </row>
    <row r="47" spans="2:26" x14ac:dyDescent="0.25">
      <c r="B47" t="s">
        <v>48</v>
      </c>
      <c r="R47" s="4">
        <v>40107</v>
      </c>
      <c r="X47" s="4">
        <v>41727</v>
      </c>
      <c r="Z47" s="4">
        <v>39671</v>
      </c>
    </row>
    <row r="48" spans="2:26" x14ac:dyDescent="0.25">
      <c r="B48" t="s">
        <v>41</v>
      </c>
      <c r="R48" s="4">
        <f>813+2925</f>
        <v>3738</v>
      </c>
      <c r="X48" s="4">
        <v>2954</v>
      </c>
      <c r="Z48" s="4">
        <v>2939</v>
      </c>
    </row>
    <row r="49" spans="2:26" x14ac:dyDescent="0.25">
      <c r="B49" t="s">
        <v>4</v>
      </c>
      <c r="R49" s="4">
        <v>10417</v>
      </c>
      <c r="X49" s="4">
        <v>9727</v>
      </c>
      <c r="Z49" s="4">
        <v>9879</v>
      </c>
    </row>
    <row r="50" spans="2:26" x14ac:dyDescent="0.25">
      <c r="B50" t="s">
        <v>55</v>
      </c>
      <c r="R50" s="4">
        <v>20274</v>
      </c>
      <c r="X50" s="4">
        <v>20622</v>
      </c>
      <c r="Z50" s="4">
        <v>20417</v>
      </c>
    </row>
    <row r="51" spans="2:26" x14ac:dyDescent="0.25">
      <c r="B51" t="s">
        <v>90</v>
      </c>
      <c r="R51" s="4">
        <f>SUM(R46:R50)</f>
        <v>78717</v>
      </c>
      <c r="X51" s="4">
        <f>SUM(X46:X50)</f>
        <v>84016</v>
      </c>
      <c r="Y51" s="4">
        <f>SUM(Y46:Y50)</f>
        <v>0</v>
      </c>
      <c r="Z51" s="4">
        <f>SUM(Z46:Z50)</f>
        <v>81611</v>
      </c>
    </row>
    <row r="53" spans="2:26" x14ac:dyDescent="0.25">
      <c r="B53" t="s">
        <v>62</v>
      </c>
      <c r="W53" s="4">
        <f>+W23</f>
        <v>1100</v>
      </c>
      <c r="X53" s="4">
        <f>+X23</f>
        <v>1241</v>
      </c>
      <c r="Y53" s="4">
        <f>+Y23</f>
        <v>1073</v>
      </c>
      <c r="Z53" s="4">
        <f>+Z23</f>
        <v>1171</v>
      </c>
    </row>
    <row r="54" spans="2:26" x14ac:dyDescent="0.25">
      <c r="B54" t="s">
        <v>63</v>
      </c>
      <c r="W54" s="4">
        <v>888</v>
      </c>
      <c r="X54" s="4">
        <v>1128</v>
      </c>
      <c r="Y54" s="4">
        <v>1010</v>
      </c>
      <c r="Z54" s="4">
        <v>1121</v>
      </c>
    </row>
    <row r="55" spans="2:26" x14ac:dyDescent="0.25">
      <c r="B55" t="s">
        <v>64</v>
      </c>
      <c r="W55" s="4">
        <v>321</v>
      </c>
      <c r="X55" s="4">
        <v>335</v>
      </c>
      <c r="Y55" s="4">
        <v>352</v>
      </c>
      <c r="Z55" s="4">
        <v>434</v>
      </c>
    </row>
    <row r="56" spans="2:26" x14ac:dyDescent="0.25">
      <c r="B56" t="s">
        <v>65</v>
      </c>
      <c r="W56" s="4">
        <v>265</v>
      </c>
      <c r="X56" s="4">
        <v>263</v>
      </c>
      <c r="Y56" s="4">
        <v>255</v>
      </c>
      <c r="Z56" s="4">
        <v>249</v>
      </c>
    </row>
    <row r="57" spans="2:26" x14ac:dyDescent="0.25">
      <c r="B57" t="s">
        <v>66</v>
      </c>
      <c r="W57" s="4">
        <v>365</v>
      </c>
      <c r="X57" s="4">
        <v>298</v>
      </c>
      <c r="Y57" s="4">
        <v>284</v>
      </c>
      <c r="Z57" s="4">
        <v>283</v>
      </c>
    </row>
    <row r="58" spans="2:26" x14ac:dyDescent="0.25">
      <c r="B58" t="s">
        <v>67</v>
      </c>
      <c r="W58" s="4">
        <v>52</v>
      </c>
      <c r="X58" s="4">
        <v>-23</v>
      </c>
      <c r="Y58" s="4">
        <v>-21</v>
      </c>
      <c r="Z58" s="4">
        <v>223</v>
      </c>
    </row>
    <row r="59" spans="2:26" x14ac:dyDescent="0.25">
      <c r="B59" t="s">
        <v>68</v>
      </c>
      <c r="W59" s="4">
        <v>49</v>
      </c>
      <c r="X59" s="4">
        <v>6</v>
      </c>
      <c r="Y59" s="4">
        <v>171</v>
      </c>
      <c r="Z59" s="4">
        <v>59</v>
      </c>
    </row>
    <row r="60" spans="2:26" x14ac:dyDescent="0.25">
      <c r="B60" t="s">
        <v>69</v>
      </c>
      <c r="W60" s="4">
        <v>-75</v>
      </c>
      <c r="X60" s="4">
        <v>-122</v>
      </c>
      <c r="Y60" s="4">
        <v>-93</v>
      </c>
      <c r="Z60" s="4">
        <v>-45</v>
      </c>
    </row>
    <row r="61" spans="2:26" x14ac:dyDescent="0.25">
      <c r="B61" t="s">
        <v>70</v>
      </c>
      <c r="W61" s="4">
        <v>37</v>
      </c>
      <c r="X61" s="4">
        <v>27</v>
      </c>
      <c r="Y61" s="4">
        <v>28</v>
      </c>
      <c r="Z61" s="4">
        <v>33</v>
      </c>
    </row>
    <row r="62" spans="2:26" x14ac:dyDescent="0.25">
      <c r="B62" t="s">
        <v>52</v>
      </c>
      <c r="W62" s="4">
        <v>13</v>
      </c>
      <c r="X62" s="4">
        <v>-55</v>
      </c>
      <c r="Y62" s="4">
        <v>-96</v>
      </c>
      <c r="Z62" s="4">
        <v>135</v>
      </c>
    </row>
    <row r="63" spans="2:26" x14ac:dyDescent="0.25">
      <c r="B63" t="s">
        <v>71</v>
      </c>
      <c r="W63" s="4">
        <v>-5345</v>
      </c>
      <c r="X63" s="4">
        <v>-5720</v>
      </c>
      <c r="Y63" s="4">
        <v>-6108</v>
      </c>
      <c r="Z63" s="4">
        <v>-7325</v>
      </c>
    </row>
    <row r="64" spans="2:26" x14ac:dyDescent="0.25">
      <c r="B64" t="s">
        <v>72</v>
      </c>
      <c r="W64" s="4">
        <v>5232</v>
      </c>
      <c r="X64" s="4">
        <v>5943</v>
      </c>
      <c r="Y64" s="4">
        <v>5984</v>
      </c>
      <c r="Z64" s="4">
        <v>7193</v>
      </c>
    </row>
    <row r="65" spans="2:26" x14ac:dyDescent="0.25">
      <c r="B65" t="s">
        <v>46</v>
      </c>
      <c r="W65" s="4">
        <v>-39</v>
      </c>
      <c r="X65" s="4">
        <v>121</v>
      </c>
      <c r="Y65" s="4">
        <v>-51</v>
      </c>
      <c r="Z65" s="4">
        <v>54</v>
      </c>
    </row>
    <row r="66" spans="2:26" x14ac:dyDescent="0.25">
      <c r="B66" t="s">
        <v>54</v>
      </c>
      <c r="W66" s="4">
        <v>-22</v>
      </c>
      <c r="X66" s="4">
        <v>11</v>
      </c>
      <c r="Y66" s="4">
        <v>35</v>
      </c>
      <c r="Z66" s="4">
        <v>59</v>
      </c>
    </row>
    <row r="67" spans="2:26" x14ac:dyDescent="0.25">
      <c r="B67" t="s">
        <v>52</v>
      </c>
      <c r="W67" s="4">
        <v>176</v>
      </c>
      <c r="X67" s="4">
        <v>-687</v>
      </c>
      <c r="Y67" s="4">
        <v>-136</v>
      </c>
      <c r="Z67" s="4">
        <v>-79</v>
      </c>
    </row>
    <row r="68" spans="2:26" x14ac:dyDescent="0.25">
      <c r="B68" t="s">
        <v>73</v>
      </c>
      <c r="W68" s="4">
        <f>SUM(W54:W67)</f>
        <v>1917</v>
      </c>
      <c r="X68" s="4">
        <f>SUM(X54:X67)</f>
        <v>1525</v>
      </c>
      <c r="Y68" s="4">
        <f>SUM(Y54:Y67)</f>
        <v>1614</v>
      </c>
      <c r="Z68" s="4">
        <f>SUM(Z54:Z67)</f>
        <v>2394</v>
      </c>
    </row>
    <row r="69" spans="2:26" x14ac:dyDescent="0.25">
      <c r="W69" s="4"/>
      <c r="X69" s="4"/>
    </row>
    <row r="70" spans="2:26" x14ac:dyDescent="0.25">
      <c r="B70" t="s">
        <v>50</v>
      </c>
      <c r="W70" s="4">
        <v>-154</v>
      </c>
      <c r="X70" s="4">
        <v>-157</v>
      </c>
      <c r="Y70" s="4">
        <v>-169</v>
      </c>
      <c r="Z70" s="4">
        <f>-203+1</f>
        <v>-202</v>
      </c>
    </row>
    <row r="71" spans="2:26" x14ac:dyDescent="0.25">
      <c r="B71" t="s">
        <v>71</v>
      </c>
      <c r="W71" s="4">
        <v>-4779</v>
      </c>
      <c r="X71" s="4">
        <v>-5182</v>
      </c>
      <c r="Y71" s="4">
        <v>-5413</v>
      </c>
      <c r="Z71" s="4">
        <v>-6433</v>
      </c>
    </row>
    <row r="72" spans="2:26" x14ac:dyDescent="0.25">
      <c r="B72" t="s">
        <v>72</v>
      </c>
      <c r="W72" s="4">
        <v>4827</v>
      </c>
      <c r="X72" s="4">
        <v>4933</v>
      </c>
      <c r="Y72" s="4">
        <v>4945</v>
      </c>
      <c r="Z72" s="4">
        <v>5567</v>
      </c>
    </row>
    <row r="73" spans="2:26" x14ac:dyDescent="0.25">
      <c r="B73" t="s">
        <v>74</v>
      </c>
      <c r="W73" s="4">
        <f>-7081+9242</f>
        <v>2161</v>
      </c>
      <c r="X73" s="4">
        <f>-8923+4999</f>
        <v>-3924</v>
      </c>
      <c r="Y73" s="4">
        <f t="shared" ref="Y73" si="15">-4815+6938</f>
        <v>2123</v>
      </c>
      <c r="Z73" s="4">
        <f>-5390+5783</f>
        <v>393</v>
      </c>
    </row>
    <row r="74" spans="2:26" x14ac:dyDescent="0.25">
      <c r="B74" t="s">
        <v>75</v>
      </c>
      <c r="W74" s="4">
        <v>-1169</v>
      </c>
      <c r="X74" s="4">
        <v>-198</v>
      </c>
      <c r="Y74" s="4">
        <v>1519</v>
      </c>
      <c r="Z74" s="4">
        <v>2756</v>
      </c>
    </row>
    <row r="75" spans="2:26" x14ac:dyDescent="0.25">
      <c r="B75" t="s">
        <v>76</v>
      </c>
      <c r="W75" s="4">
        <v>74</v>
      </c>
      <c r="X75" s="4">
        <v>1</v>
      </c>
      <c r="Y75" s="4">
        <v>-133</v>
      </c>
      <c r="Z75" s="4">
        <v>131</v>
      </c>
    </row>
    <row r="76" spans="2:26" x14ac:dyDescent="0.25">
      <c r="B76" t="s">
        <v>52</v>
      </c>
      <c r="W76" s="4">
        <v>20</v>
      </c>
      <c r="X76" s="4">
        <v>-120</v>
      </c>
      <c r="Y76" s="4">
        <f t="shared" ref="Y76" si="16">-148+75</f>
        <v>-73</v>
      </c>
      <c r="Z76" s="4">
        <f>259-125+111</f>
        <v>245</v>
      </c>
    </row>
    <row r="77" spans="2:26" x14ac:dyDescent="0.25">
      <c r="B77" t="s">
        <v>77</v>
      </c>
      <c r="W77" s="4">
        <f>SUM(W70:W76)</f>
        <v>980</v>
      </c>
      <c r="X77" s="4">
        <f>SUM(X70:X76)</f>
        <v>-4647</v>
      </c>
      <c r="Y77" s="4">
        <f t="shared" ref="Y77" si="17">SUM(Y70:Y76)</f>
        <v>2799</v>
      </c>
      <c r="Z77" s="4">
        <f>SUM(Z70:Z76)</f>
        <v>2457</v>
      </c>
    </row>
    <row r="78" spans="2:26" x14ac:dyDescent="0.25">
      <c r="X78" s="4"/>
    </row>
    <row r="79" spans="2:26" x14ac:dyDescent="0.25">
      <c r="B79" t="s">
        <v>78</v>
      </c>
      <c r="W79" s="4">
        <v>0</v>
      </c>
      <c r="X79" s="4">
        <v>55</v>
      </c>
      <c r="Y79" s="4">
        <v>0</v>
      </c>
      <c r="Z79" s="4">
        <v>40</v>
      </c>
    </row>
    <row r="80" spans="2:26" x14ac:dyDescent="0.25">
      <c r="B80" t="s">
        <v>79</v>
      </c>
      <c r="W80" s="4">
        <v>-1501</v>
      </c>
      <c r="X80" s="4">
        <v>-1501</v>
      </c>
      <c r="Y80" s="4">
        <v>-1776</v>
      </c>
      <c r="Z80" s="4">
        <v>-1269</v>
      </c>
    </row>
    <row r="81" spans="2:26" x14ac:dyDescent="0.25">
      <c r="B81" t="s">
        <v>80</v>
      </c>
      <c r="W81" s="4">
        <v>-167</v>
      </c>
      <c r="X81" s="4">
        <v>-63</v>
      </c>
      <c r="Y81" s="4">
        <v>-41</v>
      </c>
      <c r="Z81" s="4">
        <v>-80</v>
      </c>
    </row>
    <row r="82" spans="2:26" x14ac:dyDescent="0.25">
      <c r="B82" t="s">
        <v>81</v>
      </c>
      <c r="W82" s="4">
        <f>115-359</f>
        <v>-244</v>
      </c>
      <c r="X82" s="4">
        <f>1299-52</f>
        <v>1247</v>
      </c>
      <c r="Y82" s="4">
        <v>132</v>
      </c>
      <c r="Z82" s="4">
        <v>-1250</v>
      </c>
    </row>
    <row r="83" spans="2:26" x14ac:dyDescent="0.25">
      <c r="B83" t="s">
        <v>82</v>
      </c>
      <c r="W83" s="4">
        <v>-483</v>
      </c>
      <c r="X83" s="4">
        <v>445</v>
      </c>
      <c r="Y83" s="4">
        <v>-733</v>
      </c>
      <c r="Z83" s="4">
        <v>-1183</v>
      </c>
    </row>
    <row r="84" spans="2:26" x14ac:dyDescent="0.25">
      <c r="B84" t="s">
        <v>76</v>
      </c>
      <c r="W84" s="4">
        <v>33</v>
      </c>
      <c r="X84" s="4">
        <v>37</v>
      </c>
      <c r="Y84" s="4">
        <v>-71</v>
      </c>
      <c r="Z84" s="4">
        <v>157</v>
      </c>
    </row>
    <row r="85" spans="2:26" x14ac:dyDescent="0.25">
      <c r="B85" t="s">
        <v>52</v>
      </c>
      <c r="W85" s="4">
        <v>0</v>
      </c>
      <c r="X85" s="4">
        <v>-20</v>
      </c>
      <c r="Y85" s="4">
        <v>-40</v>
      </c>
      <c r="Z85" s="4">
        <v>0</v>
      </c>
    </row>
    <row r="86" spans="2:26" x14ac:dyDescent="0.25">
      <c r="B86" t="s">
        <v>83</v>
      </c>
      <c r="W86" s="4">
        <f>SUM(W79:W85)</f>
        <v>-2362</v>
      </c>
      <c r="X86" s="4">
        <f>SUM(X79:X85)</f>
        <v>200</v>
      </c>
      <c r="Y86" s="4">
        <f t="shared" ref="Y86" si="18">SUM(Y79:Y85)</f>
        <v>-2529</v>
      </c>
      <c r="Z86" s="4">
        <f>SUM(Z79:Z85)</f>
        <v>-3585</v>
      </c>
    </row>
    <row r="87" spans="2:26" x14ac:dyDescent="0.25">
      <c r="B87" t="s">
        <v>84</v>
      </c>
      <c r="W87" s="4">
        <v>-94</v>
      </c>
      <c r="X87" s="4">
        <v>5</v>
      </c>
      <c r="Y87" s="4">
        <v>192</v>
      </c>
      <c r="Z87" s="4">
        <v>-310</v>
      </c>
    </row>
    <row r="88" spans="2:26" x14ac:dyDescent="0.25">
      <c r="B88" t="s">
        <v>85</v>
      </c>
      <c r="W88" s="4">
        <f>W87+W86+W77+W68</f>
        <v>441</v>
      </c>
      <c r="X88" s="4">
        <f>X87+X86+X77+X68</f>
        <v>-2917</v>
      </c>
      <c r="Y88" s="4">
        <f t="shared" ref="Y88" si="19">Y87+Y86+Y77+Y68</f>
        <v>2076</v>
      </c>
      <c r="Z88" s="4">
        <f>Z87+Z86+Z77+Z68</f>
        <v>956</v>
      </c>
    </row>
    <row r="90" spans="2:26" x14ac:dyDescent="0.25">
      <c r="B90" t="s">
        <v>95</v>
      </c>
      <c r="W90" s="4">
        <f>+W70+W68</f>
        <v>1763</v>
      </c>
      <c r="X90" s="4">
        <f>+X70+X68</f>
        <v>1368</v>
      </c>
      <c r="Y90" s="4">
        <f>+Y70+Y68</f>
        <v>1445</v>
      </c>
      <c r="Z90" s="4">
        <f>+Z70+Z68</f>
        <v>2192</v>
      </c>
    </row>
    <row r="91" spans="2:26" x14ac:dyDescent="0.25">
      <c r="B91" t="s">
        <v>96</v>
      </c>
      <c r="Z91" s="4">
        <f>SUM(W90:Z90)</f>
        <v>6768</v>
      </c>
    </row>
  </sheetData>
  <hyperlinks>
    <hyperlink ref="A1" location="Main!A1" display="Main" xr:uid="{EA805598-A8D4-4ABC-A74E-4CF0B3A2B52C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2023-05-05T02:28:37Z</dcterms:created>
  <dcterms:modified xsi:type="dcterms:W3CDTF">2025-02-05T20:08:31Z</dcterms:modified>
</cp:coreProperties>
</file>