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003759A-0183-41C0-96A3-497264990ADB}" xr6:coauthVersionLast="47" xr6:coauthVersionMax="47" xr10:uidLastSave="{00000000-0000-0000-0000-000000000000}"/>
  <bookViews>
    <workbookView xWindow="100" yWindow="760" windowWidth="17020" windowHeight="17980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M34" i="2"/>
  <c r="N34" i="2"/>
  <c r="N33" i="2"/>
  <c r="M32" i="2"/>
  <c r="N32" i="2"/>
  <c r="I5" i="2"/>
  <c r="J5" i="2"/>
  <c r="M5" i="2"/>
  <c r="N5" i="2"/>
  <c r="N31" i="2"/>
  <c r="J24" i="2"/>
  <c r="J22" i="2"/>
  <c r="J23" i="2" s="1"/>
  <c r="N27" i="2"/>
  <c r="N28" i="2" s="1"/>
  <c r="N25" i="2"/>
  <c r="N24" i="2"/>
  <c r="N23" i="2"/>
  <c r="N22" i="2"/>
  <c r="J17" i="2"/>
  <c r="N17" i="2"/>
  <c r="I15" i="2"/>
  <c r="I17" i="2" s="1"/>
  <c r="M15" i="2"/>
  <c r="M31" i="2" s="1"/>
  <c r="K26" i="2"/>
  <c r="K24" i="2"/>
  <c r="K22" i="2"/>
  <c r="K17" i="2"/>
  <c r="K31" i="2"/>
  <c r="G26" i="2"/>
  <c r="G24" i="2"/>
  <c r="G22" i="2"/>
  <c r="G17" i="2"/>
  <c r="L31" i="2"/>
  <c r="H26" i="2"/>
  <c r="H24" i="2"/>
  <c r="H22" i="2"/>
  <c r="H17" i="2"/>
  <c r="L26" i="2"/>
  <c r="L24" i="2"/>
  <c r="L22" i="2"/>
  <c r="L17" i="2"/>
  <c r="I26" i="2"/>
  <c r="M26" i="2"/>
  <c r="M24" i="2"/>
  <c r="I24" i="2"/>
  <c r="I22" i="2"/>
  <c r="M22" i="2"/>
  <c r="K5" i="1"/>
  <c r="K4" i="1"/>
  <c r="K7" i="1" s="1"/>
  <c r="J25" i="2" l="1"/>
  <c r="J27" i="2" s="1"/>
  <c r="J28" i="2" s="1"/>
  <c r="M17" i="2"/>
  <c r="M23" i="2"/>
  <c r="M25" i="2" s="1"/>
  <c r="M27" i="2" s="1"/>
  <c r="M28" i="2" s="1"/>
  <c r="G23" i="2"/>
  <c r="G25" i="2" s="1"/>
  <c r="G27" i="2" s="1"/>
  <c r="G28" i="2" s="1"/>
  <c r="K23" i="2"/>
  <c r="K25" i="2"/>
  <c r="K27" i="2" s="1"/>
  <c r="K28" i="2" s="1"/>
  <c r="H23" i="2"/>
  <c r="H25" i="2"/>
  <c r="H27" i="2" s="1"/>
  <c r="H28" i="2" s="1"/>
  <c r="L23" i="2"/>
  <c r="L25" i="2" s="1"/>
  <c r="L27" i="2" s="1"/>
  <c r="L28" i="2" s="1"/>
  <c r="I23" i="2"/>
  <c r="I25" i="2" s="1"/>
  <c r="I27" i="2" s="1"/>
  <c r="I28" i="2" s="1"/>
</calcChain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<sst xmlns="http://schemas.openxmlformats.org/spreadsheetml/2006/main" count="60" uniqueCount="56">
  <si>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</si>
  <si>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</si>
  <si>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</si>
  <si>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</si>
  <si>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</si>
  <si>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</si>
  <si>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</si>
  <si>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</si>
  <si>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</si>
  <si>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</si>
  <si>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</si>
  <si>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</si>
  <si>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</si>
  <si>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</si>
  <si>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</si>
  <si>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</si>
  <si>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</si>
  <si>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</si>
  <si>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</si>
  <si>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</si>
  <si>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</si>
  <si>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</si>
  <si>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</si>
  <si>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</si>
  <si>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</si>
  <si>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</si>
  <si>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</si>
  <si>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</si>
  <si>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</si>
  <si>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</si>
  <si>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</si>
  <si>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</si>
  <si>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</si>
  <si>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</si>
  <si>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</si>
  <si>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</si>
  <si>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</si>
  <si>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</si>
  <si>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</si>
  <si>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</si>
  <si>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</si>
  <si>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</si>
  <si>
    <t>MAU</t>
  </si>
  <si>
    <t>Trips</t>
  </si>
  <si>
    <t>Freight</t>
  </si>
  <si>
    <t>Delivery</t>
  </si>
  <si>
    <t>Mobility</t>
  </si>
  <si>
    <t xml:space="preserve">  Freight</t>
  </si>
  <si>
    <t>Q125</t>
  </si>
  <si>
    <t>Q225</t>
  </si>
  <si>
    <t>Q325</t>
  </si>
  <si>
    <t>Q425</t>
  </si>
  <si>
    <t>Bookings y/y</t>
  </si>
  <si>
    <t>Trips y/y</t>
  </si>
  <si>
    <t>Mobility Bookings y/y</t>
  </si>
  <si>
    <t>Mobility 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</si>
</sst>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34192</xdr:colOff>
      <xdr:row>0</xdr:row>
      <xdr:rowOff>58615</xdr:rowOff>
    </xdr:from>
    <xdr:to>
      <xdr:col>14</xdr:col>
      <xdr:colOff>34192</xdr:colOff>
      <xdr:row>52</xdr:row>
      <xdr:rowOff>39077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7F6E3E-A4A7-F025-A548-8D9A977D8E13}"/>
            </a:ext>
          </a:extLst>
        </xdr:cNvPr>
        <xdr:cNvCxnSpPr/>
      </xdr:nvCxnSpPr>
      <xdr:spPr>
        <a:xfrm>
          <a:off x="9412654" y="58615"/>
          <a:ext cx="0" cy="83673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1"/>
  <sheetViews>
    <sheetView zoomScale="160" zoomScaleNormal="160" workbookViewId="0">
      <selection activeCell="K1" sqref="K1"/>
    </sheetView>
  </sheetViews>
  <sheetFormatPr defaultRowHeight="12.5" x14ac:dyDescent="0.25"/>
  <sheetData>
    <row r="2" spans="2:12" x14ac:dyDescent="0.25">
      <c r="B2" t="s">
        <v>35</v>
      </c>
      <c r="J2" t="s">
        <v>0</v>
      </c>
      <c r="K2" s="1">
        <v>69.989999999999995</v>
      </c>
    </row>
    <row r="3" spans="2:12" x14ac:dyDescent="0.25">
      <c r="B3" t="s">
        <v>36</v>
      </c>
      <c r="J3" t="s">
        <v>1</v>
      </c>
      <c r="K3" s="2">
        <v>2105.7093249999998</v>
      </c>
      <c r="L3" s="3" t="s">
        <v>6</v>
      </c>
    </row>
    <row r="4" spans="2:12" x14ac:dyDescent="0.25">
      <c r="J4" t="s">
        <v>2</v>
      </c>
      <c r="K4" s="2">
        <f>+K2*K3</f>
        <v>147378.59565674997</v>
      </c>
    </row>
    <row r="5" spans="2:12" x14ac:dyDescent="0.25">
      <c r="J5" t="s">
        <v>3</v>
      </c>
      <c r="K5" s="2">
        <f>6150+2913+933+7921+314</f>
        <v>18231</v>
      </c>
      <c r="L5" s="3" t="s">
        <v>6</v>
      </c>
    </row>
    <row r="6" spans="2:12" x14ac:dyDescent="0.25">
      <c r="J6" t="s">
        <v>4</v>
      </c>
      <c r="K6" s="2">
        <v>10986</v>
      </c>
      <c r="L6" s="3" t="s">
        <v>6</v>
      </c>
    </row>
    <row r="7" spans="2:12" x14ac:dyDescent="0.25">
      <c r="J7" t="s">
        <v>5</v>
      </c>
      <c r="K7" s="2">
        <f>+K4-K5+K6</f>
        <v>140133.59565674997</v>
      </c>
    </row>
    <row r="9" spans="2:12" x14ac:dyDescent="0.25">
      <c r="J9" t="s">
        <v>37</v>
      </c>
    </row>
    <row r="10" spans="2:12" x14ac:dyDescent="0.25">
      <c r="J10" t="s">
        <v>39</v>
      </c>
    </row>
    <row r="11" spans="2:12" x14ac:dyDescent="0.25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R35"/>
  <sheetViews>
    <sheetView tabSelected="1" zoomScale="130" zoomScaleNormal="13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L5" sqref="L5"/>
    </sheetView>
  </sheetViews>
  <sheetFormatPr defaultRowHeight="12.5" x14ac:dyDescent="0.25"/>
  <cols>
    <col min="1" max="1" width="5" bestFit="1" customWidth="1"/>
    <col min="2" max="2" width="19.26953125" bestFit="1" customWidth="1"/>
    <col min="3" max="14" width="9.1796875" style="3"/>
  </cols>
  <sheetData>
    <row r="1" spans="1:18" x14ac:dyDescent="0.25">
      <c r="A1" s="9" t="s">
        <v>7</v>
      </c>
    </row>
    <row r="2" spans="1:18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48</v>
      </c>
      <c r="P2" s="3" t="s">
        <v>49</v>
      </c>
      <c r="Q2" s="3" t="s">
        <v>50</v>
      </c>
      <c r="R2" s="3" t="s">
        <v>51</v>
      </c>
    </row>
    <row r="3" spans="1:18" s="2" customFormat="1" x14ac:dyDescent="0.25">
      <c r="B3" s="2" t="s">
        <v>42</v>
      </c>
      <c r="C3" s="4"/>
      <c r="D3" s="4"/>
      <c r="E3" s="4"/>
      <c r="F3" s="4"/>
      <c r="G3" s="4"/>
      <c r="H3" s="4"/>
      <c r="I3" s="4">
        <v>142</v>
      </c>
      <c r="J3" s="4">
        <v>150</v>
      </c>
      <c r="K3" s="4"/>
      <c r="L3" s="4"/>
      <c r="M3" s="4">
        <v>161</v>
      </c>
      <c r="N3" s="4">
        <v>171</v>
      </c>
    </row>
    <row r="4" spans="1:18" s="2" customFormat="1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8" x14ac:dyDescent="0.25">
      <c r="B5" t="s">
        <v>38</v>
      </c>
      <c r="I5" s="4">
        <f>+I6+I7+I8</f>
        <v>35281</v>
      </c>
      <c r="J5" s="4">
        <f>+J6+J7+J8</f>
        <v>37575</v>
      </c>
      <c r="M5" s="4">
        <f>+M6+M7+M8</f>
        <v>40973</v>
      </c>
      <c r="N5" s="4">
        <f>+N6+N7+N8</f>
        <v>44197</v>
      </c>
    </row>
    <row r="6" spans="1:18" s="2" customFormat="1" x14ac:dyDescent="0.25">
      <c r="B6" s="2" t="s">
        <v>40</v>
      </c>
      <c r="C6" s="4"/>
      <c r="D6" s="4"/>
      <c r="E6" s="4"/>
      <c r="F6" s="4"/>
      <c r="G6" s="4"/>
      <c r="H6" s="4"/>
      <c r="I6" s="4">
        <v>17903</v>
      </c>
      <c r="J6" s="4">
        <v>19285</v>
      </c>
      <c r="K6" s="4"/>
      <c r="L6" s="4"/>
      <c r="M6" s="4">
        <v>21002</v>
      </c>
      <c r="N6" s="4">
        <v>22798</v>
      </c>
    </row>
    <row r="7" spans="1:18" x14ac:dyDescent="0.25">
      <c r="B7" t="s">
        <v>41</v>
      </c>
      <c r="I7" s="4">
        <v>16094</v>
      </c>
      <c r="J7" s="4">
        <v>17011</v>
      </c>
      <c r="K7" s="4"/>
      <c r="L7" s="4"/>
      <c r="M7" s="4">
        <v>18663</v>
      </c>
      <c r="N7" s="4">
        <v>20126</v>
      </c>
    </row>
    <row r="8" spans="1:18" x14ac:dyDescent="0.25">
      <c r="B8" s="2" t="s">
        <v>47</v>
      </c>
      <c r="I8" s="4">
        <v>1284</v>
      </c>
      <c r="J8" s="4">
        <v>1279</v>
      </c>
      <c r="K8" s="4"/>
      <c r="L8" s="4"/>
      <c r="M8" s="4">
        <v>1308</v>
      </c>
      <c r="N8" s="4">
        <v>1273</v>
      </c>
    </row>
    <row r="9" spans="1:18" s="2" customFormat="1" x14ac:dyDescent="0.25">
      <c r="B9" s="2" t="s">
        <v>43</v>
      </c>
      <c r="C9" s="4"/>
      <c r="D9" s="4"/>
      <c r="E9" s="4"/>
      <c r="F9" s="4"/>
      <c r="G9" s="4"/>
      <c r="H9" s="4"/>
      <c r="I9" s="4">
        <v>2441</v>
      </c>
      <c r="J9" s="4">
        <v>2601</v>
      </c>
      <c r="K9" s="4"/>
      <c r="L9" s="4"/>
      <c r="M9" s="4">
        <v>2868</v>
      </c>
      <c r="N9" s="4">
        <v>3068</v>
      </c>
    </row>
    <row r="11" spans="1:18" s="2" customFormat="1" x14ac:dyDescent="0.25">
      <c r="B11" s="2" t="s">
        <v>46</v>
      </c>
      <c r="C11" s="4"/>
      <c r="D11" s="4"/>
      <c r="E11" s="4"/>
      <c r="F11" s="4"/>
      <c r="G11" s="4"/>
      <c r="H11" s="4"/>
      <c r="I11" s="4">
        <v>5071</v>
      </c>
      <c r="J11" s="4">
        <v>5537</v>
      </c>
      <c r="K11" s="4"/>
      <c r="L11" s="4"/>
      <c r="M11" s="4">
        <v>6409</v>
      </c>
      <c r="N11" s="4">
        <v>6911</v>
      </c>
    </row>
    <row r="12" spans="1:18" s="2" customFormat="1" x14ac:dyDescent="0.25">
      <c r="B12" s="2" t="s">
        <v>45</v>
      </c>
      <c r="C12" s="4"/>
      <c r="D12" s="4"/>
      <c r="E12" s="4"/>
      <c r="F12" s="4"/>
      <c r="G12" s="4"/>
      <c r="H12" s="4"/>
      <c r="I12" s="4">
        <v>2935</v>
      </c>
      <c r="J12" s="4">
        <v>3119</v>
      </c>
      <c r="K12" s="4"/>
      <c r="L12" s="4"/>
      <c r="M12" s="4">
        <v>3470</v>
      </c>
      <c r="N12" s="4">
        <v>3773</v>
      </c>
    </row>
    <row r="13" spans="1:18" s="2" customFormat="1" x14ac:dyDescent="0.25">
      <c r="B13" s="2" t="s">
        <v>44</v>
      </c>
      <c r="C13" s="4"/>
      <c r="D13" s="4"/>
      <c r="E13" s="4"/>
      <c r="F13" s="4"/>
      <c r="G13" s="4"/>
      <c r="H13" s="4"/>
      <c r="I13" s="4">
        <v>1286</v>
      </c>
      <c r="J13" s="4">
        <v>1280</v>
      </c>
      <c r="K13" s="4"/>
      <c r="L13" s="4"/>
      <c r="M13" s="4">
        <v>1309</v>
      </c>
      <c r="N13" s="4">
        <v>1275</v>
      </c>
    </row>
    <row r="15" spans="1:18" s="6" customFormat="1" ht="13" x14ac:dyDescent="0.3">
      <c r="B15" s="6" t="s">
        <v>8</v>
      </c>
      <c r="C15" s="7"/>
      <c r="D15" s="7"/>
      <c r="E15" s="7"/>
      <c r="F15" s="7"/>
      <c r="G15" s="7">
        <v>8823</v>
      </c>
      <c r="H15" s="7">
        <v>9230</v>
      </c>
      <c r="I15" s="7">
        <f>SUM(I11:I13)</f>
        <v>9292</v>
      </c>
      <c r="J15" s="7">
        <v>9936</v>
      </c>
      <c r="K15" s="7">
        <v>10131</v>
      </c>
      <c r="L15" s="7">
        <v>10700</v>
      </c>
      <c r="M15" s="7">
        <f>SUM(M11:M13)</f>
        <v>11188</v>
      </c>
      <c r="N15" s="7">
        <v>11959</v>
      </c>
    </row>
    <row r="16" spans="1:18" s="2" customFormat="1" x14ac:dyDescent="0.25">
      <c r="B16" s="2" t="s">
        <v>25</v>
      </c>
      <c r="C16" s="4"/>
      <c r="D16" s="4"/>
      <c r="E16" s="4"/>
      <c r="F16" s="4"/>
      <c r="G16" s="4">
        <v>5259</v>
      </c>
      <c r="H16" s="4">
        <v>5515</v>
      </c>
      <c r="I16" s="4">
        <v>5626</v>
      </c>
      <c r="J16" s="4">
        <v>6057</v>
      </c>
      <c r="K16" s="4">
        <v>6168</v>
      </c>
      <c r="L16" s="4">
        <v>6488</v>
      </c>
      <c r="M16" s="4">
        <v>6761</v>
      </c>
      <c r="N16" s="4">
        <v>7234</v>
      </c>
    </row>
    <row r="17" spans="2:14" s="2" customFormat="1" x14ac:dyDescent="0.25">
      <c r="B17" s="2" t="s">
        <v>26</v>
      </c>
      <c r="C17" s="4"/>
      <c r="D17" s="4"/>
      <c r="E17" s="4"/>
      <c r="F17" s="4"/>
      <c r="G17" s="4">
        <f>+G15-G16</f>
        <v>3564</v>
      </c>
      <c r="H17" s="4">
        <f>+H15-H16</f>
        <v>3715</v>
      </c>
      <c r="I17" s="4">
        <f>+I15-I16</f>
        <v>3666</v>
      </c>
      <c r="J17" s="4">
        <f>+J15-J16</f>
        <v>3879</v>
      </c>
      <c r="K17" s="4">
        <f>+K15-K16</f>
        <v>3963</v>
      </c>
      <c r="L17" s="4">
        <f>+L15-L16</f>
        <v>4212</v>
      </c>
      <c r="M17" s="4">
        <f>+M15-M16</f>
        <v>4427</v>
      </c>
      <c r="N17" s="4">
        <f>+N15-N16</f>
        <v>4725</v>
      </c>
    </row>
    <row r="18" spans="2:14" s="2" customFormat="1" x14ac:dyDescent="0.25">
      <c r="B18" s="2" t="s">
        <v>24</v>
      </c>
      <c r="C18" s="4"/>
      <c r="D18" s="4"/>
      <c r="E18" s="4"/>
      <c r="F18" s="4"/>
      <c r="G18" s="4">
        <v>640</v>
      </c>
      <c r="H18" s="4">
        <v>664</v>
      </c>
      <c r="I18" s="4">
        <v>683</v>
      </c>
      <c r="J18" s="4">
        <v>702</v>
      </c>
      <c r="K18" s="4">
        <v>685</v>
      </c>
      <c r="L18" s="4">
        <v>682</v>
      </c>
      <c r="M18" s="4">
        <v>687</v>
      </c>
      <c r="N18" s="4">
        <v>678</v>
      </c>
    </row>
    <row r="19" spans="2:14" s="2" customFormat="1" x14ac:dyDescent="0.25">
      <c r="B19" s="2" t="s">
        <v>23</v>
      </c>
      <c r="C19" s="4"/>
      <c r="D19" s="4"/>
      <c r="E19" s="4"/>
      <c r="F19" s="4"/>
      <c r="G19" s="4">
        <v>1262</v>
      </c>
      <c r="H19" s="4">
        <v>808</v>
      </c>
      <c r="I19" s="4">
        <v>941</v>
      </c>
      <c r="J19" s="4">
        <v>935</v>
      </c>
      <c r="K19" s="4">
        <v>917</v>
      </c>
      <c r="L19" s="4">
        <v>1115</v>
      </c>
      <c r="M19" s="4">
        <v>1096</v>
      </c>
      <c r="N19" s="4">
        <v>1209</v>
      </c>
    </row>
    <row r="20" spans="2:14" s="2" customFormat="1" x14ac:dyDescent="0.25">
      <c r="B20" s="2" t="s">
        <v>27</v>
      </c>
      <c r="C20" s="4"/>
      <c r="D20" s="4"/>
      <c r="E20" s="4"/>
      <c r="F20" s="4"/>
      <c r="G20" s="4">
        <v>775</v>
      </c>
      <c r="H20" s="4">
        <v>491</v>
      </c>
      <c r="I20" s="4">
        <v>797</v>
      </c>
      <c r="J20" s="4">
        <v>784</v>
      </c>
      <c r="K20" s="4">
        <v>790</v>
      </c>
      <c r="L20" s="4">
        <v>760</v>
      </c>
      <c r="M20" s="4">
        <v>774</v>
      </c>
      <c r="N20" s="4">
        <v>785</v>
      </c>
    </row>
    <row r="21" spans="2:14" s="2" customFormat="1" x14ac:dyDescent="0.25">
      <c r="B21" s="2" t="s">
        <v>22</v>
      </c>
      <c r="C21" s="4"/>
      <c r="D21" s="4"/>
      <c r="E21" s="4"/>
      <c r="F21" s="4"/>
      <c r="G21" s="4">
        <v>942</v>
      </c>
      <c r="H21" s="4">
        <v>208</v>
      </c>
      <c r="I21" s="4">
        <v>646</v>
      </c>
      <c r="J21" s="4">
        <v>603</v>
      </c>
      <c r="K21" s="4">
        <v>1209</v>
      </c>
      <c r="L21" s="4">
        <v>686</v>
      </c>
      <c r="M21" s="4">
        <v>630</v>
      </c>
      <c r="N21" s="4">
        <v>1114</v>
      </c>
    </row>
    <row r="22" spans="2:14" s="2" customFormat="1" x14ac:dyDescent="0.25">
      <c r="B22" s="2" t="s">
        <v>21</v>
      </c>
      <c r="C22" s="4"/>
      <c r="D22" s="4"/>
      <c r="E22" s="4"/>
      <c r="F22" s="4"/>
      <c r="G22" s="4">
        <f>SUM(G18:G21)</f>
        <v>3619</v>
      </c>
      <c r="H22" s="4">
        <f>SUM(H18:H21)</f>
        <v>2171</v>
      </c>
      <c r="I22" s="4">
        <f>SUM(I18:I21)</f>
        <v>3067</v>
      </c>
      <c r="J22" s="4">
        <f>SUM(J18:J21)</f>
        <v>3024</v>
      </c>
      <c r="K22" s="4">
        <f>SUM(K18:K21)</f>
        <v>3601</v>
      </c>
      <c r="L22" s="4">
        <f>SUM(L18:L21)</f>
        <v>3243</v>
      </c>
      <c r="M22" s="4">
        <f>SUM(M18:M21)</f>
        <v>3187</v>
      </c>
      <c r="N22" s="4">
        <f>SUM(N18:N21)</f>
        <v>3786</v>
      </c>
    </row>
    <row r="23" spans="2:14" s="2" customFormat="1" x14ac:dyDescent="0.25">
      <c r="B23" s="2" t="s">
        <v>20</v>
      </c>
      <c r="C23" s="4"/>
      <c r="D23" s="4"/>
      <c r="E23" s="4"/>
      <c r="F23" s="4"/>
      <c r="G23" s="4">
        <f>+G17-G22</f>
        <v>-55</v>
      </c>
      <c r="H23" s="4">
        <f>+H17-H22</f>
        <v>1544</v>
      </c>
      <c r="I23" s="4">
        <f>+I17-I22</f>
        <v>599</v>
      </c>
      <c r="J23" s="4">
        <f>+J17-J22</f>
        <v>855</v>
      </c>
      <c r="K23" s="4">
        <f>+K17-K22</f>
        <v>362</v>
      </c>
      <c r="L23" s="4">
        <f>+L17-L22</f>
        <v>969</v>
      </c>
      <c r="M23" s="4">
        <f>+M17-M22</f>
        <v>1240</v>
      </c>
      <c r="N23" s="4">
        <f>+N17-N22</f>
        <v>939</v>
      </c>
    </row>
    <row r="24" spans="2:14" s="2" customFormat="1" x14ac:dyDescent="0.25">
      <c r="B24" s="2" t="s">
        <v>29</v>
      </c>
      <c r="C24" s="4"/>
      <c r="D24" s="4"/>
      <c r="E24" s="4"/>
      <c r="F24" s="4"/>
      <c r="G24" s="4">
        <f>-168+292</f>
        <v>124</v>
      </c>
      <c r="H24" s="4">
        <f>-144+273</f>
        <v>129</v>
      </c>
      <c r="I24" s="4">
        <f>-166-52</f>
        <v>-218</v>
      </c>
      <c r="J24" s="4">
        <f>-155+1331</f>
        <v>1176</v>
      </c>
      <c r="K24" s="4">
        <f>-124-678</f>
        <v>-802</v>
      </c>
      <c r="L24" s="4">
        <f>-136+420</f>
        <v>284</v>
      </c>
      <c r="M24" s="4">
        <f>-143+1851</f>
        <v>1708</v>
      </c>
      <c r="N24" s="4">
        <f>-117+256</f>
        <v>139</v>
      </c>
    </row>
    <row r="25" spans="2:14" x14ac:dyDescent="0.25">
      <c r="B25" s="2" t="s">
        <v>28</v>
      </c>
      <c r="G25" s="4">
        <f>+G24+G23</f>
        <v>69</v>
      </c>
      <c r="H25" s="4">
        <f>+H24+H23</f>
        <v>1673</v>
      </c>
      <c r="I25" s="4">
        <f>+I24+I23</f>
        <v>381</v>
      </c>
      <c r="J25" s="4">
        <f>+J24+J23</f>
        <v>2031</v>
      </c>
      <c r="K25" s="4">
        <f>+K24+K23</f>
        <v>-440</v>
      </c>
      <c r="L25" s="4">
        <f>+L24+L23</f>
        <v>1253</v>
      </c>
      <c r="M25" s="4">
        <f>+M24+M23</f>
        <v>2948</v>
      </c>
      <c r="N25" s="4">
        <f>+N24+N23</f>
        <v>1078</v>
      </c>
    </row>
    <row r="26" spans="2:14" x14ac:dyDescent="0.25">
      <c r="B26" s="2" t="s">
        <v>30</v>
      </c>
      <c r="G26" s="3">
        <f>55-36</f>
        <v>19</v>
      </c>
      <c r="H26" s="3">
        <f>65-4</f>
        <v>61</v>
      </c>
      <c r="I26" s="3">
        <f>-40+3-2</f>
        <v>-39</v>
      </c>
      <c r="J26" s="3">
        <v>133</v>
      </c>
      <c r="K26" s="3">
        <f>29+4-9</f>
        <v>24</v>
      </c>
      <c r="L26" s="3">
        <f>57+12-7</f>
        <v>62</v>
      </c>
      <c r="M26" s="3">
        <f>158-12+13</f>
        <v>159</v>
      </c>
      <c r="N26" s="3">
        <v>0</v>
      </c>
    </row>
    <row r="27" spans="2:14" x14ac:dyDescent="0.25">
      <c r="B27" s="2" t="s">
        <v>31</v>
      </c>
      <c r="G27" s="4">
        <f>+G25-G26</f>
        <v>50</v>
      </c>
      <c r="H27" s="4">
        <f>+H25-H26</f>
        <v>1612</v>
      </c>
      <c r="I27" s="4">
        <f>+I25-I26</f>
        <v>420</v>
      </c>
      <c r="J27" s="4">
        <f>+J25-J26</f>
        <v>1898</v>
      </c>
      <c r="K27" s="4">
        <f>+K25-K26</f>
        <v>-464</v>
      </c>
      <c r="L27" s="4">
        <f>+L25-L26</f>
        <v>1191</v>
      </c>
      <c r="M27" s="4">
        <f>+M25-M26</f>
        <v>2789</v>
      </c>
      <c r="N27" s="4">
        <f>+N25-N26</f>
        <v>1078</v>
      </c>
    </row>
    <row r="28" spans="2:14" x14ac:dyDescent="0.25">
      <c r="B28" s="2" t="s">
        <v>32</v>
      </c>
      <c r="G28" s="5">
        <f>+G27/G29</f>
        <v>2.4881105636714956E-2</v>
      </c>
      <c r="H28" s="5">
        <f>+H27/H29</f>
        <v>0.77527395497928364</v>
      </c>
      <c r="I28" s="5">
        <f>+I27/I29</f>
        <v>0.19919572355238066</v>
      </c>
      <c r="J28" s="5">
        <f>+J27/J29</f>
        <v>0.89446913633773795</v>
      </c>
      <c r="K28" s="5">
        <f>+K27/K29</f>
        <v>-0.22305890678060616</v>
      </c>
      <c r="L28" s="5">
        <f>+L27/L29</f>
        <v>0.55394859301243393</v>
      </c>
      <c r="M28" s="5">
        <f>+M27/M29</f>
        <v>1.2945203126900124</v>
      </c>
      <c r="N28" s="5">
        <f>+N27/N29</f>
        <v>0.50340287266522399</v>
      </c>
    </row>
    <row r="29" spans="2:14" x14ac:dyDescent="0.25">
      <c r="B29" s="2" t="s">
        <v>1</v>
      </c>
      <c r="G29" s="4">
        <v>2009.557</v>
      </c>
      <c r="H29" s="4">
        <v>2079.2649999999999</v>
      </c>
      <c r="I29" s="4">
        <v>2108.4789999999998</v>
      </c>
      <c r="J29" s="4">
        <v>2121.9290000000001</v>
      </c>
      <c r="K29" s="4">
        <v>2080.1680000000001</v>
      </c>
      <c r="L29" s="4">
        <v>2150.0189999999998</v>
      </c>
      <c r="M29" s="4">
        <v>2154.4659999999999</v>
      </c>
      <c r="N29" s="4">
        <v>2141.4259999999999</v>
      </c>
    </row>
    <row r="31" spans="2:14" x14ac:dyDescent="0.25">
      <c r="B31" s="2" t="s">
        <v>33</v>
      </c>
      <c r="K31" s="8">
        <f>+K15/G15-1</f>
        <v>0.14824889493369597</v>
      </c>
      <c r="L31" s="8">
        <f>+L15/H15-1</f>
        <v>0.15926327193932832</v>
      </c>
      <c r="M31" s="8">
        <f>+M15/I15-1</f>
        <v>0.20404649160568233</v>
      </c>
      <c r="N31" s="8">
        <f>+N15/J15-1</f>
        <v>0.20360305958132052</v>
      </c>
    </row>
    <row r="32" spans="2:14" x14ac:dyDescent="0.25">
      <c r="B32" s="2" t="s">
        <v>52</v>
      </c>
      <c r="K32" s="8"/>
      <c r="L32" s="8"/>
      <c r="M32" s="8">
        <f>+M5/I5-1</f>
        <v>0.16133329554150966</v>
      </c>
      <c r="N32" s="8">
        <f>+N5/J5-1</f>
        <v>0.17623419827012632</v>
      </c>
    </row>
    <row r="33" spans="2:14" x14ac:dyDescent="0.25">
      <c r="B33" s="2" t="s">
        <v>53</v>
      </c>
      <c r="N33" s="8">
        <f>+N9/J9-1</f>
        <v>0.17954632833525563</v>
      </c>
    </row>
    <row r="34" spans="2:14" x14ac:dyDescent="0.25">
      <c r="B34" s="2" t="s">
        <v>54</v>
      </c>
      <c r="M34" s="8">
        <f>+M6/I6-1</f>
        <v>0.17309948053398871</v>
      </c>
      <c r="N34" s="8">
        <f>+N6/J6-1</f>
        <v>0.18216230230749297</v>
      </c>
    </row>
    <row r="35" spans="2:14" x14ac:dyDescent="0.25">
      <c r="B35" s="2" t="s">
        <v>55</v>
      </c>
      <c r="N35" s="8">
        <f>+N11/J11-1</f>
        <v>0.24814881704894343</v>
      </c>
    </row>
  </sheetData>
  <hyperlinks>
    <hyperlink ref="A1" location="Main!A1" display="Main" xr:uid="{97C91947-3928-45E1-B0A0-1313631C12C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2025-02-02T01:50:14Z</dcterms:created>
  <dcterms:modified xsi:type="dcterms:W3CDTF">2025-02-05T16:05:17Z</dcterms:modified>
</cp:coreProperties>
</file>