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FE7D6BE6-EB4C-4126-9953-C8D1D778CA79}" xr6:coauthVersionLast="47" xr6:coauthVersionMax="47" xr10:uidLastSave="{00000000-0000-0000-0000-000000000000}"/>
  <bookViews>
    <workbookView xWindow="-96" yWindow="0" windowWidth="12108" windowHeight="13056" xr2:uid="{8F193AD5-4822-438A-B757-2B234AE2795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8" i="1"/>
  <c r="E10" i="1" s="1"/>
  <c r="E23" i="1" s="1"/>
  <c r="K54" i="1"/>
  <c r="K55" i="1" s="1"/>
  <c r="L38" i="1"/>
  <c r="K38" i="1"/>
  <c r="L37" i="1"/>
  <c r="K37" i="1"/>
  <c r="K42" i="1" s="1"/>
  <c r="L31" i="1"/>
  <c r="K31" i="1"/>
  <c r="S28" i="1"/>
  <c r="L27" i="1"/>
  <c r="K27" i="1"/>
  <c r="L25" i="1"/>
  <c r="L33" i="1" s="1"/>
  <c r="K25" i="1"/>
  <c r="K33" i="1" s="1"/>
  <c r="M23" i="1"/>
  <c r="I23" i="1"/>
  <c r="F23" i="1"/>
  <c r="O22" i="1"/>
  <c r="N22" i="1"/>
  <c r="M22" i="1"/>
  <c r="L22" i="1"/>
  <c r="K22" i="1"/>
  <c r="J22" i="1"/>
  <c r="E13" i="1"/>
  <c r="V8" i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U2" i="1"/>
  <c r="V2" i="1" s="1"/>
  <c r="W2" i="1" s="1"/>
  <c r="X2" i="1" s="1"/>
  <c r="I22" i="1" l="1"/>
  <c r="L42" i="1"/>
  <c r="E14" i="1"/>
  <c r="E16" i="1" s="1"/>
  <c r="E18" i="1" s="1"/>
  <c r="E19" i="1" s="1"/>
  <c r="K44" i="1"/>
  <c r="G23" i="1"/>
  <c r="H23" i="1"/>
  <c r="K23" i="1"/>
  <c r="J23" i="1"/>
  <c r="L23" i="1"/>
  <c r="N23" i="1"/>
  <c r="O23" i="1"/>
  <c r="S27" i="1"/>
  <c r="S29" i="1" s="1"/>
  <c r="S31" i="1" l="1"/>
  <c r="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tc={B79EFD59-4B41-4805-87D1-0ED3868EFC2F}</author>
    <author>tc={20D7A2AF-E261-4347-98F0-1AED579F92D3}</author>
    <author>tc={8EEE31B8-BC94-421B-A52E-E02E523A78E7}</author>
  </authors>
  <commentList>
    <comment ref="L8" authorId="0" shapeId="0" xr:uid="{B79EFD59-4B41-4805-87D1-0ED3868EFC2F}">
      <text>
        <t>[Threaded comment]
Your version of Excel allows you to read this threaded comment; however, any edits to it will get removed if the file is opened in a newer version of Excel. Learn more: https://go.microsoft.com/fwlink/?linkid=870924
Comment:
    Q1: 376-380m</t>
      </text>
    </comment>
    <comment ref="M8" authorId="1" shapeId="0" xr:uid="{20D7A2AF-E261-4347-98F0-1AED579F92D3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410-414m</t>
      </text>
    </comment>
    <comment ref="V8" authorId="2" shapeId="0" xr:uid="{8EEE31B8-BC94-421B-A52E-E02E523A78E7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</commentList>
</comments>
</file>

<file path=xl/sharedStrings.xml><?xml version="1.0" encoding="utf-8"?>
<sst xmlns="http://schemas.openxmlformats.org/spreadsheetml/2006/main" count="71" uniqueCount="66">
  <si>
    <t>Main</t>
  </si>
  <si>
    <t>FY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</si>
  <si>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</si>
  <si>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</si>
  <si>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</si>
  <si>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</si>
  <si>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</si>
  <si>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</si>
  <si>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</si>
  <si>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</si>
  <si>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</si>
  <si>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</si>
  <si>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</si>
  <si>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</si>
  <si>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</si>
  <si>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</si>
  <si>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Revenue</t>
  </si>
  <si>
    <t>COGS</t>
  </si>
  <si>
    <t>Gross Profit</t>
  </si>
  <si>
    <t>R&amp;D</t>
  </si>
  <si>
    <t>OpEx</t>
  </si>
  <si>
    <t>OpInc</t>
  </si>
  <si>
    <t>Interest</t>
  </si>
  <si>
    <t>Pretax</t>
  </si>
  <si>
    <t>Taxes</t>
  </si>
  <si>
    <t>Net Income</t>
  </si>
  <si>
    <t>EPS</t>
  </si>
  <si>
    <t>Shares</t>
  </si>
  <si>
    <t>Revenue y/y</t>
  </si>
  <si>
    <t>Gross Margin</t>
  </si>
  <si>
    <t>Growth Rate</t>
  </si>
  <si>
    <t>Cash</t>
  </si>
  <si>
    <t>Terminal Rate</t>
  </si>
  <si>
    <t>AR</t>
  </si>
  <si>
    <t>Discount Rate</t>
  </si>
  <si>
    <t>Deferred Contract</t>
  </si>
  <si>
    <t>NPV</t>
  </si>
  <si>
    <t>Prepaids</t>
  </si>
  <si>
    <t>PP&amp;E</t>
  </si>
  <si>
    <t>Share Price</t>
  </si>
  <si>
    <t>Lease</t>
  </si>
  <si>
    <t>Delta</t>
  </si>
  <si>
    <t>Goodwill</t>
  </si>
  <si>
    <t>Market Cap</t>
  </si>
  <si>
    <t>Other</t>
  </si>
  <si>
    <t>Assets</t>
  </si>
  <si>
    <t>AP</t>
  </si>
  <si>
    <t>AE</t>
  </si>
  <si>
    <t>DR</t>
  </si>
  <si>
    <t>Debt</t>
  </si>
  <si>
    <t>SE</t>
  </si>
  <si>
    <t>L+SE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</si>
  <si>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</si>
  <si>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</si>
  <si>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</si>
  <si>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</si>
  <si>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</si>
  <si>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</si>
  <si>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</si>
  <si>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</si>
  <si>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</si>
  <si>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</si>
  <si>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Product Rev</t>
  </si>
  <si>
    <t>Service Rev</t>
  </si>
  <si>
    <t>Contract Rev</t>
  </si>
  <si>
    <t>SG&amp;A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</si>
</sst>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4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3" fillId="0" borderId="0" xfId="0" applyFont="1"/>
    <xf numFmtId="9" fontId="0" fillId="0" borderId="0" xfId="0" applyNumberFormat="1" applyAlignment="1">
      <alignment horizontal="right"/>
    </xf>
    <xf numFmtId="0" fontId="0" fillId="0" borderId="1" xfId="0" applyBorder="1"/>
    <xf numFmtId="9" fontId="3" fillId="0" borderId="1" xfId="3" applyFont="1" applyBorder="1"/>
    <xf numFmtId="3" fontId="0" fillId="0" borderId="1" xfId="0" applyNumberFormat="1" applyBorder="1"/>
    <xf numFmtId="9" fontId="0" fillId="0" borderId="1" xfId="3" applyFont="1" applyBorder="1"/>
    <xf numFmtId="44" fontId="0" fillId="0" borderId="1" xfId="2" applyFont="1" applyBorder="1"/>
    <xf numFmtId="164" fontId="0" fillId="0" borderId="1" xfId="1" applyNumberFormat="1" applyFont="1" applyBorder="1"/>
    <xf numFmtId="44" fontId="3" fillId="0" borderId="1" xfId="2" applyFont="1" applyBorder="1"/>
    <xf numFmtId="1" fontId="0" fillId="0" borderId="0" xfId="0" applyNumberFormat="1" applyAlignment="1">
      <alignment horizontal="right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58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53F3C1D-BD37-4E71-AE16-1037C6ACF069}"/>
            </a:ext>
          </a:extLst>
        </xdr:cNvPr>
        <xdr:cNvCxnSpPr/>
      </xdr:nvCxnSpPr>
      <xdr:spPr>
        <a:xfrm>
          <a:off x="7362825" y="57150"/>
          <a:ext cx="0" cy="9220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ffe\Documents\GitHub\martinshkreli-models\DDOG.xlsx" TargetMode="External"/><Relationship Id="rId1" Type="http://schemas.openxmlformats.org/officeDocument/2006/relationships/externalLinkPath" Target="DD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O2">
            <v>109.87</v>
          </cell>
        </row>
        <row r="3">
          <cell r="O3">
            <v>296.27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70C2D9A-2E56-433B-8936-10F054A12F4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8" dT="2022-09-02T15:00:42.62" personId="{370C2D9A-2E56-433B-8936-10F054A12F48}" id="{B79EFD59-4B41-4805-87D1-0ED3868EFC2F}">
    <text>Q1: 376-380m</text>
  </threadedComment>
  <threadedComment ref="M8" dT="2022-09-02T14:59:12.36" personId="{370C2D9A-2E56-433B-8936-10F054A12F48}" id="{20D7A2AF-E261-4347-98F0-1AED579F92D3}">
    <text>Q2: 410-414m</text>
  </threadedComment>
  <threadedComment ref="V8" dT="2022-09-02T14:59:40.61" personId="{370C2D9A-2E56-433B-8936-10F054A12F48}" id="{8EEE31B8-BC94-421B-A52E-E02E523A78E7}">
    <text>Q2: 1610-1630m</text>
  </threadedComment>
  <threadedComment ref="V8" dT="2022-09-02T15:01:04.51" personId="{370C2D9A-2E56-433B-8936-10F054A12F48}" id="{0F0F0771-E2D8-4023-9863-7D918EC0EB77}" parentId="{8EEE31B8-BC94-421B-A52E-E02E523A78E7}">
    <text>Q1: 1600-1620m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AD33-99C5-4121-980B-8556C8EA76DD}">
  <dimension ref="A1:CZ55"/>
  <sheetViews>
    <sheetView tabSelected="1" topLeftCell="K17" zoomScale="110" zoomScaleNormal="110" workbookViewId="0">
      <selection activeCell="R24" sqref="R24:S31"/>
    </sheetView>
  </sheetViews>
  <sheetFormatPr defaultRowHeight="15" x14ac:dyDescent="0.25"/>
  <cols>
    <col min="1" max="1" width="5" bestFit="1" customWidth="1"/>
    <col min="2" max="2" width="13.28515625" customWidth="1"/>
    <col min="3" max="4" width="9.140625" style="2"/>
    <col min="5" max="5" width="9.7109375" style="2" bestFit="1" customWidth="1"/>
    <col min="6" max="6" width="11" style="2" bestFit="1" customWidth="1"/>
    <col min="7" max="7" width="9.85546875" style="2" bestFit="1" customWidth="1"/>
    <col min="8" max="10" width="9.140625" style="2"/>
    <col min="11" max="11" width="7.7109375" style="2" bestFit="1" customWidth="1"/>
    <col min="12" max="13" width="9.7109375" style="2" bestFit="1" customWidth="1"/>
    <col min="14" max="14" width="10.85546875" style="2" bestFit="1" customWidth="1"/>
    <col min="15" max="15" width="9.7109375" bestFit="1" customWidth="1"/>
    <col min="18" max="18" width="12.7109375" bestFit="1" customWidth="1"/>
    <col min="19" max="19" width="11.28515625" bestFit="1" customWidth="1"/>
  </cols>
  <sheetData>
    <row r="1" spans="1:104" x14ac:dyDescent="0.25">
      <c r="A1" s="1" t="s">
        <v>0</v>
      </c>
      <c r="E1" s="3">
        <v>44104</v>
      </c>
      <c r="F1" s="3">
        <v>44196</v>
      </c>
      <c r="G1" s="3">
        <v>44286</v>
      </c>
      <c r="L1" s="3">
        <v>44742</v>
      </c>
      <c r="M1" s="3">
        <v>44834</v>
      </c>
      <c r="N1" s="3">
        <v>44926</v>
      </c>
      <c r="O1" s="4">
        <v>45016</v>
      </c>
      <c r="R1" t="s">
        <v>1</v>
      </c>
    </row>
    <row r="2" spans="1:104" x14ac:dyDescent="0.25"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/>
      <c r="R2" s="2">
        <v>2018</v>
      </c>
      <c r="S2" s="2">
        <v>2019</v>
      </c>
      <c r="T2">
        <v>2020</v>
      </c>
      <c r="U2">
        <f>+T2+1</f>
        <v>2021</v>
      </c>
      <c r="V2">
        <f t="shared" ref="V2:X2" si="0">+U2+1</f>
        <v>2022</v>
      </c>
      <c r="W2">
        <f t="shared" si="0"/>
        <v>2023</v>
      </c>
      <c r="X2">
        <f t="shared" si="0"/>
        <v>2024</v>
      </c>
      <c r="Y2">
        <v>2025</v>
      </c>
      <c r="Z2">
        <v>2026</v>
      </c>
      <c r="AA2">
        <v>2027</v>
      </c>
      <c r="AB2">
        <v>2028</v>
      </c>
      <c r="AC2">
        <v>2029</v>
      </c>
      <c r="AD2">
        <v>2030</v>
      </c>
    </row>
    <row r="3" spans="1:104" x14ac:dyDescent="0.25">
      <c r="B3" t="s">
        <v>62</v>
      </c>
      <c r="E3" s="22">
        <v>20.47</v>
      </c>
      <c r="F3" s="22"/>
      <c r="G3" s="22"/>
      <c r="H3" s="22"/>
      <c r="I3" s="22"/>
      <c r="J3" s="22"/>
      <c r="K3" s="22"/>
      <c r="L3" s="22"/>
    </row>
    <row r="4" spans="1:104" x14ac:dyDescent="0.25">
      <c r="B4" t="s">
        <v>63</v>
      </c>
      <c r="E4" s="22">
        <v>16.876999999999999</v>
      </c>
      <c r="F4" s="22"/>
      <c r="G4" s="22"/>
      <c r="H4" s="22"/>
      <c r="I4" s="22"/>
      <c r="J4" s="22"/>
      <c r="K4" s="22"/>
      <c r="L4" s="22"/>
    </row>
    <row r="5" spans="1:104" x14ac:dyDescent="0.25">
      <c r="B5" t="s">
        <v>64</v>
      </c>
      <c r="E5" s="22">
        <v>17.5</v>
      </c>
      <c r="F5" s="22"/>
      <c r="G5" s="22"/>
      <c r="H5" s="22"/>
      <c r="I5" s="22"/>
      <c r="J5" s="22"/>
      <c r="K5" s="22"/>
      <c r="L5" s="22"/>
    </row>
    <row r="8" spans="1:104" s="5" customFormat="1" ht="12.75" x14ac:dyDescent="0.2">
      <c r="B8" s="5" t="s">
        <v>16</v>
      </c>
      <c r="C8" s="6"/>
      <c r="D8" s="6"/>
      <c r="E8" s="6">
        <f>SUM(E3:E5)</f>
        <v>54.846999999999994</v>
      </c>
      <c r="F8" s="6"/>
      <c r="G8" s="6"/>
      <c r="H8" s="6"/>
      <c r="I8" s="6"/>
      <c r="J8" s="6"/>
      <c r="K8" s="6"/>
      <c r="L8" s="6"/>
      <c r="M8" s="6"/>
      <c r="N8" s="6"/>
      <c r="S8" s="5">
        <v>362.78</v>
      </c>
      <c r="T8" s="5">
        <v>603.46600000000001</v>
      </c>
      <c r="U8" s="5">
        <v>1028.7840000000001</v>
      </c>
      <c r="V8" s="5">
        <f>SUM(K8:N8)</f>
        <v>0</v>
      </c>
      <c r="W8" s="5">
        <f>V8*(1+$S$24)</f>
        <v>0</v>
      </c>
      <c r="X8" s="5">
        <f>W8*(1+$S$24)</f>
        <v>0</v>
      </c>
      <c r="Y8" s="5">
        <f>X8*(1+$S$24)</f>
        <v>0</v>
      </c>
      <c r="Z8" s="5">
        <f>Y8*(1+$S$24)</f>
        <v>0</v>
      </c>
      <c r="AA8" s="5">
        <f>Z8*(1+$S$24)</f>
        <v>0</v>
      </c>
      <c r="AB8" s="5">
        <f>AA8*(1+$S$24)</f>
        <v>0</v>
      </c>
      <c r="AC8" s="5">
        <f>AB8*(1+$S$24)</f>
        <v>0</v>
      </c>
      <c r="AD8" s="5">
        <f>AC8*(1+$S$24)</f>
        <v>0</v>
      </c>
      <c r="AE8" s="5">
        <f>AD8*(1+S25)</f>
        <v>0</v>
      </c>
      <c r="AF8" s="5">
        <f>AE8*(1+T25)</f>
        <v>0</v>
      </c>
      <c r="AG8" s="5">
        <f>AF8*(1+U25)</f>
        <v>0</v>
      </c>
      <c r="AH8" s="5">
        <f>AG8*(1+V25)</f>
        <v>0</v>
      </c>
      <c r="AI8" s="5">
        <f>AH8*(1+W25)</f>
        <v>0</v>
      </c>
      <c r="AJ8" s="5">
        <f>AI8*(1+X25)</f>
        <v>0</v>
      </c>
      <c r="AK8" s="5">
        <f>AJ8*(1+Y25)</f>
        <v>0</v>
      </c>
      <c r="AL8" s="5">
        <f>AK8*(1+Z25)</f>
        <v>0</v>
      </c>
      <c r="AM8" s="5">
        <f>AL8*(1+AA25)</f>
        <v>0</v>
      </c>
      <c r="AN8" s="5">
        <f>AM8*(1+AB25)</f>
        <v>0</v>
      </c>
      <c r="AO8" s="5">
        <f>AN8*(1+AC25)</f>
        <v>0</v>
      </c>
      <c r="AP8" s="5">
        <f>AO8*(1+AD25)</f>
        <v>0</v>
      </c>
      <c r="AQ8" s="5">
        <f>AP8*(1+AE25)</f>
        <v>0</v>
      </c>
      <c r="AR8" s="5">
        <f>AQ8*(1+AF25)</f>
        <v>0</v>
      </c>
      <c r="AS8" s="5">
        <f>AR8*(1+AG25)</f>
        <v>0</v>
      </c>
      <c r="AT8" s="5">
        <f>AS8*(1+AH25)</f>
        <v>0</v>
      </c>
      <c r="AU8" s="5">
        <f>AT8*(1+AI25)</f>
        <v>0</v>
      </c>
      <c r="AV8" s="5">
        <f>AU8*(1+AJ25)</f>
        <v>0</v>
      </c>
      <c r="AW8" s="5">
        <f>AV8*(1+AK25)</f>
        <v>0</v>
      </c>
      <c r="AX8" s="5">
        <f>AW8*(1+AL25)</f>
        <v>0</v>
      </c>
      <c r="AY8" s="5">
        <f>AX8*(1+AM25)</f>
        <v>0</v>
      </c>
      <c r="AZ8" s="5">
        <f>AY8*(1+AN25)</f>
        <v>0</v>
      </c>
      <c r="BA8" s="5">
        <f>AZ8*(1+AO25)</f>
        <v>0</v>
      </c>
      <c r="BB8" s="5">
        <f>BA8*(1+AP25)</f>
        <v>0</v>
      </c>
      <c r="BC8" s="5">
        <f>BB8*(1+AQ25)</f>
        <v>0</v>
      </c>
      <c r="BD8" s="5">
        <f>BC8*(1+AR25)</f>
        <v>0</v>
      </c>
      <c r="BE8" s="5">
        <f>BD8*(1+AS25)</f>
        <v>0</v>
      </c>
      <c r="BF8" s="5">
        <f>BE8*(1+AT25)</f>
        <v>0</v>
      </c>
      <c r="BG8" s="5">
        <f>BF8*(1+AU25)</f>
        <v>0</v>
      </c>
      <c r="BH8" s="5">
        <f>BG8*(1+AV25)</f>
        <v>0</v>
      </c>
      <c r="BI8" s="5">
        <f>BH8*(1+AW25)</f>
        <v>0</v>
      </c>
      <c r="BJ8" s="5">
        <f>BI8*(1+AX25)</f>
        <v>0</v>
      </c>
      <c r="BK8" s="5">
        <f>BJ8*(1+AY25)</f>
        <v>0</v>
      </c>
      <c r="BL8" s="5">
        <f>BK8*(1+AZ25)</f>
        <v>0</v>
      </c>
      <c r="BM8" s="5">
        <f>BL8*(1+BA25)</f>
        <v>0</v>
      </c>
      <c r="BN8" s="5">
        <f>BM8*(1+BB25)</f>
        <v>0</v>
      </c>
      <c r="BO8" s="5">
        <f>BN8*(1+BC25)</f>
        <v>0</v>
      </c>
      <c r="BP8" s="5">
        <f>BO8*(1+BD25)</f>
        <v>0</v>
      </c>
      <c r="BQ8" s="5">
        <f>BP8*(1+BE25)</f>
        <v>0</v>
      </c>
      <c r="BR8" s="5">
        <f>BQ8*(1+BF25)</f>
        <v>0</v>
      </c>
      <c r="BS8" s="5">
        <f>BR8*(1+BG25)</f>
        <v>0</v>
      </c>
      <c r="BT8" s="5">
        <f>BS8*(1+BH25)</f>
        <v>0</v>
      </c>
      <c r="BU8" s="5">
        <f>BT8*(1+BI25)</f>
        <v>0</v>
      </c>
      <c r="BV8" s="5">
        <f>BU8*(1+BJ25)</f>
        <v>0</v>
      </c>
      <c r="BW8" s="5">
        <f>BV8*(1+BK25)</f>
        <v>0</v>
      </c>
      <c r="BX8" s="5">
        <f>BW8*(1+BL25)</f>
        <v>0</v>
      </c>
      <c r="BY8" s="5">
        <f>BX8*(1+BM25)</f>
        <v>0</v>
      </c>
      <c r="BZ8" s="5">
        <f>BY8*(1+BN25)</f>
        <v>0</v>
      </c>
      <c r="CA8" s="5">
        <f>BZ8*(1+BO25)</f>
        <v>0</v>
      </c>
      <c r="CB8" s="5">
        <f>CA8*(1+BP25)</f>
        <v>0</v>
      </c>
      <c r="CC8" s="5">
        <f>CB8*(1+BQ25)</f>
        <v>0</v>
      </c>
      <c r="CD8" s="5">
        <f>CC8*(1+BR25)</f>
        <v>0</v>
      </c>
      <c r="CE8" s="5">
        <f>CD8*(1+BS25)</f>
        <v>0</v>
      </c>
      <c r="CF8" s="5">
        <f>CE8*(1+BT25)</f>
        <v>0</v>
      </c>
      <c r="CG8" s="5">
        <f>CF8*(1+BU25)</f>
        <v>0</v>
      </c>
      <c r="CH8" s="5">
        <f>CG8*(1+BV25)</f>
        <v>0</v>
      </c>
      <c r="CI8" s="5">
        <f>CH8*(1+BW25)</f>
        <v>0</v>
      </c>
      <c r="CJ8" s="5">
        <f>CI8*(1+BX25)</f>
        <v>0</v>
      </c>
      <c r="CK8" s="5">
        <f>CJ8*(1+BY25)</f>
        <v>0</v>
      </c>
      <c r="CL8" s="5">
        <f>CK8*(1+BZ25)</f>
        <v>0</v>
      </c>
      <c r="CM8" s="5">
        <f>CL8*(1+CA25)</f>
        <v>0</v>
      </c>
      <c r="CN8" s="5">
        <f>CM8*(1+CB25)</f>
        <v>0</v>
      </c>
      <c r="CO8" s="5">
        <f>CN8*(1+CC25)</f>
        <v>0</v>
      </c>
      <c r="CP8" s="5">
        <f>CO8*(1+CD25)</f>
        <v>0</v>
      </c>
      <c r="CQ8" s="5">
        <f>CP8*(1+CE25)</f>
        <v>0</v>
      </c>
      <c r="CR8" s="5">
        <f>CQ8*(1+CF25)</f>
        <v>0</v>
      </c>
      <c r="CS8" s="5">
        <f>CR8*(1+CG25)</f>
        <v>0</v>
      </c>
      <c r="CT8" s="5">
        <f>CS8*(1+CH25)</f>
        <v>0</v>
      </c>
      <c r="CU8" s="5">
        <f>CT8*(1+CI25)</f>
        <v>0</v>
      </c>
      <c r="CV8" s="5">
        <f>CU8*(1+CJ25)</f>
        <v>0</v>
      </c>
      <c r="CW8" s="5">
        <f>CV8*(1+CK25)</f>
        <v>0</v>
      </c>
      <c r="CX8" s="5">
        <f>CW8*(1+CL25)</f>
        <v>0</v>
      </c>
      <c r="CY8" s="5">
        <f>CX8*(1+CM25)</f>
        <v>0</v>
      </c>
      <c r="CZ8" s="5">
        <f>CY8*(1+CN25)</f>
        <v>0</v>
      </c>
    </row>
    <row r="9" spans="1:104" s="7" customFormat="1" x14ac:dyDescent="0.25">
      <c r="B9" s="7" t="s">
        <v>17</v>
      </c>
      <c r="C9" s="8"/>
      <c r="D9" s="8"/>
      <c r="E9" s="8">
        <v>43.176000000000002</v>
      </c>
      <c r="F9" s="8"/>
      <c r="G9" s="8"/>
      <c r="H9" s="8"/>
      <c r="I9" s="8"/>
      <c r="J9" s="8"/>
      <c r="K9" s="8"/>
      <c r="L9" s="8"/>
      <c r="M9" s="8"/>
      <c r="N9" s="8"/>
    </row>
    <row r="10" spans="1:104" s="7" customFormat="1" x14ac:dyDescent="0.25">
      <c r="B10" s="7" t="s">
        <v>18</v>
      </c>
      <c r="C10" s="8"/>
      <c r="D10" s="8"/>
      <c r="E10" s="8">
        <f t="shared" ref="E10" si="1">+E8-E9</f>
        <v>11.670999999999992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04" s="7" customFormat="1" x14ac:dyDescent="0.25">
      <c r="B11" s="7" t="s">
        <v>19</v>
      </c>
      <c r="C11" s="8"/>
      <c r="D11" s="8"/>
      <c r="E11" s="8">
        <v>4.21</v>
      </c>
      <c r="F11" s="8"/>
      <c r="G11" s="8"/>
      <c r="H11" s="8"/>
      <c r="I11" s="8"/>
      <c r="J11" s="8"/>
      <c r="K11" s="8"/>
      <c r="L11" s="8"/>
      <c r="M11" s="8"/>
      <c r="N11" s="8"/>
    </row>
    <row r="12" spans="1:104" s="7" customFormat="1" x14ac:dyDescent="0.25">
      <c r="B12" s="7" t="s">
        <v>65</v>
      </c>
      <c r="C12" s="8"/>
      <c r="D12" s="8"/>
      <c r="E12" s="8">
        <v>10.512</v>
      </c>
      <c r="F12" s="8"/>
      <c r="G12" s="8"/>
      <c r="H12" s="8"/>
      <c r="I12" s="8"/>
      <c r="J12" s="8"/>
      <c r="K12" s="8"/>
      <c r="L12" s="8"/>
      <c r="M12" s="8"/>
      <c r="N12" s="8"/>
    </row>
    <row r="13" spans="1:104" s="7" customFormat="1" x14ac:dyDescent="0.25">
      <c r="B13" s="7" t="s">
        <v>20</v>
      </c>
      <c r="C13" s="8"/>
      <c r="D13" s="8"/>
      <c r="E13" s="8">
        <f>SUM(E11:E12)</f>
        <v>14.722000000000001</v>
      </c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04" s="7" customFormat="1" x14ac:dyDescent="0.25">
      <c r="B14" s="7" t="s">
        <v>21</v>
      </c>
      <c r="C14" s="8"/>
      <c r="D14" s="8"/>
      <c r="E14" s="8">
        <f>E10-E13</f>
        <v>-3.051000000000009</v>
      </c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04" s="7" customFormat="1" x14ac:dyDescent="0.25">
      <c r="B15" s="7" t="s">
        <v>22</v>
      </c>
      <c r="C15" s="8"/>
      <c r="D15" s="8"/>
      <c r="E15" s="8">
        <f>-0.486-2.235</f>
        <v>-2.7210000000000001</v>
      </c>
      <c r="F15" s="8"/>
      <c r="G15" s="8"/>
      <c r="H15" s="8"/>
      <c r="I15" s="8"/>
      <c r="J15" s="8"/>
      <c r="K15" s="8"/>
      <c r="L15" s="8"/>
      <c r="M15" s="8"/>
      <c r="N15" s="8"/>
    </row>
    <row r="16" spans="1:104" s="7" customFormat="1" x14ac:dyDescent="0.25">
      <c r="B16" s="7" t="s">
        <v>23</v>
      </c>
      <c r="C16" s="8"/>
      <c r="D16" s="8"/>
      <c r="E16" s="8">
        <f t="shared" ref="E16" si="2">+E14+E15</f>
        <v>-5.7720000000000091</v>
      </c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9" s="7" customFormat="1" x14ac:dyDescent="0.25">
      <c r="B17" s="7" t="s">
        <v>24</v>
      </c>
      <c r="C17" s="8"/>
      <c r="D17" s="8"/>
      <c r="E17" s="8">
        <v>-0.08</v>
      </c>
      <c r="F17" s="8"/>
      <c r="G17" s="8"/>
      <c r="H17" s="8"/>
      <c r="I17" s="8"/>
      <c r="J17" s="8"/>
      <c r="K17" s="8"/>
      <c r="L17" s="8"/>
      <c r="M17" s="8"/>
      <c r="N17" s="8"/>
    </row>
    <row r="18" spans="2:19" s="7" customFormat="1" x14ac:dyDescent="0.25">
      <c r="B18" s="7" t="s">
        <v>25</v>
      </c>
      <c r="C18" s="8"/>
      <c r="D18" s="8"/>
      <c r="E18" s="8">
        <f t="shared" ref="E18" si="3">+E16-E17</f>
        <v>-5.6920000000000091</v>
      </c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2:19" s="9" customFormat="1" x14ac:dyDescent="0.25">
      <c r="B19" s="9" t="s">
        <v>26</v>
      </c>
      <c r="C19" s="10"/>
      <c r="D19" s="10"/>
      <c r="E19" s="10">
        <f t="shared" ref="E19" si="4">+E18/E20</f>
        <v>-1.8813170541457095E-2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2:19" s="7" customFormat="1" x14ac:dyDescent="0.25">
      <c r="B20" s="7" t="s">
        <v>27</v>
      </c>
      <c r="C20" s="8"/>
      <c r="D20" s="8"/>
      <c r="E20" s="8">
        <v>302.55399999999997</v>
      </c>
      <c r="F20" s="8"/>
      <c r="G20" s="8"/>
      <c r="H20" s="8"/>
      <c r="I20" s="8"/>
      <c r="J20" s="8"/>
      <c r="K20" s="8"/>
      <c r="L20" s="8"/>
      <c r="M20" s="8"/>
      <c r="N20" s="8"/>
    </row>
    <row r="22" spans="2:19" s="13" customFormat="1" ht="12.75" x14ac:dyDescent="0.2">
      <c r="B22" s="5" t="s">
        <v>28</v>
      </c>
      <c r="C22" s="11"/>
      <c r="D22" s="11"/>
      <c r="E22" s="11"/>
      <c r="F22" s="11"/>
      <c r="G22" s="11"/>
      <c r="H22" s="11"/>
      <c r="I22" s="12">
        <f t="shared" ref="I22:K22" si="5">+I8/E8-1</f>
        <v>-1</v>
      </c>
      <c r="J22" s="12" t="e">
        <f t="shared" si="5"/>
        <v>#DIV/0!</v>
      </c>
      <c r="K22" s="12" t="e">
        <f t="shared" si="5"/>
        <v>#DIV/0!</v>
      </c>
      <c r="L22" s="12" t="e">
        <f>+L8/H8-1</f>
        <v>#DIV/0!</v>
      </c>
      <c r="M22" s="12" t="e">
        <f>+M8/I8-1</f>
        <v>#DIV/0!</v>
      </c>
      <c r="N22" s="12" t="e">
        <f>+N8/J8-1</f>
        <v>#DIV/0!</v>
      </c>
      <c r="O22" s="12" t="e">
        <f>+O8/K8-1</f>
        <v>#DIV/0!</v>
      </c>
    </row>
    <row r="23" spans="2:19" x14ac:dyDescent="0.25">
      <c r="B23" s="7" t="s">
        <v>29</v>
      </c>
      <c r="E23" s="14">
        <f t="shared" ref="E23:K23" si="6">+E10/E8</f>
        <v>0.21279194851131317</v>
      </c>
      <c r="F23" s="14" t="e">
        <f t="shared" si="6"/>
        <v>#DIV/0!</v>
      </c>
      <c r="G23" s="14" t="e">
        <f t="shared" si="6"/>
        <v>#DIV/0!</v>
      </c>
      <c r="H23" s="14" t="e">
        <f t="shared" si="6"/>
        <v>#DIV/0!</v>
      </c>
      <c r="I23" s="14" t="e">
        <f t="shared" si="6"/>
        <v>#DIV/0!</v>
      </c>
      <c r="J23" s="14" t="e">
        <f t="shared" si="6"/>
        <v>#DIV/0!</v>
      </c>
      <c r="K23" s="14" t="e">
        <f t="shared" si="6"/>
        <v>#DIV/0!</v>
      </c>
      <c r="L23" s="14" t="e">
        <f>+L10/L8</f>
        <v>#DIV/0!</v>
      </c>
      <c r="M23" s="14" t="e">
        <f t="shared" ref="M23:O23" si="7">+M10/M8</f>
        <v>#DIV/0!</v>
      </c>
      <c r="N23" s="14" t="e">
        <f t="shared" si="7"/>
        <v>#DIV/0!</v>
      </c>
      <c r="O23" s="14" t="e">
        <f t="shared" si="7"/>
        <v>#DIV/0!</v>
      </c>
    </row>
    <row r="24" spans="2:19" x14ac:dyDescent="0.25">
      <c r="R24" s="15" t="s">
        <v>30</v>
      </c>
      <c r="S24" s="16">
        <v>0.3</v>
      </c>
    </row>
    <row r="25" spans="2:19" s="7" customFormat="1" x14ac:dyDescent="0.25">
      <c r="B25" s="7" t="s">
        <v>31</v>
      </c>
      <c r="C25" s="8"/>
      <c r="D25" s="8"/>
      <c r="E25" s="8"/>
      <c r="F25" s="8"/>
      <c r="G25" s="8"/>
      <c r="H25" s="8"/>
      <c r="I25" s="8"/>
      <c r="J25" s="8"/>
      <c r="K25" s="8">
        <f>271.686+1399.323+3.424</f>
        <v>1674.433</v>
      </c>
      <c r="L25" s="8">
        <f>238.859+1464.681+3.214</f>
        <v>1706.7539999999999</v>
      </c>
      <c r="M25" s="8"/>
      <c r="N25" s="8"/>
      <c r="R25" s="17" t="s">
        <v>32</v>
      </c>
      <c r="S25" s="18">
        <v>0.01</v>
      </c>
    </row>
    <row r="26" spans="2:19" s="7" customFormat="1" x14ac:dyDescent="0.25">
      <c r="B26" s="7" t="s">
        <v>33</v>
      </c>
      <c r="C26" s="8"/>
      <c r="D26" s="8"/>
      <c r="E26" s="8"/>
      <c r="F26" s="8"/>
      <c r="G26" s="8"/>
      <c r="H26" s="8"/>
      <c r="I26" s="8"/>
      <c r="J26" s="8"/>
      <c r="K26" s="8">
        <v>275.34199999999998</v>
      </c>
      <c r="L26" s="8">
        <v>305.50099999999998</v>
      </c>
      <c r="M26" s="8"/>
      <c r="N26" s="8"/>
      <c r="R26" s="17" t="s">
        <v>34</v>
      </c>
      <c r="S26" s="18">
        <v>0.11</v>
      </c>
    </row>
    <row r="27" spans="2:19" s="7" customFormat="1" x14ac:dyDescent="0.25">
      <c r="B27" s="7" t="s">
        <v>35</v>
      </c>
      <c r="C27" s="8"/>
      <c r="D27" s="8"/>
      <c r="E27" s="8"/>
      <c r="F27" s="8"/>
      <c r="G27" s="8"/>
      <c r="H27" s="8"/>
      <c r="I27" s="8"/>
      <c r="J27" s="8"/>
      <c r="K27" s="8">
        <f>24.688+42.753</f>
        <v>67.441000000000003</v>
      </c>
      <c r="L27" s="8">
        <f>27.345+46.84</f>
        <v>74.185000000000002</v>
      </c>
      <c r="M27" s="8"/>
      <c r="N27" s="8"/>
      <c r="R27" s="17" t="s">
        <v>36</v>
      </c>
      <c r="S27" s="19">
        <f>NPV(S26,S8:CZ8)</f>
        <v>1568.8533661492024</v>
      </c>
    </row>
    <row r="28" spans="2:19" s="7" customFormat="1" x14ac:dyDescent="0.25">
      <c r="B28" s="7" t="s">
        <v>37</v>
      </c>
      <c r="C28" s="8"/>
      <c r="D28" s="8"/>
      <c r="E28" s="8"/>
      <c r="F28" s="8"/>
      <c r="G28" s="8"/>
      <c r="H28" s="8"/>
      <c r="I28" s="8"/>
      <c r="J28" s="8"/>
      <c r="K28" s="8">
        <v>32.631999999999998</v>
      </c>
      <c r="L28" s="8">
        <v>33.201999999999998</v>
      </c>
      <c r="M28" s="8"/>
      <c r="N28" s="8"/>
      <c r="R28" s="17" t="s">
        <v>27</v>
      </c>
      <c r="S28" s="20">
        <f>[1]Main!O3</f>
        <v>296.27</v>
      </c>
    </row>
    <row r="29" spans="2:19" s="7" customFormat="1" x14ac:dyDescent="0.25">
      <c r="B29" s="7" t="s">
        <v>38</v>
      </c>
      <c r="C29" s="8"/>
      <c r="D29" s="8"/>
      <c r="E29" s="8"/>
      <c r="F29" s="8"/>
      <c r="G29" s="8"/>
      <c r="H29" s="8"/>
      <c r="I29" s="8"/>
      <c r="J29" s="8"/>
      <c r="K29" s="8">
        <v>90.712999999999994</v>
      </c>
      <c r="L29" s="8">
        <v>97.790999999999997</v>
      </c>
      <c r="M29" s="8"/>
      <c r="N29" s="8"/>
      <c r="R29" s="17" t="s">
        <v>39</v>
      </c>
      <c r="S29" s="21">
        <f>S27/S28</f>
        <v>5.2953500730725436</v>
      </c>
    </row>
    <row r="30" spans="2:19" s="7" customFormat="1" x14ac:dyDescent="0.25">
      <c r="B30" s="7" t="s">
        <v>40</v>
      </c>
      <c r="C30" s="8"/>
      <c r="D30" s="8"/>
      <c r="E30" s="8"/>
      <c r="F30" s="8"/>
      <c r="G30" s="8"/>
      <c r="H30" s="8"/>
      <c r="I30" s="8"/>
      <c r="J30" s="8"/>
      <c r="K30" s="8">
        <v>61.920999999999999</v>
      </c>
      <c r="L30" s="8">
        <v>64.016000000000005</v>
      </c>
      <c r="M30" s="8"/>
      <c r="N30" s="8"/>
      <c r="R30" s="17" t="s">
        <v>41</v>
      </c>
      <c r="S30" s="16">
        <f>(S29-[1]Main!O2)/[1]Main!O2</f>
        <v>-0.95180349437451039</v>
      </c>
    </row>
    <row r="31" spans="2:19" s="7" customFormat="1" x14ac:dyDescent="0.25">
      <c r="B31" s="7" t="s">
        <v>42</v>
      </c>
      <c r="C31" s="8"/>
      <c r="D31" s="8"/>
      <c r="E31" s="8"/>
      <c r="F31" s="8"/>
      <c r="G31" s="8"/>
      <c r="H31" s="8"/>
      <c r="I31" s="8"/>
      <c r="J31" s="8"/>
      <c r="K31" s="8">
        <f>292.032+14.088</f>
        <v>306.12</v>
      </c>
      <c r="L31" s="8">
        <f>334.687+17.96</f>
        <v>352.64699999999999</v>
      </c>
      <c r="M31" s="8"/>
      <c r="N31" s="8"/>
      <c r="R31" s="17" t="s">
        <v>43</v>
      </c>
      <c r="S31" s="19">
        <f>S28*S29</f>
        <v>1568.8533661492024</v>
      </c>
    </row>
    <row r="32" spans="2:19" s="7" customFormat="1" x14ac:dyDescent="0.25">
      <c r="B32" s="7" t="s">
        <v>44</v>
      </c>
      <c r="C32" s="8"/>
      <c r="D32" s="8"/>
      <c r="E32" s="8"/>
      <c r="F32" s="8"/>
      <c r="G32" s="8"/>
      <c r="H32" s="8"/>
      <c r="I32" s="8"/>
      <c r="J32" s="8"/>
      <c r="K32" s="8">
        <v>20.413</v>
      </c>
      <c r="L32" s="8">
        <v>20.390999999999998</v>
      </c>
      <c r="M32" s="8"/>
      <c r="N32" s="8"/>
    </row>
    <row r="33" spans="2:14" s="7" customFormat="1" x14ac:dyDescent="0.25">
      <c r="B33" s="7" t="s">
        <v>45</v>
      </c>
      <c r="C33" s="8"/>
      <c r="D33" s="8"/>
      <c r="E33" s="8"/>
      <c r="F33" s="8"/>
      <c r="G33" s="8"/>
      <c r="H33" s="8"/>
      <c r="I33" s="8"/>
      <c r="J33" s="8"/>
      <c r="K33" s="8">
        <f>SUM(K25:K32)</f>
        <v>2529.0149999999999</v>
      </c>
      <c r="L33" s="8">
        <f>SUM(L25:L32)</f>
        <v>2654.4870000000001</v>
      </c>
      <c r="M33" s="8"/>
      <c r="N33" s="8"/>
    </row>
    <row r="35" spans="2:14" s="7" customFormat="1" x14ac:dyDescent="0.25">
      <c r="B35" s="7" t="s">
        <v>46</v>
      </c>
      <c r="C35" s="8"/>
      <c r="D35" s="8"/>
      <c r="E35" s="8"/>
      <c r="F35" s="8"/>
      <c r="G35" s="8"/>
      <c r="H35" s="8"/>
      <c r="I35" s="8"/>
      <c r="J35" s="8"/>
      <c r="K35" s="8">
        <v>18.629000000000001</v>
      </c>
      <c r="L35" s="8">
        <v>47.65</v>
      </c>
      <c r="M35" s="8"/>
      <c r="N35" s="8"/>
    </row>
    <row r="36" spans="2:14" s="7" customFormat="1" x14ac:dyDescent="0.25">
      <c r="B36" s="7" t="s">
        <v>47</v>
      </c>
      <c r="C36" s="8"/>
      <c r="D36" s="8"/>
      <c r="E36" s="8"/>
      <c r="F36" s="8"/>
      <c r="G36" s="8"/>
      <c r="H36" s="8"/>
      <c r="I36" s="8"/>
      <c r="J36" s="8"/>
      <c r="K36" s="8">
        <v>108.211</v>
      </c>
      <c r="L36" s="8">
        <v>111.622</v>
      </c>
      <c r="M36" s="8"/>
      <c r="N36" s="8"/>
    </row>
    <row r="37" spans="2:14" s="7" customFormat="1" x14ac:dyDescent="0.25">
      <c r="B37" s="7" t="s">
        <v>40</v>
      </c>
      <c r="C37" s="8"/>
      <c r="D37" s="8"/>
      <c r="E37" s="8"/>
      <c r="F37" s="8"/>
      <c r="G37" s="8"/>
      <c r="H37" s="8"/>
      <c r="I37" s="8"/>
      <c r="J37" s="8"/>
      <c r="K37" s="8">
        <f>20.32+51.817</f>
        <v>72.137</v>
      </c>
      <c r="L37" s="8">
        <f>22.357+51.771</f>
        <v>74.128</v>
      </c>
      <c r="M37" s="8"/>
      <c r="N37" s="8"/>
    </row>
    <row r="38" spans="2:14" s="7" customFormat="1" x14ac:dyDescent="0.25">
      <c r="B38" s="7" t="s">
        <v>48</v>
      </c>
      <c r="C38" s="8"/>
      <c r="D38" s="8"/>
      <c r="E38" s="8"/>
      <c r="F38" s="8"/>
      <c r="G38" s="8"/>
      <c r="H38" s="8"/>
      <c r="I38" s="8"/>
      <c r="J38" s="8"/>
      <c r="K38" s="8">
        <f>454.812+12.798</f>
        <v>467.61</v>
      </c>
      <c r="L38" s="8">
        <f>444.247+14.526</f>
        <v>458.77300000000002</v>
      </c>
      <c r="M38" s="8"/>
      <c r="N38" s="8"/>
    </row>
    <row r="39" spans="2:14" s="7" customFormat="1" x14ac:dyDescent="0.25">
      <c r="B39" s="7" t="s">
        <v>49</v>
      </c>
      <c r="C39" s="8"/>
      <c r="D39" s="8"/>
      <c r="E39" s="8"/>
      <c r="F39" s="8"/>
      <c r="G39" s="8"/>
      <c r="H39" s="8"/>
      <c r="I39" s="8"/>
      <c r="J39" s="8"/>
      <c r="K39" s="8">
        <v>736.31799999999998</v>
      </c>
      <c r="L39" s="8">
        <v>737.16</v>
      </c>
      <c r="M39" s="8"/>
      <c r="N39" s="8"/>
    </row>
    <row r="40" spans="2:14" s="7" customFormat="1" x14ac:dyDescent="0.25">
      <c r="B40" s="7" t="s">
        <v>44</v>
      </c>
      <c r="C40" s="8"/>
      <c r="D40" s="8"/>
      <c r="E40" s="8"/>
      <c r="F40" s="8"/>
      <c r="G40" s="8"/>
      <c r="H40" s="8"/>
      <c r="I40" s="8"/>
      <c r="J40" s="8"/>
      <c r="K40" s="8">
        <v>9.2530000000000001</v>
      </c>
      <c r="L40" s="8">
        <v>10.034000000000001</v>
      </c>
      <c r="M40" s="8"/>
      <c r="N40" s="8"/>
    </row>
    <row r="41" spans="2:14" s="7" customFormat="1" x14ac:dyDescent="0.25">
      <c r="B41" s="7" t="s">
        <v>50</v>
      </c>
      <c r="C41" s="8"/>
      <c r="D41" s="8"/>
      <c r="E41" s="8"/>
      <c r="F41" s="8"/>
      <c r="G41" s="8"/>
      <c r="H41" s="8"/>
      <c r="I41" s="8"/>
      <c r="J41" s="8"/>
      <c r="K41" s="8">
        <v>1116.857</v>
      </c>
      <c r="L41" s="8">
        <v>1215.1199999999999</v>
      </c>
      <c r="M41" s="8"/>
      <c r="N41" s="8"/>
    </row>
    <row r="42" spans="2:14" s="7" customFormat="1" x14ac:dyDescent="0.25">
      <c r="B42" s="7" t="s">
        <v>51</v>
      </c>
      <c r="C42" s="8"/>
      <c r="D42" s="8"/>
      <c r="E42" s="8"/>
      <c r="F42" s="8"/>
      <c r="G42" s="8"/>
      <c r="H42" s="8"/>
      <c r="I42" s="8"/>
      <c r="J42" s="8"/>
      <c r="K42" s="8">
        <f>SUM(K35:K41)</f>
        <v>2529.0149999999999</v>
      </c>
      <c r="L42" s="8">
        <f>SUM(L35:L41)</f>
        <v>2654.4870000000001</v>
      </c>
      <c r="M42" s="8"/>
      <c r="N42" s="8"/>
    </row>
    <row r="44" spans="2:14" s="7" customFormat="1" x14ac:dyDescent="0.25">
      <c r="B44" s="7" t="s">
        <v>52</v>
      </c>
      <c r="C44" s="8"/>
      <c r="D44" s="8"/>
      <c r="E44" s="8"/>
      <c r="F44" s="8"/>
      <c r="G44" s="8"/>
      <c r="H44" s="8"/>
      <c r="I44" s="8"/>
      <c r="J44" s="8"/>
      <c r="K44" s="8">
        <f>+K18</f>
        <v>0</v>
      </c>
      <c r="L44" s="8"/>
      <c r="M44" s="8"/>
      <c r="N44" s="8"/>
    </row>
    <row r="45" spans="2:14" s="7" customFormat="1" x14ac:dyDescent="0.25">
      <c r="B45" s="7" t="s">
        <v>53</v>
      </c>
      <c r="C45" s="8"/>
      <c r="D45" s="8"/>
      <c r="E45" s="8"/>
      <c r="F45" s="8"/>
      <c r="G45" s="8"/>
      <c r="H45" s="8"/>
      <c r="I45" s="8"/>
      <c r="J45" s="8"/>
      <c r="K45" s="8">
        <v>9.7379999999999995</v>
      </c>
      <c r="L45" s="8"/>
      <c r="M45" s="8"/>
      <c r="N45" s="8"/>
    </row>
    <row r="46" spans="2:14" s="7" customFormat="1" x14ac:dyDescent="0.25">
      <c r="B46" s="7" t="s">
        <v>54</v>
      </c>
      <c r="C46" s="8"/>
      <c r="D46" s="8"/>
      <c r="E46" s="8"/>
      <c r="F46" s="8"/>
      <c r="G46" s="8"/>
      <c r="H46" s="8"/>
      <c r="I46" s="8"/>
      <c r="J46" s="8"/>
      <c r="K46" s="8">
        <v>7.3940000000000001</v>
      </c>
      <c r="L46" s="8"/>
      <c r="M46" s="8"/>
      <c r="N46" s="8"/>
    </row>
    <row r="47" spans="2:14" s="7" customFormat="1" x14ac:dyDescent="0.25">
      <c r="B47" s="7" t="s">
        <v>55</v>
      </c>
      <c r="C47" s="8"/>
      <c r="D47" s="8"/>
      <c r="E47" s="8"/>
      <c r="F47" s="8"/>
      <c r="G47" s="8"/>
      <c r="H47" s="8"/>
      <c r="I47" s="8"/>
      <c r="J47" s="8"/>
      <c r="K47" s="8">
        <v>3.9590000000000001</v>
      </c>
      <c r="L47" s="8"/>
      <c r="M47" s="8"/>
      <c r="N47" s="8"/>
    </row>
    <row r="48" spans="2:14" s="7" customFormat="1" x14ac:dyDescent="0.25">
      <c r="B48" s="7" t="s">
        <v>56</v>
      </c>
      <c r="C48" s="8"/>
      <c r="D48" s="8"/>
      <c r="E48" s="8"/>
      <c r="F48" s="8"/>
      <c r="G48" s="8"/>
      <c r="H48" s="8"/>
      <c r="I48" s="8"/>
      <c r="J48" s="8"/>
      <c r="K48" s="8">
        <v>0.84</v>
      </c>
      <c r="L48" s="8"/>
      <c r="M48" s="8"/>
      <c r="N48" s="8"/>
    </row>
    <row r="49" spans="2:14" s="7" customFormat="1" x14ac:dyDescent="0.25">
      <c r="B49" s="7" t="s">
        <v>57</v>
      </c>
      <c r="C49" s="8"/>
      <c r="D49" s="8"/>
      <c r="E49" s="8"/>
      <c r="F49" s="8"/>
      <c r="G49" s="8"/>
      <c r="H49" s="8"/>
      <c r="I49" s="8"/>
      <c r="J49" s="8"/>
      <c r="K49" s="8">
        <v>6.0220000000000002</v>
      </c>
      <c r="L49" s="8"/>
      <c r="M49" s="8"/>
      <c r="N49" s="8"/>
    </row>
    <row r="50" spans="2:14" s="7" customFormat="1" x14ac:dyDescent="0.25">
      <c r="B50" s="7" t="s">
        <v>58</v>
      </c>
      <c r="C50" s="8"/>
      <c r="D50" s="8"/>
      <c r="E50" s="8"/>
      <c r="F50" s="8"/>
      <c r="G50" s="8"/>
      <c r="H50" s="8"/>
      <c r="I50" s="8"/>
      <c r="J50" s="8"/>
      <c r="K50" s="8">
        <v>66.884</v>
      </c>
      <c r="L50" s="8"/>
      <c r="M50" s="8"/>
      <c r="N50" s="8"/>
    </row>
    <row r="51" spans="2:14" s="7" customFormat="1" x14ac:dyDescent="0.25">
      <c r="B51" s="7" t="s">
        <v>40</v>
      </c>
      <c r="C51" s="8"/>
      <c r="D51" s="8"/>
      <c r="E51" s="8"/>
      <c r="F51" s="8"/>
      <c r="G51" s="8"/>
      <c r="H51" s="8"/>
      <c r="I51" s="8"/>
      <c r="J51" s="8"/>
      <c r="K51" s="8">
        <v>4.4109999999999996</v>
      </c>
      <c r="L51" s="8"/>
      <c r="M51" s="8"/>
      <c r="N51" s="8"/>
    </row>
    <row r="52" spans="2:14" s="7" customFormat="1" x14ac:dyDescent="0.25">
      <c r="B52" s="7" t="s">
        <v>33</v>
      </c>
      <c r="C52" s="8"/>
      <c r="D52" s="8"/>
      <c r="E52" s="8"/>
      <c r="F52" s="8"/>
      <c r="G52" s="8"/>
      <c r="H52" s="8"/>
      <c r="I52" s="8"/>
      <c r="J52" s="8"/>
      <c r="K52" s="8">
        <v>0.79800000000000004</v>
      </c>
      <c r="L52" s="8"/>
      <c r="M52" s="8"/>
      <c r="N52" s="8"/>
    </row>
    <row r="53" spans="2:14" s="7" customFormat="1" x14ac:dyDescent="0.25">
      <c r="B53" s="7" t="s">
        <v>59</v>
      </c>
      <c r="C53" s="8"/>
      <c r="D53" s="8"/>
      <c r="E53" s="8"/>
      <c r="F53" s="8"/>
      <c r="G53" s="8"/>
      <c r="H53" s="8"/>
      <c r="I53" s="8"/>
      <c r="J53" s="8"/>
      <c r="K53" s="8">
        <v>0.82299999999999995</v>
      </c>
      <c r="L53" s="8"/>
      <c r="M53" s="8"/>
      <c r="N53" s="8"/>
    </row>
    <row r="54" spans="2:14" s="7" customFormat="1" x14ac:dyDescent="0.25">
      <c r="B54" s="7" t="s">
        <v>60</v>
      </c>
      <c r="C54" s="8"/>
      <c r="D54" s="8"/>
      <c r="E54" s="8"/>
      <c r="F54" s="8"/>
      <c r="G54" s="8"/>
      <c r="H54" s="8"/>
      <c r="I54" s="8"/>
      <c r="J54" s="8"/>
      <c r="K54" s="8">
        <f>-7.319-8.166-8.391-0.805-7.624-2.911+81.735</f>
        <v>46.518999999999998</v>
      </c>
      <c r="L54" s="8"/>
      <c r="M54" s="8"/>
      <c r="N54" s="8"/>
    </row>
    <row r="55" spans="2:14" s="7" customFormat="1" x14ac:dyDescent="0.25">
      <c r="B55" s="7" t="s">
        <v>61</v>
      </c>
      <c r="C55" s="8"/>
      <c r="D55" s="8"/>
      <c r="E55" s="8"/>
      <c r="F55" s="8"/>
      <c r="G55" s="8"/>
      <c r="H55" s="8"/>
      <c r="I55" s="8"/>
      <c r="J55" s="8"/>
      <c r="K55" s="8">
        <f>SUM(K45:K54)</f>
        <v>147.38799999999998</v>
      </c>
      <c r="L55" s="8"/>
      <c r="M55" s="8"/>
      <c r="N55" s="8"/>
    </row>
  </sheetData>
  <hyperlinks>
    <hyperlink ref="A1" location="Main!A1" display="Main" xr:uid="{BD2F2ABB-CB19-477A-9C5E-161A0283A438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Hwang</dc:creator>
  <cp:lastModifiedBy>Jefferson Hwang</cp:lastModifiedBy>
  <dcterms:created xsi:type="dcterms:W3CDTF">2023-07-22T07:49:14Z</dcterms:created>
  <dcterms:modified xsi:type="dcterms:W3CDTF">2023-07-27T06:27:16Z</dcterms:modified>
</cp:coreProperties>
</file>