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e\Documents\GitHub\martinshkreli-models\"/>
    </mc:Choice>
  </mc:AlternateContent>
  <xr:revisionPtr revIDLastSave="0" documentId="13_ncr:1_{5235533E-2E6C-4905-9EF6-5ADCECE67CE4}" xr6:coauthVersionLast="47" xr6:coauthVersionMax="47" xr10:uidLastSave="{00000000-0000-0000-0000-000000000000}"/>
  <bookViews>
    <workbookView xWindow="33900" yWindow="0" windowWidth="17805" windowHeight="21705" activeTab="1" xr2:uid="{E26B75FC-9989-4D2B-A8FA-900EA2F6829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4" i="2" l="1"/>
  <c r="Q4" i="2"/>
  <c r="P4" i="2"/>
  <c r="P19" i="2" s="1"/>
  <c r="U4" i="2"/>
  <c r="O20" i="2"/>
  <c r="S25" i="2"/>
  <c r="U7" i="2"/>
  <c r="E19" i="2"/>
  <c r="F19" i="2"/>
  <c r="G19" i="2"/>
  <c r="H19" i="2"/>
  <c r="I19" i="2"/>
  <c r="J19" i="2"/>
  <c r="K19" i="2"/>
  <c r="L19" i="2"/>
  <c r="M19" i="2"/>
  <c r="N14" i="2"/>
  <c r="N9" i="2"/>
  <c r="N8" i="2"/>
  <c r="N7" i="2"/>
  <c r="N10" i="2" s="1"/>
  <c r="N5" i="2"/>
  <c r="N4" i="2"/>
  <c r="N20" i="2" s="1"/>
  <c r="O12" i="2"/>
  <c r="O10" i="2"/>
  <c r="O6" i="2"/>
  <c r="O21" i="2" s="1"/>
  <c r="M20" i="2"/>
  <c r="M12" i="2"/>
  <c r="M10" i="2"/>
  <c r="M6" i="2"/>
  <c r="M21" i="2" s="1"/>
  <c r="L20" i="2"/>
  <c r="L12" i="2"/>
  <c r="L10" i="2"/>
  <c r="L6" i="2"/>
  <c r="L21" i="2" s="1"/>
  <c r="D10" i="2"/>
  <c r="D6" i="2"/>
  <c r="D21" i="2" s="1"/>
  <c r="H20" i="2"/>
  <c r="H10" i="2"/>
  <c r="H6" i="2"/>
  <c r="H21" i="2" s="1"/>
  <c r="E12" i="2"/>
  <c r="E10" i="2"/>
  <c r="E6" i="2"/>
  <c r="I20" i="2"/>
  <c r="I12" i="2"/>
  <c r="I10" i="2"/>
  <c r="I6" i="2"/>
  <c r="I21" i="2" s="1"/>
  <c r="F12" i="2"/>
  <c r="F10" i="2"/>
  <c r="F6" i="2"/>
  <c r="F21" i="2" s="1"/>
  <c r="J20" i="2"/>
  <c r="J10" i="2"/>
  <c r="J6" i="2"/>
  <c r="J21" i="2" s="1"/>
  <c r="K43" i="2"/>
  <c r="K44" i="2" s="1"/>
  <c r="K25" i="2"/>
  <c r="K29" i="2"/>
  <c r="K23" i="2"/>
  <c r="K31" i="2" s="1"/>
  <c r="K20" i="2"/>
  <c r="G12" i="2"/>
  <c r="K12" i="2"/>
  <c r="G10" i="2"/>
  <c r="K10" i="2"/>
  <c r="K6" i="2"/>
  <c r="K21" i="2" s="1"/>
  <c r="G6" i="2"/>
  <c r="G21" i="2" s="1"/>
  <c r="M4" i="1"/>
  <c r="M7" i="1" s="1"/>
  <c r="T10" i="2" l="1"/>
  <c r="W4" i="2"/>
  <c r="Q19" i="2"/>
  <c r="N12" i="2"/>
  <c r="O19" i="2"/>
  <c r="V4" i="2"/>
  <c r="X4" i="2" s="1"/>
  <c r="Y4" i="2" s="1"/>
  <c r="Z4" i="2" s="1"/>
  <c r="AA4" i="2" s="1"/>
  <c r="AB4" i="2" s="1"/>
  <c r="AC4" i="2" s="1"/>
  <c r="AD4" i="2" s="1"/>
  <c r="AE4" i="2" s="1"/>
  <c r="AE7" i="2" s="1"/>
  <c r="F11" i="2"/>
  <c r="F13" i="2" s="1"/>
  <c r="F15" i="2" s="1"/>
  <c r="F16" i="2" s="1"/>
  <c r="N19" i="2"/>
  <c r="V7" i="2"/>
  <c r="E11" i="2"/>
  <c r="E13" i="2" s="1"/>
  <c r="E15" i="2" s="1"/>
  <c r="E16" i="2" s="1"/>
  <c r="L11" i="2"/>
  <c r="L13" i="2" s="1"/>
  <c r="L15" i="2" s="1"/>
  <c r="L16" i="2" s="1"/>
  <c r="E21" i="2"/>
  <c r="N6" i="2"/>
  <c r="K11" i="2"/>
  <c r="K13" i="2" s="1"/>
  <c r="K15" i="2" s="1"/>
  <c r="G11" i="2"/>
  <c r="G13" i="2" s="1"/>
  <c r="G15" i="2" s="1"/>
  <c r="G16" i="2" s="1"/>
  <c r="O11" i="2"/>
  <c r="O13" i="2" s="1"/>
  <c r="O15" i="2" s="1"/>
  <c r="O16" i="2" s="1"/>
  <c r="M11" i="2"/>
  <c r="M13" i="2" s="1"/>
  <c r="M15" i="2" s="1"/>
  <c r="M16" i="2" s="1"/>
  <c r="K33" i="2"/>
  <c r="K16" i="2"/>
  <c r="I11" i="2"/>
  <c r="I13" i="2" s="1"/>
  <c r="I15" i="2" s="1"/>
  <c r="I16" i="2" s="1"/>
  <c r="J11" i="2"/>
  <c r="J13" i="2" s="1"/>
  <c r="J15" i="2" s="1"/>
  <c r="J16" i="2" s="1"/>
  <c r="D11" i="2"/>
  <c r="D13" i="2" s="1"/>
  <c r="D15" i="2" s="1"/>
  <c r="D16" i="2" s="1"/>
  <c r="H11" i="2"/>
  <c r="H13" i="2" s="1"/>
  <c r="H15" i="2" s="1"/>
  <c r="H16" i="2" s="1"/>
  <c r="Z7" i="2" l="1"/>
  <c r="X7" i="2"/>
  <c r="Y7" i="2"/>
  <c r="W7" i="2"/>
  <c r="AC7" i="2"/>
  <c r="AB7" i="2"/>
  <c r="AD7" i="2"/>
  <c r="AA7" i="2"/>
  <c r="AF4" i="2"/>
  <c r="AG4" i="2" s="1"/>
  <c r="N21" i="2"/>
  <c r="N11" i="2"/>
  <c r="N13" i="2" s="1"/>
  <c r="N15" i="2" s="1"/>
  <c r="N16" i="2" s="1"/>
  <c r="AF7" i="2" l="1"/>
  <c r="AG7" i="2"/>
  <c r="AH4" i="2"/>
  <c r="AI4" i="2" l="1"/>
  <c r="AH7" i="2"/>
  <c r="AJ4" i="2" l="1"/>
  <c r="AI7" i="2"/>
  <c r="AK4" i="2" l="1"/>
  <c r="AL4" i="2" s="1"/>
  <c r="AM4" i="2" s="1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Y4" i="2" s="1"/>
  <c r="AZ4" i="2" s="1"/>
  <c r="BA4" i="2" s="1"/>
  <c r="BB4" i="2" s="1"/>
  <c r="BC4" i="2" s="1"/>
  <c r="BD4" i="2" s="1"/>
  <c r="BE4" i="2" s="1"/>
  <c r="BF4" i="2" s="1"/>
  <c r="BG4" i="2" s="1"/>
  <c r="BH4" i="2" s="1"/>
  <c r="BI4" i="2" s="1"/>
  <c r="BJ4" i="2" s="1"/>
  <c r="BK4" i="2" s="1"/>
  <c r="BL4" i="2" s="1"/>
  <c r="BM4" i="2" s="1"/>
  <c r="BN4" i="2" s="1"/>
  <c r="BO4" i="2" s="1"/>
  <c r="BP4" i="2" s="1"/>
  <c r="BQ4" i="2" s="1"/>
  <c r="BR4" i="2" s="1"/>
  <c r="BS4" i="2" s="1"/>
  <c r="BT4" i="2" s="1"/>
  <c r="BU4" i="2" s="1"/>
  <c r="BV4" i="2" s="1"/>
  <c r="BW4" i="2" s="1"/>
  <c r="BX4" i="2" s="1"/>
  <c r="BY4" i="2" s="1"/>
  <c r="BZ4" i="2" s="1"/>
  <c r="CA4" i="2" s="1"/>
  <c r="CB4" i="2" s="1"/>
  <c r="CC4" i="2" s="1"/>
  <c r="CD4" i="2" s="1"/>
  <c r="CE4" i="2" s="1"/>
  <c r="CF4" i="2" s="1"/>
  <c r="CG4" i="2" s="1"/>
  <c r="CH4" i="2" s="1"/>
  <c r="CI4" i="2" s="1"/>
  <c r="CJ4" i="2" s="1"/>
  <c r="CK4" i="2" s="1"/>
  <c r="CL4" i="2" s="1"/>
  <c r="CM4" i="2" s="1"/>
  <c r="CN4" i="2" s="1"/>
  <c r="CO4" i="2" s="1"/>
  <c r="CP4" i="2" s="1"/>
  <c r="CQ4" i="2" s="1"/>
  <c r="CR4" i="2" s="1"/>
  <c r="CS4" i="2" s="1"/>
  <c r="CT4" i="2" s="1"/>
  <c r="CU4" i="2" s="1"/>
  <c r="AJ7" i="2"/>
  <c r="S24" i="2" l="1"/>
  <c r="S26" i="2" s="1"/>
  <c r="S27" i="2" l="1"/>
  <c r="S28" i="2"/>
  <c r="T9" i="2" l="1"/>
  <c r="R19" i="2"/>
</calcChain>
</file>

<file path=xl/sharedStrings.xml><?xml version="1.0" encoding="utf-8"?>
<sst xmlns="http://schemas.openxmlformats.org/spreadsheetml/2006/main" count="85" uniqueCount="78">
  <si>
    <t>Price</t>
  </si>
  <si>
    <t>Shares</t>
  </si>
  <si>
    <t>MC</t>
  </si>
  <si>
    <t>Cash</t>
  </si>
  <si>
    <t>Debt</t>
  </si>
  <si>
    <t>EV</t>
  </si>
  <si>
    <t>Main</t>
  </si>
  <si>
    <t>Revenue</t>
  </si>
  <si>
    <t>FQ121</t>
  </si>
  <si>
    <t>FQ221</t>
  </si>
  <si>
    <t>FQ321</t>
  </si>
  <si>
    <t>FQ421</t>
  </si>
  <si>
    <t>FQ122</t>
  </si>
  <si>
    <t>FQ222</t>
  </si>
  <si>
    <t>FQ322</t>
  </si>
  <si>
    <t>FQ422</t>
  </si>
  <si>
    <t>FQ123</t>
  </si>
  <si>
    <t>FQ223</t>
  </si>
  <si>
    <t>FQ323</t>
  </si>
  <si>
    <t>FQ423</t>
  </si>
  <si>
    <t>COGS</t>
  </si>
  <si>
    <t>Gross Profit</t>
  </si>
  <si>
    <t>S&amp;M</t>
  </si>
  <si>
    <t>R&amp;D</t>
  </si>
  <si>
    <t>G&amp;A</t>
  </si>
  <si>
    <t>OpEx</t>
  </si>
  <si>
    <t>OpInc</t>
  </si>
  <si>
    <t>EPS</t>
  </si>
  <si>
    <t>Net Income</t>
  </si>
  <si>
    <t>Taxes</t>
  </si>
  <si>
    <t>Pretax Income</t>
  </si>
  <si>
    <t>Interest</t>
  </si>
  <si>
    <t>Revenue Growth</t>
  </si>
  <si>
    <t>Gross Margin</t>
  </si>
  <si>
    <t>OA</t>
  </si>
  <si>
    <t>Goodwill</t>
  </si>
  <si>
    <t>Lease</t>
  </si>
  <si>
    <t>PP&amp;E</t>
  </si>
  <si>
    <t>Commissions</t>
  </si>
  <si>
    <t>Prepaids</t>
  </si>
  <si>
    <t>AR</t>
  </si>
  <si>
    <t>Assets</t>
  </si>
  <si>
    <t>Model NI</t>
  </si>
  <si>
    <t>Reported NI</t>
  </si>
  <si>
    <t>CFFO</t>
  </si>
  <si>
    <t>WC</t>
  </si>
  <si>
    <t>D&amp;A</t>
  </si>
  <si>
    <t>Non-Cash Lease</t>
  </si>
  <si>
    <t>SBC</t>
  </si>
  <si>
    <t>Investments</t>
  </si>
  <si>
    <t>DT</t>
  </si>
  <si>
    <t>Other</t>
  </si>
  <si>
    <t>FQ124</t>
  </si>
  <si>
    <t>FQ224</t>
  </si>
  <si>
    <t>Seq Rev Growth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</si>
  <si>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</si>
  <si>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</si>
  <si>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</si>
  <si>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</si>
  <si>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</si>
  <si>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</si>
  <si>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</si>
  <si>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</si>
  <si>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</si>
  <si>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</si>
  <si>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</si>
  <si>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Growth Rate</t>
  </si>
  <si>
    <t>Terminal Rate</t>
  </si>
  <si>
    <t>Discount Rate</t>
  </si>
  <si>
    <t>NPV</t>
  </si>
  <si>
    <t>Share Price</t>
  </si>
  <si>
    <t>Delta</t>
  </si>
  <si>
    <t>Market Cap</t>
  </si>
  <si>
    <t>Q124</t>
  </si>
  <si>
    <t>FQ324</t>
  </si>
  <si>
    <t>FQ424</t>
  </si>
  <si>
    <t>Target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</si>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</sst>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31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1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14" fontId="0" fillId="0" borderId="0" xfId="0" applyNumberFormat="1"/>
    <xf numFmtId="10" fontId="0" fillId="0" borderId="0" xfId="2" applyNumberFormat="1" applyFont="1" applyAlignment="1">
      <alignment horizontal="right"/>
    </xf>
    <xf numFmtId="0" fontId="0" fillId="0" borderId="1" xfId="0" applyBorder="1"/>
    <xf numFmtId="9" fontId="0" fillId="0" borderId="1" xfId="0" applyNumberFormat="1" applyBorder="1"/>
    <xf numFmtId="8" fontId="0" fillId="0" borderId="1" xfId="0" applyNumberFormat="1" applyBorder="1"/>
    <xf numFmtId="164" fontId="0" fillId="0" borderId="1" xfId="3" applyNumberFormat="1" applyFont="1" applyBorder="1"/>
    <xf numFmtId="44" fontId="0" fillId="0" borderId="1" xfId="4" applyFont="1" applyBorder="1"/>
    <xf numFmtId="9" fontId="0" fillId="0" borderId="1" xfId="2" applyFont="1" applyBorder="1"/>
    <xf numFmtId="165" fontId="0" fillId="0" borderId="1" xfId="4" applyNumberFormat="1" applyFont="1" applyBorder="1"/>
    <xf numFmtId="9" fontId="0" fillId="0" borderId="0" xfId="2" applyFont="1"/>
    <xf numFmtId="9" fontId="1" fillId="0" borderId="0" xfId="0" applyNumberFormat="1" applyFont="1"/>
    <xf numFmtId="9" fontId="0" fillId="0" borderId="0" xfId="0" applyNumberFormat="1"/>
    <xf numFmtId="8" fontId="0" fillId="0" borderId="0" xfId="0" applyNumberFormat="1"/>
    <xf numFmtId="164" fontId="0" fillId="0" borderId="0" xfId="3" applyNumberFormat="1" applyFont="1" applyBorder="1"/>
    <xf numFmtId="44" fontId="0" fillId="0" borderId="0" xfId="4" applyFont="1" applyBorder="1"/>
    <xf numFmtId="9" fontId="0" fillId="0" borderId="0" xfId="2" applyFont="1" applyBorder="1"/>
    <xf numFmtId="165" fontId="0" fillId="0" borderId="0" xfId="4" applyNumberFormat="1" applyFont="1" applyBorder="1"/>
  </cellXfs>
  <cellStyles count="5">
    <cellStyle name="Comma" xfId="3" builtinId="3"/>
    <cellStyle name="Currency" xfId="4" builtinId="4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0</xdr:row>
      <xdr:rowOff>47625</xdr:rowOff>
    </xdr:from>
    <xdr:to>
      <xdr:col>11</xdr:col>
      <xdr:colOff>28575</xdr:colOff>
      <xdr:row>42</xdr:row>
      <xdr:rowOff>114300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8C0F9D1-5A5B-C912-E3CB-E5C298ED84A7}"/>
            </a:ext>
          </a:extLst>
        </xdr:cNvPr>
        <xdr:cNvCxnSpPr/>
      </xdr:nvCxnSpPr>
      <xdr:spPr>
        <a:xfrm>
          <a:off x="6724650" y="47625"/>
          <a:ext cx="0" cy="6705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95F87-C53B-4BF8-B238-ED8253036919}">
  <dimension ref="L2:N7"/>
  <sheetViews>
    <sheetView workbookViewId="0">
      <selection activeCell="M4" sqref="M4"/>
    </sheetView>
  </sheetViews>
  <sheetFormatPr defaultRowHeight="12.75" x14ac:dyDescent="0.2"/>
  <sheetData>
    <row r="2" spans="12:14" x14ac:dyDescent="0.2">
      <c r="L2" t="s">
        <v>0</v>
      </c>
      <c r="M2" s="1">
        <v>188.2</v>
      </c>
    </row>
    <row r="3" spans="12:14" x14ac:dyDescent="0.2">
      <c r="L3" t="s">
        <v>1</v>
      </c>
      <c r="M3" s="2">
        <v>325.89999999999998</v>
      </c>
      <c r="N3" s="3" t="s">
        <v>73</v>
      </c>
    </row>
    <row r="4" spans="12:14" x14ac:dyDescent="0.2">
      <c r="L4" t="s">
        <v>2</v>
      </c>
      <c r="M4" s="2">
        <f>+M2*M3</f>
        <v>61334.37999999999</v>
      </c>
    </row>
    <row r="5" spans="12:14" x14ac:dyDescent="0.2">
      <c r="L5" t="s">
        <v>3</v>
      </c>
      <c r="M5" s="2">
        <v>4569</v>
      </c>
      <c r="N5" s="3" t="s">
        <v>73</v>
      </c>
    </row>
    <row r="6" spans="12:14" x14ac:dyDescent="0.2">
      <c r="L6" t="s">
        <v>4</v>
      </c>
      <c r="M6" s="2">
        <v>1887</v>
      </c>
      <c r="N6" s="3" t="s">
        <v>73</v>
      </c>
    </row>
    <row r="7" spans="12:14" x14ac:dyDescent="0.2">
      <c r="L7" t="s">
        <v>5</v>
      </c>
      <c r="M7" s="2">
        <f>+M4-M5+M6</f>
        <v>58652.37999999999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0461E-5EFB-45DD-9161-EF94163D814D}">
  <dimension ref="A1:CU44"/>
  <sheetViews>
    <sheetView tabSelected="1" workbookViewId="0">
      <pane xSplit="2" ySplit="3" topLeftCell="O4" activePane="bottomRight" state="frozen"/>
      <selection pane="topRight" activeCell="C1" sqref="C1"/>
      <selection pane="bottomLeft" activeCell="A3" sqref="A3"/>
      <selection pane="bottomRight" activeCell="X19" sqref="X19"/>
    </sheetView>
  </sheetViews>
  <sheetFormatPr defaultRowHeight="12.75" x14ac:dyDescent="0.2"/>
  <cols>
    <col min="1" max="1" width="5" bestFit="1" customWidth="1"/>
    <col min="2" max="2" width="14.5703125" bestFit="1" customWidth="1"/>
    <col min="3" max="4" width="9.140625" style="3"/>
    <col min="5" max="5" width="10.140625" style="3" bestFit="1" customWidth="1"/>
    <col min="6" max="8" width="9.140625" style="3"/>
    <col min="9" max="9" width="10.140625" style="3" bestFit="1" customWidth="1"/>
    <col min="10" max="12" width="9.140625" style="3"/>
    <col min="13" max="13" width="10.140625" style="3" bestFit="1" customWidth="1"/>
    <col min="14" max="14" width="9.140625" style="3"/>
    <col min="15" max="16" width="9.140625" bestFit="1" customWidth="1"/>
    <col min="18" max="18" width="12.28515625" bestFit="1" customWidth="1"/>
    <col min="19" max="19" width="11.7109375" bestFit="1" customWidth="1"/>
    <col min="20" max="20" width="11.7109375" customWidth="1"/>
  </cols>
  <sheetData>
    <row r="1" spans="1:99" x14ac:dyDescent="0.2">
      <c r="A1" s="4" t="s">
        <v>6</v>
      </c>
    </row>
    <row r="2" spans="1:99" x14ac:dyDescent="0.2">
      <c r="D2" s="5">
        <v>44043</v>
      </c>
      <c r="E2" s="5">
        <v>44135</v>
      </c>
      <c r="F2" s="5">
        <v>44227</v>
      </c>
      <c r="G2" s="5">
        <v>44316</v>
      </c>
      <c r="H2" s="5">
        <v>44408</v>
      </c>
      <c r="I2" s="5">
        <v>44500</v>
      </c>
      <c r="J2" s="5">
        <v>44592</v>
      </c>
      <c r="K2" s="5">
        <v>44681</v>
      </c>
      <c r="L2" s="5">
        <v>44773</v>
      </c>
      <c r="M2" s="5">
        <v>44865</v>
      </c>
      <c r="N2" s="5">
        <v>44957</v>
      </c>
      <c r="O2" s="14">
        <v>45046</v>
      </c>
      <c r="P2" s="14">
        <v>45138</v>
      </c>
    </row>
    <row r="3" spans="1:99" x14ac:dyDescent="0.2">
      <c r="C3" s="3" t="s">
        <v>8</v>
      </c>
      <c r="D3" s="3" t="s">
        <v>9</v>
      </c>
      <c r="E3" s="3" t="s">
        <v>10</v>
      </c>
      <c r="F3" s="3" t="s">
        <v>11</v>
      </c>
      <c r="G3" s="3" t="s">
        <v>12</v>
      </c>
      <c r="H3" s="3" t="s">
        <v>13</v>
      </c>
      <c r="I3" s="3" t="s">
        <v>14</v>
      </c>
      <c r="J3" s="3" t="s">
        <v>15</v>
      </c>
      <c r="K3" s="3" t="s">
        <v>16</v>
      </c>
      <c r="L3" s="3" t="s">
        <v>17</v>
      </c>
      <c r="M3" s="3" t="s">
        <v>18</v>
      </c>
      <c r="N3" s="3" t="s">
        <v>19</v>
      </c>
      <c r="O3" s="3" t="s">
        <v>52</v>
      </c>
      <c r="P3" s="3" t="s">
        <v>53</v>
      </c>
      <c r="Q3" s="3" t="s">
        <v>74</v>
      </c>
      <c r="R3" s="3" t="s">
        <v>75</v>
      </c>
      <c r="T3" s="3" t="s">
        <v>55</v>
      </c>
      <c r="U3" s="3" t="s">
        <v>56</v>
      </c>
      <c r="V3" s="3" t="s">
        <v>57</v>
      </c>
      <c r="W3" s="3" t="s">
        <v>58</v>
      </c>
      <c r="X3" s="3" t="s">
        <v>59</v>
      </c>
      <c r="Y3" s="3" t="s">
        <v>60</v>
      </c>
      <c r="Z3" s="3" t="s">
        <v>61</v>
      </c>
      <c r="AA3" s="3" t="s">
        <v>62</v>
      </c>
      <c r="AB3" s="3" t="s">
        <v>63</v>
      </c>
      <c r="AC3" s="3" t="s">
        <v>64</v>
      </c>
      <c r="AD3" s="3" t="s">
        <v>65</v>
      </c>
    </row>
    <row r="4" spans="1:99" s="9" customFormat="1" x14ac:dyDescent="0.2">
      <c r="B4" s="9" t="s">
        <v>7</v>
      </c>
      <c r="C4" s="10"/>
      <c r="D4" s="10">
        <v>133.14500000000001</v>
      </c>
      <c r="E4" s="10">
        <v>159.624</v>
      </c>
      <c r="F4" s="10">
        <v>190.465</v>
      </c>
      <c r="G4" s="10">
        <v>228.91399999999999</v>
      </c>
      <c r="H4" s="10">
        <v>272.19799999999998</v>
      </c>
      <c r="I4" s="10">
        <v>334.44099999999997</v>
      </c>
      <c r="J4" s="10">
        <v>383.774</v>
      </c>
      <c r="K4" s="10">
        <v>422.37099999999998</v>
      </c>
      <c r="L4" s="10">
        <v>497.24799999999999</v>
      </c>
      <c r="M4" s="10">
        <v>557.02800000000002</v>
      </c>
      <c r="N4" s="9">
        <f>2065.659-SUM(K4:M4)</f>
        <v>589.01200000000017</v>
      </c>
      <c r="O4" s="10">
        <v>623.59900000000005</v>
      </c>
      <c r="P4" s="9">
        <f>L4*(1+$P$20)</f>
        <v>661.33983999999998</v>
      </c>
      <c r="Q4" s="9">
        <f>M4*(1+$P$20)</f>
        <v>740.84724000000006</v>
      </c>
      <c r="R4" s="9">
        <f>N4*(1+$P$20)</f>
        <v>783.3859600000003</v>
      </c>
      <c r="S4" s="9" t="s">
        <v>77</v>
      </c>
      <c r="T4" s="9">
        <v>592.04899999999998</v>
      </c>
      <c r="U4" s="9">
        <f>SUM($G$4:$J$4)</f>
        <v>1219.3269999999998</v>
      </c>
      <c r="V4" s="9">
        <f>SUM($K$4:$N$4)</f>
        <v>2065.6590000000001</v>
      </c>
      <c r="W4" s="9">
        <f>SUM(O4:R4)</f>
        <v>2809.1720400000004</v>
      </c>
      <c r="X4" s="9">
        <f t="shared" ref="W4:AE4" si="0">W4*(1+$S$21)</f>
        <v>3651.9236520000004</v>
      </c>
      <c r="Y4" s="9">
        <f t="shared" si="0"/>
        <v>4747.500747600001</v>
      </c>
      <c r="Z4" s="9">
        <f t="shared" si="0"/>
        <v>6171.7509718800011</v>
      </c>
      <c r="AA4" s="9">
        <f t="shared" si="0"/>
        <v>8023.2762634440014</v>
      </c>
      <c r="AB4" s="9">
        <f t="shared" si="0"/>
        <v>10430.259142477202</v>
      </c>
      <c r="AC4" s="9">
        <f t="shared" si="0"/>
        <v>13559.336885220362</v>
      </c>
      <c r="AD4" s="9">
        <f t="shared" si="0"/>
        <v>17627.137950786473</v>
      </c>
      <c r="AE4" s="9">
        <f t="shared" si="0"/>
        <v>22915.279336022417</v>
      </c>
      <c r="AF4" s="9">
        <f t="shared" ref="AF4:CQ4" si="1">AE4*(1+$S$22)</f>
        <v>23144.43212938264</v>
      </c>
      <c r="AG4" s="9">
        <f t="shared" si="1"/>
        <v>23375.876450676467</v>
      </c>
      <c r="AH4" s="9">
        <f t="shared" si="1"/>
        <v>23609.635215183233</v>
      </c>
      <c r="AI4" s="9">
        <f t="shared" si="1"/>
        <v>23845.731567335064</v>
      </c>
      <c r="AJ4" s="9">
        <f t="shared" si="1"/>
        <v>24084.188883008414</v>
      </c>
      <c r="AK4" s="9">
        <f t="shared" si="1"/>
        <v>24325.030771838497</v>
      </c>
      <c r="AL4" s="9">
        <f t="shared" si="1"/>
        <v>24568.281079556884</v>
      </c>
      <c r="AM4" s="9">
        <f t="shared" si="1"/>
        <v>24813.963890352454</v>
      </c>
      <c r="AN4" s="9">
        <f t="shared" si="1"/>
        <v>25062.103529255979</v>
      </c>
      <c r="AO4" s="9">
        <f t="shared" si="1"/>
        <v>25312.724564548538</v>
      </c>
      <c r="AP4" s="9">
        <f t="shared" si="1"/>
        <v>25565.851810194024</v>
      </c>
      <c r="AQ4" s="9">
        <f t="shared" si="1"/>
        <v>25821.510328295964</v>
      </c>
      <c r="AR4" s="9">
        <f t="shared" si="1"/>
        <v>26079.725431578925</v>
      </c>
      <c r="AS4" s="9">
        <f t="shared" si="1"/>
        <v>26340.522685894714</v>
      </c>
      <c r="AT4" s="9">
        <f t="shared" si="1"/>
        <v>26603.927912753661</v>
      </c>
      <c r="AU4" s="9">
        <f t="shared" si="1"/>
        <v>26869.967191881198</v>
      </c>
      <c r="AV4" s="9">
        <f t="shared" si="1"/>
        <v>27138.666863800012</v>
      </c>
      <c r="AW4" s="9">
        <f t="shared" si="1"/>
        <v>27410.053532438011</v>
      </c>
      <c r="AX4" s="9">
        <f t="shared" si="1"/>
        <v>27684.154067762393</v>
      </c>
      <c r="AY4" s="9">
        <f t="shared" si="1"/>
        <v>27960.995608440018</v>
      </c>
      <c r="AZ4" s="9">
        <f t="shared" si="1"/>
        <v>28240.60556452442</v>
      </c>
      <c r="BA4" s="9">
        <f t="shared" si="1"/>
        <v>28523.011620169666</v>
      </c>
      <c r="BB4" s="9">
        <f t="shared" si="1"/>
        <v>28808.241736371361</v>
      </c>
      <c r="BC4" s="9">
        <f t="shared" si="1"/>
        <v>29096.324153735077</v>
      </c>
      <c r="BD4" s="9">
        <f t="shared" si="1"/>
        <v>29387.287395272429</v>
      </c>
      <c r="BE4" s="9">
        <f t="shared" si="1"/>
        <v>29681.160269225154</v>
      </c>
      <c r="BF4" s="9">
        <f t="shared" si="1"/>
        <v>29977.971871917405</v>
      </c>
      <c r="BG4" s="9">
        <f t="shared" si="1"/>
        <v>30277.751590636581</v>
      </c>
      <c r="BH4" s="9">
        <f t="shared" si="1"/>
        <v>30580.529106542948</v>
      </c>
      <c r="BI4" s="9">
        <f t="shared" si="1"/>
        <v>30886.334397608378</v>
      </c>
      <c r="BJ4" s="9">
        <f t="shared" si="1"/>
        <v>31195.197741584463</v>
      </c>
      <c r="BK4" s="9">
        <f t="shared" si="1"/>
        <v>31507.149719000307</v>
      </c>
      <c r="BL4" s="9">
        <f t="shared" si="1"/>
        <v>31822.221216190308</v>
      </c>
      <c r="BM4" s="9">
        <f t="shared" si="1"/>
        <v>32140.44342835221</v>
      </c>
      <c r="BN4" s="9">
        <f t="shared" si="1"/>
        <v>32461.847862635732</v>
      </c>
      <c r="BO4" s="9">
        <f t="shared" si="1"/>
        <v>32786.466341262087</v>
      </c>
      <c r="BP4" s="9">
        <f t="shared" si="1"/>
        <v>33114.331004674706</v>
      </c>
      <c r="BQ4" s="9">
        <f t="shared" si="1"/>
        <v>33445.474314721454</v>
      </c>
      <c r="BR4" s="9">
        <f t="shared" si="1"/>
        <v>33779.92905786867</v>
      </c>
      <c r="BS4" s="9">
        <f t="shared" si="1"/>
        <v>34117.728348447359</v>
      </c>
      <c r="BT4" s="9">
        <f t="shared" si="1"/>
        <v>34458.905631931833</v>
      </c>
      <c r="BU4" s="9">
        <f t="shared" si="1"/>
        <v>34803.49468825115</v>
      </c>
      <c r="BV4" s="9">
        <f t="shared" si="1"/>
        <v>35151.529635133666</v>
      </c>
      <c r="BW4" s="9">
        <f t="shared" si="1"/>
        <v>35503.044931485005</v>
      </c>
      <c r="BX4" s="9">
        <f t="shared" si="1"/>
        <v>35858.075380799855</v>
      </c>
      <c r="BY4" s="9">
        <f t="shared" si="1"/>
        <v>36216.656134607852</v>
      </c>
      <c r="BZ4" s="9">
        <f t="shared" si="1"/>
        <v>36578.822695953932</v>
      </c>
      <c r="CA4" s="9">
        <f t="shared" si="1"/>
        <v>36944.610922913474</v>
      </c>
      <c r="CB4" s="9">
        <f t="shared" si="1"/>
        <v>37314.057032142613</v>
      </c>
      <c r="CC4" s="9">
        <f t="shared" si="1"/>
        <v>37687.197602464039</v>
      </c>
      <c r="CD4" s="9">
        <f t="shared" si="1"/>
        <v>38064.069578488678</v>
      </c>
      <c r="CE4" s="9">
        <f t="shared" si="1"/>
        <v>38444.710274273566</v>
      </c>
      <c r="CF4" s="9">
        <f t="shared" si="1"/>
        <v>38829.157377016301</v>
      </c>
      <c r="CG4" s="9">
        <f t="shared" si="1"/>
        <v>39217.448950786464</v>
      </c>
      <c r="CH4" s="9">
        <f t="shared" si="1"/>
        <v>39609.62344029433</v>
      </c>
      <c r="CI4" s="9">
        <f t="shared" si="1"/>
        <v>40005.719674697277</v>
      </c>
      <c r="CJ4" s="9">
        <f t="shared" si="1"/>
        <v>40405.77687144425</v>
      </c>
      <c r="CK4" s="9">
        <f t="shared" si="1"/>
        <v>40809.83464015869</v>
      </c>
      <c r="CL4" s="9">
        <f t="shared" si="1"/>
        <v>41217.932986560278</v>
      </c>
      <c r="CM4" s="9">
        <f t="shared" si="1"/>
        <v>41630.112316425882</v>
      </c>
      <c r="CN4" s="9">
        <f t="shared" si="1"/>
        <v>42046.413439590142</v>
      </c>
      <c r="CO4" s="9">
        <f t="shared" si="1"/>
        <v>42466.877573986043</v>
      </c>
      <c r="CP4" s="9">
        <f t="shared" si="1"/>
        <v>42891.546349725904</v>
      </c>
      <c r="CQ4" s="9">
        <f t="shared" si="1"/>
        <v>43320.461813223163</v>
      </c>
      <c r="CR4" s="9">
        <f t="shared" ref="CR4:CU4" si="2">CQ4*(1+$S$22)</f>
        <v>43753.666431355392</v>
      </c>
      <c r="CS4" s="9">
        <f t="shared" si="2"/>
        <v>44191.203095668949</v>
      </c>
      <c r="CT4" s="9">
        <f t="shared" si="2"/>
        <v>44633.115126625642</v>
      </c>
      <c r="CU4" s="9">
        <f t="shared" si="2"/>
        <v>45079.446277891897</v>
      </c>
    </row>
    <row r="5" spans="1:99" s="2" customFormat="1" x14ac:dyDescent="0.2">
      <c r="B5" s="2" t="s">
        <v>20</v>
      </c>
      <c r="C5" s="6"/>
      <c r="D5" s="6">
        <v>50.445999999999998</v>
      </c>
      <c r="E5" s="6">
        <v>66.680999999999997</v>
      </c>
      <c r="F5" s="6">
        <v>82.903999999999996</v>
      </c>
      <c r="G5" s="6">
        <v>97.346000000000004</v>
      </c>
      <c r="H5" s="6">
        <v>106.121</v>
      </c>
      <c r="I5" s="6">
        <v>120.786</v>
      </c>
      <c r="J5" s="6">
        <v>134.18</v>
      </c>
      <c r="K5" s="6">
        <v>147.93</v>
      </c>
      <c r="L5" s="6">
        <v>173.232</v>
      </c>
      <c r="M5" s="6">
        <v>190.721</v>
      </c>
      <c r="N5" s="2">
        <f>717.54-SUM(K5:M5)</f>
        <v>205.65699999999993</v>
      </c>
      <c r="O5" s="6">
        <v>209.41399999999999</v>
      </c>
      <c r="S5" s="9" t="s">
        <v>76</v>
      </c>
      <c r="T5" s="9"/>
      <c r="U5" s="9"/>
      <c r="V5" s="9"/>
      <c r="AB5" s="2">
        <v>10000</v>
      </c>
    </row>
    <row r="6" spans="1:99" s="2" customFormat="1" x14ac:dyDescent="0.2">
      <c r="B6" s="2" t="s">
        <v>21</v>
      </c>
      <c r="C6" s="6"/>
      <c r="D6" s="6">
        <f t="shared" ref="D6:K6" si="3">+D4-D5</f>
        <v>82.699000000000012</v>
      </c>
      <c r="E6" s="6">
        <f t="shared" si="3"/>
        <v>92.942999999999998</v>
      </c>
      <c r="F6" s="6">
        <f t="shared" si="3"/>
        <v>107.56100000000001</v>
      </c>
      <c r="G6" s="6">
        <f t="shared" si="3"/>
        <v>131.56799999999998</v>
      </c>
      <c r="H6" s="6">
        <f t="shared" si="3"/>
        <v>166.077</v>
      </c>
      <c r="I6" s="6">
        <f t="shared" si="3"/>
        <v>213.65499999999997</v>
      </c>
      <c r="J6" s="6">
        <f t="shared" si="3"/>
        <v>249.59399999999999</v>
      </c>
      <c r="K6" s="6">
        <f t="shared" si="3"/>
        <v>274.44099999999997</v>
      </c>
      <c r="L6" s="6">
        <f>L4-L5</f>
        <v>324.01599999999996</v>
      </c>
      <c r="M6" s="6">
        <f>M4-M5</f>
        <v>366.30700000000002</v>
      </c>
      <c r="N6" s="6">
        <f>N4-N5</f>
        <v>383.35500000000025</v>
      </c>
      <c r="O6" s="6">
        <f>O4-O5</f>
        <v>414.18500000000006</v>
      </c>
    </row>
    <row r="7" spans="1:99" s="2" customFormat="1" x14ac:dyDescent="0.2">
      <c r="B7" s="2" t="s">
        <v>22</v>
      </c>
      <c r="C7" s="6"/>
      <c r="D7" s="6">
        <v>92.662999999999997</v>
      </c>
      <c r="E7" s="6">
        <v>134.727</v>
      </c>
      <c r="F7" s="6">
        <v>154.05000000000001</v>
      </c>
      <c r="G7" s="6">
        <v>166.804</v>
      </c>
      <c r="H7" s="6">
        <v>182.90299999999999</v>
      </c>
      <c r="I7" s="6">
        <v>190.971</v>
      </c>
      <c r="J7" s="6">
        <v>203.28700000000001</v>
      </c>
      <c r="K7" s="6">
        <v>243.91200000000001</v>
      </c>
      <c r="L7" s="6">
        <v>274.46499999999997</v>
      </c>
      <c r="M7" s="6">
        <v>284.47699999999998</v>
      </c>
      <c r="N7" s="2">
        <f>1106.507-SUM(K7:M7)</f>
        <v>303.65300000000013</v>
      </c>
      <c r="O7" s="6">
        <v>331.55799999999999</v>
      </c>
      <c r="U7" s="23">
        <f t="shared" ref="U7:AJ7" si="4">(U4-T4)/T4</f>
        <v>1.0595035208234451</v>
      </c>
      <c r="V7" s="23">
        <f t="shared" si="4"/>
        <v>0.69409764566847165</v>
      </c>
      <c r="W7" s="23">
        <f t="shared" si="4"/>
        <v>0.35993987390948856</v>
      </c>
      <c r="X7" s="23">
        <f t="shared" si="4"/>
        <v>0.3</v>
      </c>
      <c r="Y7" s="23">
        <f t="shared" si="4"/>
        <v>0.3000000000000001</v>
      </c>
      <c r="Z7" s="23">
        <f t="shared" si="4"/>
        <v>0.3</v>
      </c>
      <c r="AA7" s="23">
        <f t="shared" si="4"/>
        <v>0.3</v>
      </c>
      <c r="AB7" s="23">
        <f t="shared" si="4"/>
        <v>0.3</v>
      </c>
      <c r="AC7" s="23">
        <f t="shared" si="4"/>
        <v>0.3</v>
      </c>
      <c r="AD7" s="23">
        <f t="shared" si="4"/>
        <v>0.30000000000000016</v>
      </c>
      <c r="AE7" s="23">
        <f t="shared" si="4"/>
        <v>0.3000000000000001</v>
      </c>
      <c r="AF7" s="23">
        <f t="shared" si="4"/>
        <v>9.999999999999943E-3</v>
      </c>
      <c r="AG7" s="23">
        <f t="shared" si="4"/>
        <v>1.0000000000000056E-2</v>
      </c>
      <c r="AH7" s="23">
        <f t="shared" si="4"/>
        <v>1.0000000000000021E-2</v>
      </c>
      <c r="AI7" s="23">
        <f t="shared" si="4"/>
        <v>9.9999999999999655E-3</v>
      </c>
      <c r="AJ7" s="23">
        <f t="shared" si="4"/>
        <v>9.9999999999999534E-3</v>
      </c>
    </row>
    <row r="8" spans="1:99" s="2" customFormat="1" x14ac:dyDescent="0.2">
      <c r="B8" s="2" t="s">
        <v>23</v>
      </c>
      <c r="C8" s="6"/>
      <c r="D8" s="6">
        <v>36.533000000000001</v>
      </c>
      <c r="E8" s="6">
        <v>74.138000000000005</v>
      </c>
      <c r="F8" s="6">
        <v>93.997</v>
      </c>
      <c r="G8" s="6">
        <v>109.79600000000001</v>
      </c>
      <c r="H8" s="6">
        <v>118.087</v>
      </c>
      <c r="I8" s="6">
        <v>115.9</v>
      </c>
      <c r="J8" s="6">
        <v>123.149</v>
      </c>
      <c r="K8" s="6">
        <v>150.798</v>
      </c>
      <c r="L8" s="6">
        <v>183.74799999999999</v>
      </c>
      <c r="M8" s="6">
        <v>211.387</v>
      </c>
      <c r="N8" s="2">
        <f>788.058-SUM(K8:M8)</f>
        <v>242.125</v>
      </c>
      <c r="O8" s="6">
        <v>277.41199999999998</v>
      </c>
    </row>
    <row r="9" spans="1:99" s="2" customFormat="1" x14ac:dyDescent="0.2">
      <c r="B9" s="2" t="s">
        <v>24</v>
      </c>
      <c r="C9" s="6"/>
      <c r="D9" s="6">
        <v>31.186</v>
      </c>
      <c r="E9" s="6">
        <v>53.531999999999996</v>
      </c>
      <c r="F9" s="6">
        <v>59.911000000000001</v>
      </c>
      <c r="G9" s="6">
        <v>60.563000000000002</v>
      </c>
      <c r="H9" s="6">
        <v>65.227999999999994</v>
      </c>
      <c r="I9" s="6">
        <v>64.055000000000007</v>
      </c>
      <c r="J9" s="6">
        <v>75.186999999999998</v>
      </c>
      <c r="K9" s="6">
        <v>68.497</v>
      </c>
      <c r="L9" s="6">
        <v>73.355000000000004</v>
      </c>
      <c r="M9" s="6">
        <v>76.462000000000003</v>
      </c>
      <c r="N9" s="2">
        <f>295.821-SUM(K9:M9)</f>
        <v>77.507000000000005</v>
      </c>
      <c r="O9" s="6">
        <v>78.453000000000003</v>
      </c>
      <c r="T9" s="2">
        <f>(W4-SUM(O4:P4))-SUM(Q4:R4)</f>
        <v>0</v>
      </c>
    </row>
    <row r="10" spans="1:99" s="2" customFormat="1" x14ac:dyDescent="0.2">
      <c r="B10" s="2" t="s">
        <v>25</v>
      </c>
      <c r="C10" s="6"/>
      <c r="D10" s="6">
        <f t="shared" ref="D10:N10" si="5">SUM(D7:D9)</f>
        <v>160.38200000000001</v>
      </c>
      <c r="E10" s="6">
        <f t="shared" si="5"/>
        <v>262.39699999999999</v>
      </c>
      <c r="F10" s="6">
        <f t="shared" si="5"/>
        <v>307.95800000000003</v>
      </c>
      <c r="G10" s="6">
        <f t="shared" si="5"/>
        <v>337.16300000000001</v>
      </c>
      <c r="H10" s="6">
        <f t="shared" si="5"/>
        <v>366.21800000000002</v>
      </c>
      <c r="I10" s="6">
        <f t="shared" si="5"/>
        <v>370.92599999999999</v>
      </c>
      <c r="J10" s="6">
        <f t="shared" si="5"/>
        <v>401.62300000000005</v>
      </c>
      <c r="K10" s="6">
        <f t="shared" si="5"/>
        <v>463.20700000000005</v>
      </c>
      <c r="L10" s="6">
        <f t="shared" si="5"/>
        <v>531.56799999999998</v>
      </c>
      <c r="M10" s="6">
        <f t="shared" si="5"/>
        <v>572.32600000000002</v>
      </c>
      <c r="N10" s="6">
        <f t="shared" si="5"/>
        <v>623.28500000000008</v>
      </c>
      <c r="O10" s="6">
        <f>SUM(O7:O9)</f>
        <v>687.423</v>
      </c>
      <c r="T10" s="2">
        <f>SUM(O4:R4)</f>
        <v>2809.1720400000004</v>
      </c>
    </row>
    <row r="11" spans="1:99" s="2" customFormat="1" x14ac:dyDescent="0.2">
      <c r="B11" s="2" t="s">
        <v>26</v>
      </c>
      <c r="C11" s="6"/>
      <c r="D11" s="6">
        <f t="shared" ref="D11:N11" si="6">+D6-D10</f>
        <v>-77.682999999999993</v>
      </c>
      <c r="E11" s="6">
        <f t="shared" si="6"/>
        <v>-169.45400000000001</v>
      </c>
      <c r="F11" s="6">
        <f t="shared" si="6"/>
        <v>-200.39700000000002</v>
      </c>
      <c r="G11" s="6">
        <f t="shared" si="6"/>
        <v>-205.59500000000003</v>
      </c>
      <c r="H11" s="6">
        <f t="shared" si="6"/>
        <v>-200.14100000000002</v>
      </c>
      <c r="I11" s="6">
        <f t="shared" si="6"/>
        <v>-157.27100000000002</v>
      </c>
      <c r="J11" s="6">
        <f t="shared" si="6"/>
        <v>-152.02900000000005</v>
      </c>
      <c r="K11" s="6">
        <f t="shared" si="6"/>
        <v>-188.76600000000008</v>
      </c>
      <c r="L11" s="6">
        <f t="shared" si="6"/>
        <v>-207.55200000000002</v>
      </c>
      <c r="M11" s="6">
        <f t="shared" si="6"/>
        <v>-206.01900000000001</v>
      </c>
      <c r="N11" s="6">
        <f t="shared" si="6"/>
        <v>-239.92999999999984</v>
      </c>
      <c r="O11" s="6">
        <f>+O6-O10</f>
        <v>-273.23799999999994</v>
      </c>
    </row>
    <row r="12" spans="1:99" s="2" customFormat="1" x14ac:dyDescent="0.2">
      <c r="B12" s="2" t="s">
        <v>31</v>
      </c>
      <c r="C12" s="6"/>
      <c r="D12" s="6">
        <v>1.6890000000000001</v>
      </c>
      <c r="E12" s="6">
        <f>1.517-0.519</f>
        <v>0.99799999999999989</v>
      </c>
      <c r="F12" s="6">
        <f>1.853+0.951</f>
        <v>2.8039999999999998</v>
      </c>
      <c r="G12" s="6">
        <f>2.612-0.488</f>
        <v>2.1240000000000001</v>
      </c>
      <c r="H12" s="6">
        <v>2.19</v>
      </c>
      <c r="I12" s="6">
        <f>1.985+1.609</f>
        <v>3.5940000000000003</v>
      </c>
      <c r="J12" s="6">
        <v>2.3420000000000001</v>
      </c>
      <c r="K12" s="6">
        <f>4.759-8.481</f>
        <v>-3.7219999999999995</v>
      </c>
      <c r="L12" s="6">
        <f>11.692-22.92</f>
        <v>-11.228000000000002</v>
      </c>
      <c r="M12" s="6">
        <f>21.857-13.271</f>
        <v>8.5859999999999985</v>
      </c>
      <c r="N12" s="2">
        <f>73.839-47.565-SUM(K12:M12)</f>
        <v>32.638000000000005</v>
      </c>
      <c r="O12" s="6">
        <f>43.131-2.562</f>
        <v>40.569000000000003</v>
      </c>
    </row>
    <row r="13" spans="1:99" s="2" customFormat="1" x14ac:dyDescent="0.2">
      <c r="B13" s="2" t="s">
        <v>30</v>
      </c>
      <c r="C13" s="6"/>
      <c r="D13" s="6">
        <f t="shared" ref="D13:N13" si="7">+D11+D12</f>
        <v>-75.994</v>
      </c>
      <c r="E13" s="6">
        <f t="shared" si="7"/>
        <v>-168.45600000000002</v>
      </c>
      <c r="F13" s="6">
        <f t="shared" si="7"/>
        <v>-197.59300000000002</v>
      </c>
      <c r="G13" s="6">
        <f t="shared" si="7"/>
        <v>-203.47100000000003</v>
      </c>
      <c r="H13" s="6">
        <f t="shared" si="7"/>
        <v>-197.95100000000002</v>
      </c>
      <c r="I13" s="6">
        <f t="shared" si="7"/>
        <v>-153.67700000000002</v>
      </c>
      <c r="J13" s="6">
        <f t="shared" si="7"/>
        <v>-149.68700000000004</v>
      </c>
      <c r="K13" s="6">
        <f t="shared" si="7"/>
        <v>-192.48800000000008</v>
      </c>
      <c r="L13" s="6">
        <f t="shared" si="7"/>
        <v>-218.78000000000003</v>
      </c>
      <c r="M13" s="6">
        <f t="shared" si="7"/>
        <v>-197.43299999999999</v>
      </c>
      <c r="N13" s="6">
        <f t="shared" si="7"/>
        <v>-207.29199999999983</v>
      </c>
      <c r="O13" s="6">
        <f>+O11+O12</f>
        <v>-232.66899999999993</v>
      </c>
    </row>
    <row r="14" spans="1:99" s="2" customFormat="1" x14ac:dyDescent="0.2">
      <c r="B14" s="2" t="s">
        <v>29</v>
      </c>
      <c r="C14" s="6"/>
      <c r="D14" s="6">
        <v>0.53100000000000003</v>
      </c>
      <c r="E14" s="6">
        <v>0.433</v>
      </c>
      <c r="F14" s="6">
        <v>1.3420000000000001</v>
      </c>
      <c r="G14" s="6">
        <v>-0.251</v>
      </c>
      <c r="H14" s="6">
        <v>0.51400000000000001</v>
      </c>
      <c r="I14" s="6">
        <v>1.179</v>
      </c>
      <c r="J14" s="6">
        <v>1.546</v>
      </c>
      <c r="K14" s="6">
        <v>-26.693999999999999</v>
      </c>
      <c r="L14" s="6">
        <v>3.8460000000000001</v>
      </c>
      <c r="M14" s="6">
        <v>4.0090000000000003</v>
      </c>
      <c r="N14" s="2">
        <f>-18.467-SUM(K14:M14)</f>
        <v>0.37199999999999989</v>
      </c>
      <c r="O14" s="6">
        <v>-6.6050000000000004</v>
      </c>
    </row>
    <row r="15" spans="1:99" s="2" customFormat="1" x14ac:dyDescent="0.2">
      <c r="B15" s="2" t="s">
        <v>28</v>
      </c>
      <c r="C15" s="6"/>
      <c r="D15" s="6">
        <f t="shared" ref="D15:N15" si="8">+D13-D14</f>
        <v>-76.525000000000006</v>
      </c>
      <c r="E15" s="6">
        <f t="shared" si="8"/>
        <v>-168.88900000000001</v>
      </c>
      <c r="F15" s="6">
        <f t="shared" si="8"/>
        <v>-198.93500000000003</v>
      </c>
      <c r="G15" s="6">
        <f t="shared" si="8"/>
        <v>-203.22000000000003</v>
      </c>
      <c r="H15" s="6">
        <f t="shared" si="8"/>
        <v>-198.46500000000003</v>
      </c>
      <c r="I15" s="6">
        <f t="shared" si="8"/>
        <v>-154.85600000000002</v>
      </c>
      <c r="J15" s="6">
        <f t="shared" si="8"/>
        <v>-151.23300000000003</v>
      </c>
      <c r="K15" s="6">
        <f t="shared" si="8"/>
        <v>-165.7940000000001</v>
      </c>
      <c r="L15" s="6">
        <f t="shared" si="8"/>
        <v>-222.62600000000003</v>
      </c>
      <c r="M15" s="6">
        <f t="shared" si="8"/>
        <v>-201.44200000000001</v>
      </c>
      <c r="N15" s="6">
        <f t="shared" si="8"/>
        <v>-207.66399999999982</v>
      </c>
      <c r="O15" s="6">
        <f>+O13-O14</f>
        <v>-226.06399999999994</v>
      </c>
    </row>
    <row r="16" spans="1:99" x14ac:dyDescent="0.2">
      <c r="B16" t="s">
        <v>27</v>
      </c>
      <c r="D16" s="7">
        <f t="shared" ref="D16:N16" si="9">+D15/D17</f>
        <v>-1.2913291780742517</v>
      </c>
      <c r="E16" s="7">
        <f t="shared" si="9"/>
        <v>-1.0121101563988826</v>
      </c>
      <c r="F16" s="7">
        <f t="shared" si="9"/>
        <v>-0.70017512244406388</v>
      </c>
      <c r="G16" s="7">
        <f t="shared" si="9"/>
        <v>-0.69742540822139709</v>
      </c>
      <c r="H16" s="7">
        <f t="shared" si="9"/>
        <v>-0.666622779365454</v>
      </c>
      <c r="I16" s="7">
        <f t="shared" si="9"/>
        <v>-0.51106463212189535</v>
      </c>
      <c r="J16" s="7">
        <f t="shared" si="9"/>
        <v>-0.48991318468714745</v>
      </c>
      <c r="K16" s="7">
        <f t="shared" si="9"/>
        <v>-0.52740002735708347</v>
      </c>
      <c r="L16" s="7">
        <f t="shared" si="9"/>
        <v>-0.69929889808893198</v>
      </c>
      <c r="M16" s="7">
        <f t="shared" si="9"/>
        <v>-0.62924078904212288</v>
      </c>
      <c r="N16" s="7">
        <f t="shared" si="9"/>
        <v>-0.65153578263734135</v>
      </c>
      <c r="O16" s="7">
        <f>+O15/O17</f>
        <v>-0.69739046202920174</v>
      </c>
    </row>
    <row r="17" spans="2:20" s="2" customFormat="1" x14ac:dyDescent="0.2">
      <c r="B17" s="2" t="s">
        <v>1</v>
      </c>
      <c r="C17" s="6"/>
      <c r="D17" s="6">
        <v>59.260644999999997</v>
      </c>
      <c r="E17" s="6">
        <v>166.8682</v>
      </c>
      <c r="F17" s="6">
        <v>284.12177700000001</v>
      </c>
      <c r="G17" s="6">
        <v>291.38600000000002</v>
      </c>
      <c r="H17" s="6">
        <v>297.71709900000002</v>
      </c>
      <c r="I17" s="6">
        <v>303.006685</v>
      </c>
      <c r="J17" s="6">
        <v>308.693468</v>
      </c>
      <c r="K17" s="6">
        <v>314.36099999999999</v>
      </c>
      <c r="L17" s="6">
        <v>318.35599999999999</v>
      </c>
      <c r="M17" s="6">
        <v>320.13499999999999</v>
      </c>
      <c r="N17" s="2">
        <v>318.73</v>
      </c>
      <c r="O17" s="6">
        <v>324.15699999999998</v>
      </c>
    </row>
    <row r="18" spans="2:20" x14ac:dyDescent="0.2">
      <c r="O18" s="3"/>
    </row>
    <row r="19" spans="2:20" x14ac:dyDescent="0.2">
      <c r="B19" s="13" t="s">
        <v>54</v>
      </c>
      <c r="D19" s="15"/>
      <c r="E19" s="15">
        <f t="shared" ref="E19:R19" si="10">(E4-D4)/D4</f>
        <v>0.19887340868977418</v>
      </c>
      <c r="F19" s="15">
        <f t="shared" si="10"/>
        <v>0.19321029419134972</v>
      </c>
      <c r="G19" s="15">
        <f t="shared" si="10"/>
        <v>0.20186910981020126</v>
      </c>
      <c r="H19" s="15">
        <f t="shared" si="10"/>
        <v>0.18908411018985294</v>
      </c>
      <c r="I19" s="15">
        <f t="shared" si="10"/>
        <v>0.22866810189641365</v>
      </c>
      <c r="J19" s="15">
        <f t="shared" si="10"/>
        <v>0.14750882816401109</v>
      </c>
      <c r="K19" s="15">
        <f t="shared" si="10"/>
        <v>0.10057221177046903</v>
      </c>
      <c r="L19" s="15">
        <f t="shared" si="10"/>
        <v>0.17727779606080912</v>
      </c>
      <c r="M19" s="15">
        <f t="shared" si="10"/>
        <v>0.12022170023811062</v>
      </c>
      <c r="N19" s="15">
        <f t="shared" si="10"/>
        <v>5.7419016638302116E-2</v>
      </c>
      <c r="O19" s="15">
        <f t="shared" si="10"/>
        <v>5.8720365629222948E-2</v>
      </c>
      <c r="P19" s="15">
        <f t="shared" si="10"/>
        <v>6.0521007891289003E-2</v>
      </c>
      <c r="Q19" s="15">
        <f t="shared" si="10"/>
        <v>0.12022170023811067</v>
      </c>
      <c r="R19" s="15">
        <f t="shared" si="10"/>
        <v>5.7419016638302164E-2</v>
      </c>
    </row>
    <row r="20" spans="2:20" s="13" customFormat="1" x14ac:dyDescent="0.2">
      <c r="B20" s="9" t="s">
        <v>32</v>
      </c>
      <c r="C20" s="11"/>
      <c r="D20" s="11"/>
      <c r="E20" s="11"/>
      <c r="F20" s="11"/>
      <c r="G20" s="11"/>
      <c r="H20" s="12">
        <f t="shared" ref="H20:N20" si="11">+H4/D4-1</f>
        <v>1.0443726764054224</v>
      </c>
      <c r="I20" s="12">
        <f t="shared" si="11"/>
        <v>1.0951799228186236</v>
      </c>
      <c r="J20" s="12">
        <f t="shared" si="11"/>
        <v>1.0149318772477884</v>
      </c>
      <c r="K20" s="12">
        <f t="shared" si="11"/>
        <v>0.84510776973011703</v>
      </c>
      <c r="L20" s="12">
        <f t="shared" si="11"/>
        <v>0.8267878529599777</v>
      </c>
      <c r="M20" s="12">
        <f t="shared" si="11"/>
        <v>0.66554937941221337</v>
      </c>
      <c r="N20" s="12">
        <f t="shared" si="11"/>
        <v>0.53478870376836407</v>
      </c>
      <c r="O20" s="12">
        <f>+O4/J4-1</f>
        <v>0.62491205761724355</v>
      </c>
      <c r="P20" s="24">
        <v>0.33</v>
      </c>
      <c r="Q20" s="12"/>
      <c r="R20" s="12"/>
    </row>
    <row r="21" spans="2:20" x14ac:dyDescent="0.2">
      <c r="B21" t="s">
        <v>33</v>
      </c>
      <c r="D21" s="8">
        <f t="shared" ref="D21:O21" si="12">+D6/D4</f>
        <v>0.6211198317623644</v>
      </c>
      <c r="E21" s="8">
        <f t="shared" si="12"/>
        <v>0.5822620658547587</v>
      </c>
      <c r="F21" s="8">
        <f t="shared" si="12"/>
        <v>0.56472842779513299</v>
      </c>
      <c r="G21" s="8">
        <f t="shared" si="12"/>
        <v>0.57474859554243074</v>
      </c>
      <c r="H21" s="8">
        <f t="shared" si="12"/>
        <v>0.61013306490128516</v>
      </c>
      <c r="I21" s="8">
        <f t="shared" si="12"/>
        <v>0.63884212760995207</v>
      </c>
      <c r="J21" s="8">
        <f t="shared" si="12"/>
        <v>0.65036714316238198</v>
      </c>
      <c r="K21" s="8">
        <f t="shared" si="12"/>
        <v>0.64976288618300027</v>
      </c>
      <c r="L21" s="8">
        <f t="shared" si="12"/>
        <v>0.6516185082695154</v>
      </c>
      <c r="M21" s="8">
        <f t="shared" si="12"/>
        <v>0.65760967132711468</v>
      </c>
      <c r="N21" s="8">
        <f t="shared" si="12"/>
        <v>0.65084412541679992</v>
      </c>
      <c r="O21" s="8">
        <f t="shared" si="12"/>
        <v>0.66418483673001405</v>
      </c>
      <c r="R21" s="16" t="s">
        <v>66</v>
      </c>
      <c r="S21" s="17">
        <v>0.3</v>
      </c>
      <c r="T21" s="25"/>
    </row>
    <row r="22" spans="2:20" x14ac:dyDescent="0.2">
      <c r="R22" s="16" t="s">
        <v>67</v>
      </c>
      <c r="S22" s="17">
        <v>0.01</v>
      </c>
      <c r="T22" s="25"/>
    </row>
    <row r="23" spans="2:20" s="2" customFormat="1" x14ac:dyDescent="0.2">
      <c r="B23" s="2" t="s">
        <v>3</v>
      </c>
      <c r="C23" s="6"/>
      <c r="D23" s="6"/>
      <c r="E23" s="6"/>
      <c r="F23" s="6"/>
      <c r="G23" s="6"/>
      <c r="H23" s="6"/>
      <c r="I23" s="6"/>
      <c r="J23" s="6"/>
      <c r="K23" s="6">
        <f>1063.401+2751.679+1212.378</f>
        <v>5027.4579999999996</v>
      </c>
      <c r="L23" s="6"/>
      <c r="M23" s="6"/>
      <c r="N23" s="6"/>
      <c r="R23" s="16" t="s">
        <v>68</v>
      </c>
      <c r="S23" s="17">
        <v>0.1</v>
      </c>
      <c r="T23" s="25"/>
    </row>
    <row r="24" spans="2:20" s="2" customFormat="1" x14ac:dyDescent="0.2">
      <c r="B24" s="2" t="s">
        <v>40</v>
      </c>
      <c r="C24" s="6"/>
      <c r="D24" s="6"/>
      <c r="E24" s="6"/>
      <c r="F24" s="6"/>
      <c r="G24" s="6"/>
      <c r="H24" s="6"/>
      <c r="I24" s="6"/>
      <c r="J24" s="6"/>
      <c r="K24" s="6">
        <v>277.55900000000003</v>
      </c>
      <c r="L24" s="6"/>
      <c r="M24" s="6"/>
      <c r="N24" s="6"/>
      <c r="R24" s="16" t="s">
        <v>69</v>
      </c>
      <c r="S24" s="18">
        <f>NPV(S23,T4:CU4)</f>
        <v>121697.12013090959</v>
      </c>
      <c r="T24" s="26"/>
    </row>
    <row r="25" spans="2:20" s="2" customFormat="1" x14ac:dyDescent="0.2">
      <c r="B25" s="2" t="s">
        <v>38</v>
      </c>
      <c r="C25" s="6"/>
      <c r="D25" s="6"/>
      <c r="E25" s="6"/>
      <c r="F25" s="6"/>
      <c r="G25" s="6"/>
      <c r="H25" s="6"/>
      <c r="I25" s="6"/>
      <c r="J25" s="6"/>
      <c r="K25" s="6">
        <f>53.943+124.34</f>
        <v>178.28300000000002</v>
      </c>
      <c r="L25" s="6"/>
      <c r="M25" s="6"/>
      <c r="N25" s="6"/>
      <c r="R25" s="16" t="s">
        <v>1</v>
      </c>
      <c r="S25" s="19">
        <f>Main!M3</f>
        <v>325.89999999999998</v>
      </c>
      <c r="T25" s="27"/>
    </row>
    <row r="26" spans="2:20" s="2" customFormat="1" x14ac:dyDescent="0.2">
      <c r="B26" s="2" t="s">
        <v>39</v>
      </c>
      <c r="C26" s="6"/>
      <c r="D26" s="6"/>
      <c r="E26" s="6"/>
      <c r="F26" s="6"/>
      <c r="G26" s="6"/>
      <c r="H26" s="6"/>
      <c r="I26" s="6"/>
      <c r="J26" s="6"/>
      <c r="K26" s="6">
        <v>195.15100000000001</v>
      </c>
      <c r="L26" s="6"/>
      <c r="M26" s="6"/>
      <c r="N26" s="6"/>
      <c r="R26" s="16" t="s">
        <v>70</v>
      </c>
      <c r="S26" s="20">
        <f>S24/S25</f>
        <v>373.41859506262534</v>
      </c>
      <c r="T26" s="28"/>
    </row>
    <row r="27" spans="2:20" s="2" customFormat="1" x14ac:dyDescent="0.2">
      <c r="B27" s="2" t="s">
        <v>37</v>
      </c>
      <c r="C27" s="6"/>
      <c r="D27" s="6"/>
      <c r="E27" s="6"/>
      <c r="F27" s="6"/>
      <c r="G27" s="6"/>
      <c r="H27" s="6"/>
      <c r="I27" s="6"/>
      <c r="J27" s="6"/>
      <c r="K27" s="6">
        <v>118.611</v>
      </c>
      <c r="L27" s="6"/>
      <c r="M27" s="6"/>
      <c r="N27" s="6"/>
      <c r="R27" s="16" t="s">
        <v>71</v>
      </c>
      <c r="S27" s="21">
        <f>(S26-Main!M2)/Main!M2</f>
        <v>0.9841583159544387</v>
      </c>
      <c r="T27" s="29"/>
    </row>
    <row r="28" spans="2:20" s="2" customFormat="1" x14ac:dyDescent="0.2">
      <c r="B28" s="2" t="s">
        <v>36</v>
      </c>
      <c r="C28" s="6"/>
      <c r="D28" s="6"/>
      <c r="E28" s="6"/>
      <c r="F28" s="6"/>
      <c r="G28" s="6"/>
      <c r="H28" s="6"/>
      <c r="I28" s="6"/>
      <c r="J28" s="6"/>
      <c r="K28" s="6">
        <v>188.946</v>
      </c>
      <c r="L28" s="6"/>
      <c r="M28" s="6"/>
      <c r="N28" s="6"/>
      <c r="R28" s="16" t="s">
        <v>72</v>
      </c>
      <c r="S28" s="22">
        <f>S25*S26</f>
        <v>121697.12013090959</v>
      </c>
      <c r="T28" s="30"/>
    </row>
    <row r="29" spans="2:20" s="2" customFormat="1" x14ac:dyDescent="0.2">
      <c r="B29" s="2" t="s">
        <v>35</v>
      </c>
      <c r="C29" s="6"/>
      <c r="D29" s="6"/>
      <c r="E29" s="6"/>
      <c r="F29" s="6"/>
      <c r="G29" s="6"/>
      <c r="H29" s="6"/>
      <c r="I29" s="6"/>
      <c r="J29" s="6"/>
      <c r="K29" s="6">
        <f>502.614+181.851</f>
        <v>684.46499999999992</v>
      </c>
      <c r="L29" s="6"/>
      <c r="M29" s="6"/>
      <c r="N29" s="6"/>
    </row>
    <row r="30" spans="2:20" s="2" customFormat="1" x14ac:dyDescent="0.2">
      <c r="B30" s="2" t="s">
        <v>34</v>
      </c>
      <c r="C30" s="6"/>
      <c r="D30" s="6"/>
      <c r="E30" s="6"/>
      <c r="F30" s="6"/>
      <c r="G30" s="6"/>
      <c r="H30" s="6"/>
      <c r="I30" s="6"/>
      <c r="J30" s="6"/>
      <c r="K30" s="6">
        <v>352.226</v>
      </c>
      <c r="L30" s="6"/>
      <c r="M30" s="6"/>
      <c r="N30" s="6"/>
    </row>
    <row r="31" spans="2:20" x14ac:dyDescent="0.2">
      <c r="B31" s="2" t="s">
        <v>41</v>
      </c>
      <c r="K31" s="6">
        <f>SUM(K23:K30)</f>
        <v>7022.6989999999996</v>
      </c>
    </row>
    <row r="33" spans="2:14" s="2" customFormat="1" x14ac:dyDescent="0.2">
      <c r="B33" s="2" t="s">
        <v>42</v>
      </c>
      <c r="C33" s="6"/>
      <c r="D33" s="6"/>
      <c r="E33" s="6"/>
      <c r="F33" s="6"/>
      <c r="G33" s="6"/>
      <c r="H33" s="6"/>
      <c r="I33" s="6"/>
      <c r="J33" s="6"/>
      <c r="K33" s="6">
        <f>K15</f>
        <v>-165.7940000000001</v>
      </c>
      <c r="L33" s="6"/>
      <c r="M33" s="6"/>
      <c r="N33" s="6"/>
    </row>
    <row r="34" spans="2:14" s="2" customFormat="1" x14ac:dyDescent="0.2">
      <c r="B34" s="2" t="s">
        <v>43</v>
      </c>
      <c r="C34" s="6"/>
      <c r="D34" s="6"/>
      <c r="E34" s="6"/>
      <c r="F34" s="6"/>
      <c r="G34" s="6"/>
      <c r="H34" s="6"/>
      <c r="I34" s="6"/>
      <c r="J34" s="6"/>
      <c r="K34" s="6">
        <v>-165.79400000000001</v>
      </c>
      <c r="L34" s="6"/>
      <c r="M34" s="6"/>
      <c r="N34" s="6"/>
    </row>
    <row r="35" spans="2:14" s="2" customFormat="1" x14ac:dyDescent="0.2">
      <c r="B35" s="2" t="s">
        <v>46</v>
      </c>
      <c r="C35" s="6"/>
      <c r="D35" s="6"/>
      <c r="E35" s="6"/>
      <c r="F35" s="6"/>
      <c r="G35" s="6"/>
      <c r="H35" s="6"/>
      <c r="I35" s="6"/>
      <c r="J35" s="6"/>
      <c r="K35" s="6">
        <v>9.9410000000000007</v>
      </c>
      <c r="L35" s="6"/>
      <c r="M35" s="6"/>
      <c r="N35" s="6"/>
    </row>
    <row r="36" spans="2:14" s="2" customFormat="1" x14ac:dyDescent="0.2">
      <c r="B36" s="2" t="s">
        <v>47</v>
      </c>
      <c r="C36" s="6"/>
      <c r="D36" s="6"/>
      <c r="E36" s="6"/>
      <c r="F36" s="6"/>
      <c r="G36" s="6"/>
      <c r="H36" s="6"/>
      <c r="I36" s="6"/>
      <c r="J36" s="6"/>
      <c r="K36" s="6">
        <v>10.090999999999999</v>
      </c>
      <c r="L36" s="6"/>
      <c r="M36" s="6"/>
      <c r="N36" s="6"/>
    </row>
    <row r="37" spans="2:14" s="2" customFormat="1" x14ac:dyDescent="0.2">
      <c r="B37" s="2" t="s">
        <v>38</v>
      </c>
      <c r="C37" s="6"/>
      <c r="D37" s="6"/>
      <c r="E37" s="6"/>
      <c r="F37" s="6"/>
      <c r="G37" s="6"/>
      <c r="H37" s="6"/>
      <c r="I37" s="6"/>
      <c r="J37" s="6"/>
      <c r="K37" s="6">
        <v>13.201000000000001</v>
      </c>
      <c r="L37" s="6"/>
      <c r="M37" s="6"/>
      <c r="N37" s="6"/>
    </row>
    <row r="38" spans="2:14" s="2" customFormat="1" x14ac:dyDescent="0.2">
      <c r="B38" s="2" t="s">
        <v>48</v>
      </c>
      <c r="C38" s="6"/>
      <c r="D38" s="6"/>
      <c r="E38" s="6"/>
      <c r="F38" s="6"/>
      <c r="G38" s="6"/>
      <c r="H38" s="6"/>
      <c r="I38" s="6"/>
      <c r="J38" s="6"/>
      <c r="K38" s="6">
        <v>172.49299999999999</v>
      </c>
      <c r="L38" s="6"/>
      <c r="M38" s="6"/>
      <c r="N38" s="6"/>
    </row>
    <row r="39" spans="2:14" s="2" customFormat="1" x14ac:dyDescent="0.2">
      <c r="B39" s="2" t="s">
        <v>49</v>
      </c>
      <c r="C39" s="6"/>
      <c r="D39" s="6"/>
      <c r="E39" s="6"/>
      <c r="F39" s="6"/>
      <c r="G39" s="6"/>
      <c r="H39" s="6"/>
      <c r="I39" s="6"/>
      <c r="J39" s="6"/>
      <c r="K39" s="6">
        <v>8.1980000000000004</v>
      </c>
      <c r="L39" s="6"/>
      <c r="M39" s="6"/>
      <c r="N39" s="6"/>
    </row>
    <row r="40" spans="2:14" s="2" customFormat="1" x14ac:dyDescent="0.2">
      <c r="B40" s="2" t="s">
        <v>49</v>
      </c>
      <c r="C40" s="6"/>
      <c r="D40" s="6"/>
      <c r="E40" s="6"/>
      <c r="F40" s="6"/>
      <c r="G40" s="6"/>
      <c r="H40" s="6"/>
      <c r="I40" s="6"/>
      <c r="J40" s="6"/>
      <c r="K40" s="6">
        <v>8.859</v>
      </c>
      <c r="L40" s="6"/>
      <c r="M40" s="6"/>
      <c r="N40" s="6"/>
    </row>
    <row r="41" spans="2:14" s="2" customFormat="1" x14ac:dyDescent="0.2">
      <c r="B41" s="2" t="s">
        <v>50</v>
      </c>
      <c r="C41" s="6"/>
      <c r="D41" s="6"/>
      <c r="E41" s="6"/>
      <c r="F41" s="6"/>
      <c r="G41" s="6"/>
      <c r="H41" s="6"/>
      <c r="I41" s="6"/>
      <c r="J41" s="6"/>
      <c r="K41" s="6">
        <v>-26.664000000000001</v>
      </c>
      <c r="L41" s="6"/>
      <c r="M41" s="6"/>
      <c r="N41" s="6"/>
    </row>
    <row r="42" spans="2:14" s="2" customFormat="1" x14ac:dyDescent="0.2">
      <c r="B42" s="2" t="s">
        <v>51</v>
      </c>
      <c r="C42" s="6"/>
      <c r="D42" s="6"/>
      <c r="E42" s="6"/>
      <c r="F42" s="6"/>
      <c r="G42" s="6"/>
      <c r="H42" s="6"/>
      <c r="I42" s="6"/>
      <c r="J42" s="6"/>
      <c r="K42" s="6">
        <v>1.7609999999999999</v>
      </c>
      <c r="L42" s="6"/>
      <c r="M42" s="6"/>
      <c r="N42" s="6"/>
    </row>
    <row r="43" spans="2:14" s="2" customFormat="1" x14ac:dyDescent="0.2">
      <c r="B43" s="2" t="s">
        <v>45</v>
      </c>
      <c r="C43" s="6"/>
      <c r="D43" s="6"/>
      <c r="E43" s="6"/>
      <c r="F43" s="6"/>
      <c r="G43" s="6"/>
      <c r="H43" s="6"/>
      <c r="I43" s="6"/>
      <c r="J43" s="6"/>
      <c r="K43" s="6">
        <f>266.656-16.718-57.535+4.158-14.217-8.376-21.441</f>
        <v>152.52699999999999</v>
      </c>
      <c r="L43" s="6"/>
      <c r="M43" s="6"/>
      <c r="N43" s="6"/>
    </row>
    <row r="44" spans="2:14" s="2" customFormat="1" x14ac:dyDescent="0.2">
      <c r="B44" s="2" t="s">
        <v>44</v>
      </c>
      <c r="C44" s="6"/>
      <c r="D44" s="6"/>
      <c r="E44" s="6"/>
      <c r="F44" s="6"/>
      <c r="G44" s="6"/>
      <c r="H44" s="6"/>
      <c r="I44" s="6"/>
      <c r="J44" s="6"/>
      <c r="K44" s="6">
        <f>SUM(K34:K43)</f>
        <v>184.61299999999997</v>
      </c>
      <c r="L44" s="6"/>
      <c r="M44" s="6"/>
      <c r="N44" s="6"/>
    </row>
  </sheetData>
  <phoneticPr fontId="4" type="noConversion"/>
  <hyperlinks>
    <hyperlink ref="A1" location="Main!A1" display="Main" xr:uid="{567BD3AE-9464-472E-91DA-BE401641621D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Jefferson Hwang</cp:lastModifiedBy>
  <dcterms:created xsi:type="dcterms:W3CDTF">2022-07-28T12:42:20Z</dcterms:created>
  <dcterms:modified xsi:type="dcterms:W3CDTF">2023-07-22T07:15:08Z</dcterms:modified>
</cp:coreProperties>
</file>