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GitHub\martinshkreli-models\"/>
    </mc:Choice>
  </mc:AlternateContent>
  <xr:revisionPtr revIDLastSave="0" documentId="13_ncr:1_{ED79FDE4-DAA3-4AC5-8821-7EA973E23EA7}" xr6:coauthVersionLast="47" xr6:coauthVersionMax="47" xr10:uidLastSave="{00000000-0000-0000-0000-000000000000}"/>
  <bookViews>
    <workbookView xWindow="12345" yWindow="0" windowWidth="28050" windowHeight="20880" activeTab="1" xr2:uid="{04F796B3-9D76-4BC0-BCDC-4708D1ACB92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4" i="2" l="1"/>
  <c r="AB46" i="2"/>
  <c r="AB47" i="2"/>
  <c r="AF30" i="2"/>
  <c r="AG30" i="2"/>
  <c r="AG11" i="2"/>
  <c r="W30" i="2"/>
  <c r="W15" i="2"/>
  <c r="W7" i="2"/>
  <c r="W13" i="2"/>
  <c r="W12" i="2"/>
  <c r="W11" i="2"/>
  <c r="AF15" i="2"/>
  <c r="V30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U30" i="2"/>
  <c r="U28" i="2"/>
  <c r="U25" i="2"/>
  <c r="U23" i="2"/>
  <c r="U21" i="2"/>
  <c r="U22" i="2" s="1"/>
  <c r="U24" i="2" s="1"/>
  <c r="U26" i="2" s="1"/>
  <c r="U27" i="2" s="1"/>
  <c r="U17" i="2"/>
  <c r="U15" i="2"/>
  <c r="U13" i="2"/>
  <c r="U12" i="2"/>
  <c r="T28" i="2"/>
  <c r="T27" i="2"/>
  <c r="T26" i="2"/>
  <c r="T25" i="2"/>
  <c r="T24" i="2"/>
  <c r="T23" i="2"/>
  <c r="T22" i="2"/>
  <c r="T21" i="2"/>
  <c r="T17" i="2"/>
  <c r="AF17" i="2"/>
  <c r="AF16" i="2" s="1"/>
  <c r="AB36" i="2"/>
  <c r="S23" i="2"/>
  <c r="S21" i="2"/>
  <c r="S16" i="2"/>
  <c r="T13" i="2"/>
  <c r="R20" i="2"/>
  <c r="R19" i="2"/>
  <c r="R18" i="2"/>
  <c r="R21" i="2" s="1"/>
  <c r="AF13" i="2"/>
  <c r="AF3" i="2"/>
  <c r="S13" i="2"/>
  <c r="S12" i="2"/>
  <c r="S15" i="2" s="1"/>
  <c r="S17" i="2" s="1"/>
  <c r="S22" i="2" s="1"/>
  <c r="Q23" i="2"/>
  <c r="Q21" i="2"/>
  <c r="P21" i="2"/>
  <c r="P22" i="2" s="1"/>
  <c r="P24" i="2" s="1"/>
  <c r="Q13" i="2"/>
  <c r="Q12" i="2"/>
  <c r="Q15" i="2" s="1"/>
  <c r="Q17" i="2" s="1"/>
  <c r="P12" i="2"/>
  <c r="M12" i="2"/>
  <c r="P13" i="2"/>
  <c r="M13" i="2"/>
  <c r="L13" i="2"/>
  <c r="P25" i="2"/>
  <c r="R25" i="2" s="1"/>
  <c r="AC36" i="2"/>
  <c r="AL30" i="2"/>
  <c r="AK30" i="2"/>
  <c r="AJ30" i="2"/>
  <c r="AI30" i="2"/>
  <c r="O7" i="2"/>
  <c r="R7" i="2" s="1"/>
  <c r="K23" i="2"/>
  <c r="O23" i="2"/>
  <c r="R23" i="2" s="1"/>
  <c r="O21" i="2"/>
  <c r="P15" i="2" l="1"/>
  <c r="S24" i="2"/>
  <c r="S26" i="2" s="1"/>
  <c r="S27" i="2" s="1"/>
  <c r="T12" i="2"/>
  <c r="P16" i="2"/>
  <c r="R16" i="2" s="1"/>
  <c r="P26" i="2"/>
  <c r="P27" i="2" s="1"/>
  <c r="Q22" i="2"/>
  <c r="Q24" i="2" s="1"/>
  <c r="Q26" i="2" s="1"/>
  <c r="Q27" i="2" s="1"/>
  <c r="R12" i="2"/>
  <c r="AF4" i="2"/>
  <c r="AG4" i="2" s="1"/>
  <c r="AH4" i="2" s="1"/>
  <c r="AI4" i="2" s="1"/>
  <c r="AJ4" i="2" l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T15" i="2"/>
  <c r="T30" i="2" s="1"/>
  <c r="AH30" i="2"/>
  <c r="AD30" i="2"/>
  <c r="AC30" i="2"/>
  <c r="AB30" i="2"/>
  <c r="N5" i="2"/>
  <c r="J5" i="2"/>
  <c r="N4" i="2"/>
  <c r="J4" i="2"/>
  <c r="J3" i="2"/>
  <c r="N3" i="2"/>
  <c r="N10" i="2"/>
  <c r="J10" i="2"/>
  <c r="N9" i="2"/>
  <c r="J9" i="2"/>
  <c r="N7" i="2"/>
  <c r="J7" i="2" s="1"/>
  <c r="J8" i="2"/>
  <c r="J25" i="2"/>
  <c r="J20" i="2"/>
  <c r="J19" i="2"/>
  <c r="J18" i="2"/>
  <c r="J16" i="2"/>
  <c r="J14" i="2"/>
  <c r="N25" i="2"/>
  <c r="N20" i="2"/>
  <c r="N19" i="2"/>
  <c r="N18" i="2"/>
  <c r="N14" i="2"/>
  <c r="I8" i="2"/>
  <c r="M7" i="2"/>
  <c r="I7" i="2" s="1"/>
  <c r="M23" i="2"/>
  <c r="I23" i="2"/>
  <c r="M21" i="2"/>
  <c r="I21" i="2"/>
  <c r="I15" i="2"/>
  <c r="I17" i="2" s="1"/>
  <c r="I22" i="2" s="1"/>
  <c r="I24" i="2" s="1"/>
  <c r="I26" i="2" s="1"/>
  <c r="I27" i="2" s="1"/>
  <c r="M15" i="2"/>
  <c r="G8" i="2"/>
  <c r="G7" i="2"/>
  <c r="H8" i="2"/>
  <c r="H23" i="2"/>
  <c r="L23" i="2"/>
  <c r="H21" i="2"/>
  <c r="H17" i="2"/>
  <c r="L7" i="2"/>
  <c r="H7" i="2" s="1"/>
  <c r="L21" i="2"/>
  <c r="AC35" i="2" l="1"/>
  <c r="AC37" i="2" s="1"/>
  <c r="AC39" i="2" s="1"/>
  <c r="J21" i="2"/>
  <c r="M30" i="2"/>
  <c r="H22" i="2"/>
  <c r="H24" i="2" s="1"/>
  <c r="H26" i="2" s="1"/>
  <c r="H27" i="2" s="1"/>
  <c r="N21" i="2"/>
  <c r="M17" i="2"/>
  <c r="M22" i="2" s="1"/>
  <c r="M24" i="2" s="1"/>
  <c r="M26" i="2" s="1"/>
  <c r="M27" i="2" s="1"/>
  <c r="N23" i="2"/>
  <c r="AG3" i="2"/>
  <c r="AH3" i="2" l="1"/>
  <c r="AI3" i="2" s="1"/>
  <c r="AJ3" i="2" s="1"/>
  <c r="AK3" i="2" s="1"/>
  <c r="AL3" i="2" s="1"/>
  <c r="AM3" i="2" s="1"/>
  <c r="Q30" i="2"/>
  <c r="AC38" i="2"/>
  <c r="AN3" i="2" l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AB35" i="2" l="1"/>
  <c r="AB37" i="2" s="1"/>
  <c r="K11" i="2"/>
  <c r="G11" i="2"/>
  <c r="K71" i="2"/>
  <c r="K65" i="2"/>
  <c r="K66" i="2" s="1"/>
  <c r="K61" i="2"/>
  <c r="K62" i="2" s="1"/>
  <c r="K48" i="2"/>
  <c r="K47" i="2"/>
  <c r="K46" i="2"/>
  <c r="K39" i="2"/>
  <c r="K33" i="2"/>
  <c r="K35" i="2"/>
  <c r="G23" i="2"/>
  <c r="J23" i="2" s="1"/>
  <c r="G21" i="2"/>
  <c r="K21" i="2"/>
  <c r="K16" i="2"/>
  <c r="N16" i="2" s="1"/>
  <c r="L4" i="1"/>
  <c r="L7" i="1" s="1"/>
  <c r="AB38" i="2" l="1"/>
  <c r="AB41" i="2"/>
  <c r="AC41" i="2" s="1"/>
  <c r="AC42" i="2" s="1"/>
  <c r="L12" i="2"/>
  <c r="L15" i="2" s="1"/>
  <c r="K13" i="2"/>
  <c r="O13" i="2"/>
  <c r="AB39" i="2"/>
  <c r="K15" i="2"/>
  <c r="N11" i="2"/>
  <c r="R13" i="2" s="1"/>
  <c r="R15" i="2" s="1"/>
  <c r="R17" i="2" s="1"/>
  <c r="R22" i="2" s="1"/>
  <c r="R24" i="2" s="1"/>
  <c r="G15" i="2"/>
  <c r="J11" i="2"/>
  <c r="J15" i="2" s="1"/>
  <c r="J17" i="2" s="1"/>
  <c r="J22" i="2" s="1"/>
  <c r="J24" i="2" s="1"/>
  <c r="J26" i="2" s="1"/>
  <c r="J27" i="2" s="1"/>
  <c r="K73" i="2"/>
  <c r="K42" i="2"/>
  <c r="K51" i="2"/>
  <c r="N12" i="2" l="1"/>
  <c r="O12" i="2"/>
  <c r="O15" i="2" s="1"/>
  <c r="K12" i="2"/>
  <c r="L30" i="2"/>
  <c r="P30" i="2"/>
  <c r="L17" i="2"/>
  <c r="L22" i="2" s="1"/>
  <c r="L24" i="2" s="1"/>
  <c r="L26" i="2" s="1"/>
  <c r="L27" i="2" s="1"/>
  <c r="N13" i="2"/>
  <c r="N15" i="2" s="1"/>
  <c r="G17" i="2"/>
  <c r="G22" i="2" s="1"/>
  <c r="G24" i="2" s="1"/>
  <c r="G26" i="2" s="1"/>
  <c r="G27" i="2" s="1"/>
  <c r="AC15" i="2"/>
  <c r="K17" i="2"/>
  <c r="K22" i="2" s="1"/>
  <c r="K24" i="2" s="1"/>
  <c r="K26" i="2" s="1"/>
  <c r="K27" i="2" s="1"/>
  <c r="O30" i="2"/>
  <c r="K30" i="2"/>
  <c r="O17" i="2" l="1"/>
  <c r="O22" i="2" s="1"/>
  <c r="O24" i="2" s="1"/>
  <c r="O26" i="2" s="1"/>
  <c r="AA12" i="2"/>
  <c r="S30" i="2"/>
  <c r="AE15" i="2"/>
  <c r="K54" i="2"/>
  <c r="AD15" i="2"/>
  <c r="N17" i="2"/>
  <c r="N22" i="2" s="1"/>
  <c r="N24" i="2" s="1"/>
  <c r="N26" i="2" s="1"/>
  <c r="N27" i="2" s="1"/>
  <c r="N30" i="2"/>
  <c r="O27" i="2" l="1"/>
  <c r="R26" i="2"/>
  <c r="R30" i="2"/>
  <c r="AG15" i="2" l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AE30" i="2"/>
  <c r="R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tc={87B9C53B-7C12-4514-9D95-493861D69A0F}</author>
  </authors>
  <commentList>
    <comment ref="L11" authorId="0" shapeId="0" xr:uid="{87B9C53B-7C12-4514-9D95-493861D69A0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1670-1675</t>
      </text>
    </comment>
  </commentList>
</comments>
</file>

<file path=xl/sharedStrings.xml><?xml version="1.0" encoding="utf-8"?>
<sst xmlns="http://schemas.openxmlformats.org/spreadsheetml/2006/main" count="141" uniqueCount="131">
  <si>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</si>
  <si>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</si>
  <si>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</si>
  <si>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</si>
  <si>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</si>
  <si>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</si>
  <si>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</si>
  <si>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</si>
  <si>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</si>
  <si>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</si>
  <si>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</si>
  <si>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</si>
  <si>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</si>
  <si>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</si>
  <si>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</si>
  <si>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</si>
  <si>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</si>
  <si>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</si>
  <si>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</si>
  <si>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</si>
  <si>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Subscription</t>
  </si>
  <si>
    <t>Services</t>
  </si>
  <si>
    <t>COGS</t>
  </si>
  <si>
    <t>Gross Margin</t>
  </si>
  <si>
    <t>S&amp;M</t>
  </si>
  <si>
    <t>R&amp;D</t>
  </si>
  <si>
    <t>G&amp;A</t>
  </si>
  <si>
    <t>OpEx</t>
  </si>
  <si>
    <t>OpInc</t>
  </si>
  <si>
    <t>EPS</t>
  </si>
  <si>
    <t>Net Income</t>
  </si>
  <si>
    <t>Taxes</t>
  </si>
  <si>
    <t>Pretax</t>
  </si>
  <si>
    <t>Interest</t>
  </si>
  <si>
    <t>AR</t>
  </si>
  <si>
    <t>Commissions</t>
  </si>
  <si>
    <t>Assets</t>
  </si>
  <si>
    <t>Prepaid</t>
  </si>
  <si>
    <t>PP&amp;E</t>
  </si>
  <si>
    <t>Lease</t>
  </si>
  <si>
    <t>Intangibles</t>
  </si>
  <si>
    <t>Other</t>
  </si>
  <si>
    <t>L+SE</t>
  </si>
  <si>
    <t>SE</t>
  </si>
  <si>
    <t>AP</t>
  </si>
  <si>
    <t>Accrued Expenses</t>
  </si>
  <si>
    <t>DR</t>
  </si>
  <si>
    <t>OLTL</t>
  </si>
  <si>
    <t>Revenue Growth</t>
  </si>
  <si>
    <t>Model NI</t>
  </si>
  <si>
    <t>Reported NI</t>
  </si>
  <si>
    <t>D&amp;A</t>
  </si>
  <si>
    <t>Amortization of DC</t>
  </si>
  <si>
    <t>SBC</t>
  </si>
  <si>
    <t>WC</t>
  </si>
  <si>
    <t>CFFO</t>
  </si>
  <si>
    <t>CapEx</t>
  </si>
  <si>
    <t>Investments</t>
  </si>
  <si>
    <t>CFFI</t>
  </si>
  <si>
    <t>Converts</t>
  </si>
  <si>
    <t>ESOP</t>
  </si>
  <si>
    <t>CFFF</t>
  </si>
  <si>
    <t>FX</t>
  </si>
  <si>
    <t>CIC</t>
  </si>
  <si>
    <t>Technology</t>
  </si>
  <si>
    <t>Employee</t>
  </si>
  <si>
    <t>Consumer</t>
  </si>
  <si>
    <t>Creator</t>
  </si>
  <si>
    <t>NorthAm</t>
  </si>
  <si>
    <t>EMEA</t>
  </si>
  <si>
    <t>APAC</t>
  </si>
  <si>
    <t>Digital workflow</t>
  </si>
  <si>
    <t>ITOM</t>
  </si>
  <si>
    <t>Digital Workflow</t>
  </si>
  <si>
    <t>Now Platform</t>
  </si>
  <si>
    <t>IT Service Management</t>
  </si>
  <si>
    <t>IT Business Management</t>
  </si>
  <si>
    <t>IT Asset Management</t>
  </si>
  <si>
    <t>Security Operations</t>
  </si>
  <si>
    <t>Governance</t>
  </si>
  <si>
    <t>Risk &amp; Compliance</t>
  </si>
  <si>
    <t>HR Service Delivery</t>
  </si>
  <si>
    <t>Safe Workplace</t>
  </si>
  <si>
    <t>Workplace Service Delivery</t>
  </si>
  <si>
    <t>Legal Service Delivery</t>
  </si>
  <si>
    <t>Customer Service Management</t>
  </si>
  <si>
    <t>Field Service Management</t>
  </si>
  <si>
    <t>Industry Solutions</t>
  </si>
  <si>
    <t>App Engine</t>
  </si>
  <si>
    <t>IntegrationHub</t>
  </si>
  <si>
    <t>RPO</t>
  </si>
  <si>
    <t>CEO: Bill McDermott</t>
  </si>
  <si>
    <t>cRPO</t>
  </si>
  <si>
    <t>Q123</t>
  </si>
  <si>
    <t>Growth Rate</t>
  </si>
  <si>
    <t>Terminal Rate</t>
  </si>
  <si>
    <t>Discount Rate</t>
  </si>
  <si>
    <t>NPV</t>
  </si>
  <si>
    <t>Delta</t>
  </si>
  <si>
    <t>Share Price</t>
  </si>
  <si>
    <t>FY21</t>
  </si>
  <si>
    <t>FY22</t>
  </si>
  <si>
    <t>FY23</t>
  </si>
  <si>
    <t>FY20</t>
  </si>
  <si>
    <t>FY19</t>
  </si>
  <si>
    <t>FY24</t>
  </si>
  <si>
    <t>FY25</t>
  </si>
  <si>
    <t>FY26</t>
  </si>
  <si>
    <t>FY27</t>
  </si>
  <si>
    <t>FY28</t>
  </si>
  <si>
    <t>FY29</t>
  </si>
  <si>
    <t>FY30</t>
  </si>
  <si>
    <t>Market Cap</t>
  </si>
  <si>
    <t>Q223</t>
  </si>
  <si>
    <t>If Rev Target is Met</t>
  </si>
  <si>
    <t>Based on Growth %</t>
  </si>
  <si>
    <t>Q323</t>
  </si>
  <si>
    <t>Q423</t>
  </si>
  <si>
    <t>FY23 (Proj)</t>
  </si>
  <si>
    <t>Sub Growth % YOY</t>
  </si>
  <si>
    <t>Sub Growth % QoQ</t>
  </si>
  <si>
    <t>Q124</t>
  </si>
  <si>
    <t>^ Bottom line shows If growth decelerates to 15% before terminal rate</t>
  </si>
  <si>
    <t>Q224</t>
  </si>
  <si>
    <t>Projected</t>
  </si>
  <si>
    <t>Guided Sub Rev</t>
  </si>
  <si>
    <t>Estimated Rev</t>
  </si>
  <si>
    <t>Risk Free Rate</t>
  </si>
  <si>
    <t>Beta</t>
  </si>
  <si>
    <t>Eqty Risk Prem</t>
  </si>
  <si>
    <t>Not much upside…especially if discount rate is in the ballpark 8.5 - 9.9445% and growth rate is 19-20%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</si>
</sst>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000%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0" applyFont="1"/>
    <xf numFmtId="14" fontId="0" fillId="0" borderId="0" xfId="0" applyNumberFormat="1" applyAlignment="1">
      <alignment horizontal="right"/>
    </xf>
    <xf numFmtId="9" fontId="0" fillId="0" borderId="0" xfId="0" applyNumberFormat="1"/>
    <xf numFmtId="9" fontId="0" fillId="0" borderId="0" xfId="4" applyFont="1"/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164" fontId="0" fillId="0" borderId="1" xfId="2" applyNumberFormat="1" applyFont="1" applyBorder="1"/>
    <xf numFmtId="165" fontId="0" fillId="0" borderId="1" xfId="3" applyNumberFormat="1" applyFont="1" applyBorder="1"/>
    <xf numFmtId="44" fontId="0" fillId="0" borderId="1" xfId="3" applyFont="1" applyBorder="1"/>
    <xf numFmtId="9" fontId="0" fillId="0" borderId="1" xfId="4" applyFont="1" applyBorder="1"/>
    <xf numFmtId="14" fontId="0" fillId="0" borderId="0" xfId="0" applyNumberFormat="1"/>
    <xf numFmtId="3" fontId="6" fillId="0" borderId="0" xfId="0" applyNumberFormat="1" applyFont="1"/>
    <xf numFmtId="9" fontId="0" fillId="0" borderId="0" xfId="4" applyFont="1" applyAlignment="1">
      <alignment horizontal="right"/>
    </xf>
    <xf numFmtId="9" fontId="1" fillId="0" borderId="0" xfId="4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3" fontId="0" fillId="2" borderId="0" xfId="0" applyNumberFormat="1" applyFill="1"/>
    <xf numFmtId="9" fontId="0" fillId="2" borderId="0" xfId="4" applyFont="1" applyFill="1" applyAlignment="1">
      <alignment horizontal="right"/>
    </xf>
    <xf numFmtId="9" fontId="1" fillId="2" borderId="0" xfId="4" applyFont="1" applyFill="1" applyAlignment="1">
      <alignment horizontal="right"/>
    </xf>
    <xf numFmtId="43" fontId="0" fillId="2" borderId="0" xfId="2" applyFont="1" applyFill="1"/>
    <xf numFmtId="3" fontId="1" fillId="2" borderId="0" xfId="0" applyNumberFormat="1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0" fillId="0" borderId="0" xfId="4" applyFont="1" applyFill="1" applyAlignment="1">
      <alignment horizontal="right"/>
    </xf>
    <xf numFmtId="9" fontId="1" fillId="0" borderId="0" xfId="4" applyFont="1" applyFill="1" applyAlignment="1">
      <alignment horizontal="right"/>
    </xf>
    <xf numFmtId="43" fontId="0" fillId="0" borderId="0" xfId="2" applyFont="1" applyFill="1"/>
    <xf numFmtId="164" fontId="0" fillId="0" borderId="0" xfId="2" applyNumberFormat="1" applyFont="1" applyFill="1"/>
    <xf numFmtId="14" fontId="0" fillId="2" borderId="0" xfId="0" applyNumberFormat="1" applyFill="1"/>
    <xf numFmtId="10" fontId="0" fillId="0" borderId="0" xfId="0" applyNumberFormat="1"/>
    <xf numFmtId="10" fontId="0" fillId="0" borderId="1" xfId="0" applyNumberFormat="1" applyBorder="1"/>
    <xf numFmtId="0" fontId="1" fillId="0" borderId="0" xfId="0" applyFont="1"/>
    <xf numFmtId="166" fontId="1" fillId="0" borderId="0" xfId="0" applyNumberFormat="1" applyFont="1"/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28575</xdr:rowOff>
    </xdr:from>
    <xdr:to>
      <xdr:col>11</xdr:col>
      <xdr:colOff>0</xdr:colOff>
      <xdr:row>78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1AA7940-E596-AAAB-B1AC-1E5874FAAF5A}"/>
            </a:ext>
          </a:extLst>
        </xdr:cNvPr>
        <xdr:cNvCxnSpPr/>
      </xdr:nvCxnSpPr>
      <xdr:spPr>
        <a:xfrm>
          <a:off x="6943725" y="190500"/>
          <a:ext cx="0" cy="12258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95C20F-8AD2-445D-89EB-074DE7D08C7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1" dT="2022-07-26T03:20:09.97" personId="{6895C20F-8AD2-445D-89EB-074DE7D08C7E}" id="{87B9C53B-7C12-4514-9D95-493861D69A0F}">
    <text>Q122 guidance: 1670-1675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9079-183A-4E00-8AC0-8BABADD9CBE7}">
  <dimension ref="B2:M24"/>
  <sheetViews>
    <sheetView topLeftCell="E1" workbookViewId="0">
      <selection activeCell="M3" sqref="M3:M7"/>
    </sheetView>
  </sheetViews>
  <sheetFormatPr defaultRowHeight="12.75" x14ac:dyDescent="0.2"/>
  <sheetData>
    <row r="2" spans="2:13" x14ac:dyDescent="0.2">
      <c r="B2" t="s">
        <v>64</v>
      </c>
      <c r="K2" t="s">
        <v>0</v>
      </c>
      <c r="L2" s="1">
        <v>1008.29</v>
      </c>
    </row>
    <row r="3" spans="2:13" x14ac:dyDescent="0.2">
      <c r="B3" t="s">
        <v>65</v>
      </c>
      <c r="K3" t="s">
        <v>1</v>
      </c>
      <c r="L3" s="2">
        <v>208.423</v>
      </c>
      <c r="M3" s="3"/>
    </row>
    <row r="4" spans="2:13" x14ac:dyDescent="0.2">
      <c r="B4" t="s">
        <v>66</v>
      </c>
      <c r="K4" t="s">
        <v>2</v>
      </c>
      <c r="L4" s="2">
        <f>+L2*L3</f>
        <v>210150.82666999998</v>
      </c>
    </row>
    <row r="5" spans="2:13" x14ac:dyDescent="0.2">
      <c r="B5" t="s">
        <v>67</v>
      </c>
      <c r="K5" t="s">
        <v>3</v>
      </c>
      <c r="L5" s="2">
        <v>4880</v>
      </c>
      <c r="M5" s="3"/>
    </row>
    <row r="6" spans="2:13" x14ac:dyDescent="0.2">
      <c r="K6" t="s">
        <v>4</v>
      </c>
      <c r="L6" s="2">
        <v>2280</v>
      </c>
      <c r="M6" s="3"/>
    </row>
    <row r="7" spans="2:13" x14ac:dyDescent="0.2">
      <c r="K7" t="s">
        <v>5</v>
      </c>
      <c r="L7" s="2">
        <f>+L4-L5+L6</f>
        <v>207550.82666999998</v>
      </c>
      <c r="M7" s="3"/>
    </row>
    <row r="8" spans="2:13" x14ac:dyDescent="0.2">
      <c r="B8" s="10" t="s">
        <v>73</v>
      </c>
    </row>
    <row r="9" spans="2:13" x14ac:dyDescent="0.2">
      <c r="B9" t="s">
        <v>74</v>
      </c>
    </row>
    <row r="10" spans="2:13" x14ac:dyDescent="0.2">
      <c r="B10" t="s">
        <v>75</v>
      </c>
      <c r="K10" t="s">
        <v>91</v>
      </c>
    </row>
    <row r="11" spans="2:13" x14ac:dyDescent="0.2">
      <c r="B11" t="s">
        <v>76</v>
      </c>
    </row>
    <row r="12" spans="2:13" x14ac:dyDescent="0.2">
      <c r="B12" t="s">
        <v>77</v>
      </c>
    </row>
    <row r="13" spans="2:13" x14ac:dyDescent="0.2">
      <c r="B13" t="s">
        <v>78</v>
      </c>
    </row>
    <row r="14" spans="2:13" x14ac:dyDescent="0.2">
      <c r="B14" t="s">
        <v>79</v>
      </c>
    </row>
    <row r="15" spans="2:13" x14ac:dyDescent="0.2">
      <c r="B15" t="s">
        <v>80</v>
      </c>
    </row>
    <row r="16" spans="2:13" x14ac:dyDescent="0.2">
      <c r="B16" t="s">
        <v>81</v>
      </c>
    </row>
    <row r="17" spans="2:2" x14ac:dyDescent="0.2">
      <c r="B17" t="s">
        <v>82</v>
      </c>
    </row>
    <row r="18" spans="2:2" x14ac:dyDescent="0.2">
      <c r="B18" t="s">
        <v>83</v>
      </c>
    </row>
    <row r="19" spans="2:2" x14ac:dyDescent="0.2">
      <c r="B19" t="s">
        <v>84</v>
      </c>
    </row>
    <row r="20" spans="2:2" x14ac:dyDescent="0.2">
      <c r="B20" t="s">
        <v>85</v>
      </c>
    </row>
    <row r="21" spans="2:2" x14ac:dyDescent="0.2">
      <c r="B21" t="s">
        <v>86</v>
      </c>
    </row>
    <row r="22" spans="2:2" x14ac:dyDescent="0.2">
      <c r="B22" t="s">
        <v>87</v>
      </c>
    </row>
    <row r="23" spans="2:2" x14ac:dyDescent="0.2">
      <c r="B23" t="s">
        <v>88</v>
      </c>
    </row>
    <row r="24" spans="2:2" x14ac:dyDescent="0.2">
      <c r="B2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2949-B187-4CCE-8902-FF8193720176}">
  <dimension ref="A1:CW73"/>
  <sheetViews>
    <sheetView tabSelected="1" zoomScale="120" zoomScaleNormal="120"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AK35" sqref="AK35"/>
    </sheetView>
  </sheetViews>
  <sheetFormatPr defaultRowHeight="12.75" x14ac:dyDescent="0.2"/>
  <cols>
    <col min="1" max="1" width="5" bestFit="1" customWidth="1"/>
    <col min="2" max="2" width="16.85546875" bestFit="1" customWidth="1"/>
    <col min="3" max="10" width="9.140625" style="3"/>
    <col min="11" max="13" width="11.140625" style="3" bestFit="1" customWidth="1"/>
    <col min="14" max="14" width="12.28515625" style="3" bestFit="1" customWidth="1"/>
    <col min="15" max="15" width="11.140625" bestFit="1" customWidth="1"/>
    <col min="16" max="22" width="11.140625" customWidth="1"/>
    <col min="23" max="23" width="11.140625" style="25" customWidth="1"/>
    <col min="24" max="25" width="11.140625" customWidth="1"/>
    <col min="26" max="26" width="16.7109375" bestFit="1" customWidth="1"/>
    <col min="27" max="27" width="12.7109375" bestFit="1" customWidth="1"/>
    <col min="28" max="28" width="14.5703125" bestFit="1" customWidth="1"/>
    <col min="29" max="29" width="15" bestFit="1" customWidth="1"/>
    <col min="30" max="30" width="9.7109375" bestFit="1" customWidth="1"/>
    <col min="32" max="32" width="10.140625" bestFit="1" customWidth="1"/>
  </cols>
  <sheetData>
    <row r="1" spans="1:101" x14ac:dyDescent="0.2">
      <c r="A1" s="6" t="s">
        <v>7</v>
      </c>
      <c r="K1" s="11">
        <v>44651</v>
      </c>
      <c r="L1" s="11">
        <v>44742</v>
      </c>
      <c r="M1" s="11">
        <v>44834</v>
      </c>
      <c r="N1" s="11">
        <v>44926</v>
      </c>
      <c r="O1" s="21">
        <v>45016</v>
      </c>
      <c r="P1" s="21">
        <v>45107</v>
      </c>
      <c r="Q1" s="21">
        <v>45199</v>
      </c>
      <c r="R1" s="21">
        <v>45291</v>
      </c>
      <c r="S1" s="21">
        <v>45382</v>
      </c>
      <c r="T1" s="21">
        <v>45473</v>
      </c>
      <c r="U1" s="21">
        <v>45565</v>
      </c>
      <c r="V1" s="21">
        <v>45657</v>
      </c>
      <c r="W1" s="39">
        <v>45747</v>
      </c>
    </row>
    <row r="2" spans="1:10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6</v>
      </c>
      <c r="L2" s="3" t="s">
        <v>17</v>
      </c>
      <c r="M2" s="3" t="s">
        <v>18</v>
      </c>
      <c r="N2" s="3" t="s">
        <v>19</v>
      </c>
      <c r="O2" s="3" t="s">
        <v>93</v>
      </c>
      <c r="P2" s="3" t="s">
        <v>113</v>
      </c>
      <c r="Q2" s="3" t="s">
        <v>116</v>
      </c>
      <c r="R2" s="3" t="s">
        <v>117</v>
      </c>
      <c r="S2" s="3" t="s">
        <v>121</v>
      </c>
      <c r="T2" s="3" t="s">
        <v>123</v>
      </c>
      <c r="U2" s="3"/>
      <c r="V2" s="3"/>
      <c r="W2" s="26"/>
      <c r="X2" s="3"/>
      <c r="Y2" s="3"/>
      <c r="Z2" s="3" t="s">
        <v>118</v>
      </c>
      <c r="AA2" s="3" t="s">
        <v>104</v>
      </c>
      <c r="AB2" s="3" t="s">
        <v>103</v>
      </c>
      <c r="AC2" s="3" t="s">
        <v>100</v>
      </c>
      <c r="AD2" s="3" t="s">
        <v>101</v>
      </c>
      <c r="AE2" s="3" t="s">
        <v>102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</row>
    <row r="3" spans="1:101" s="2" customFormat="1" x14ac:dyDescent="0.2">
      <c r="B3" s="2" t="s">
        <v>68</v>
      </c>
      <c r="C3" s="5"/>
      <c r="D3" s="5"/>
      <c r="E3" s="5"/>
      <c r="F3" s="5"/>
      <c r="G3" s="5">
        <v>883</v>
      </c>
      <c r="H3" s="5">
        <v>888</v>
      </c>
      <c r="I3" s="5">
        <v>960</v>
      </c>
      <c r="J3" s="5">
        <f>3752-SUM(G3:I3)</f>
        <v>1021</v>
      </c>
      <c r="K3" s="5">
        <v>1116</v>
      </c>
      <c r="L3" s="2">
        <v>1139</v>
      </c>
      <c r="M3" s="5">
        <v>1209</v>
      </c>
      <c r="N3" s="5">
        <f>4723-SUM(K3:M3)</f>
        <v>1259</v>
      </c>
      <c r="O3" s="2">
        <v>1344</v>
      </c>
      <c r="W3" s="27"/>
      <c r="Z3" s="2" t="s">
        <v>115</v>
      </c>
      <c r="AA3" s="2">
        <v>3450</v>
      </c>
      <c r="AB3" s="2">
        <v>4519</v>
      </c>
      <c r="AC3" s="2">
        <v>5896</v>
      </c>
      <c r="AD3" s="2">
        <v>7245</v>
      </c>
      <c r="AE3" s="2">
        <v>8972</v>
      </c>
      <c r="AF3" s="2">
        <f t="shared" ref="AF3:AL3" si="0">AE3*(1+$AB$32)</f>
        <v>10676.68</v>
      </c>
      <c r="AG3" s="2">
        <f t="shared" si="0"/>
        <v>12705.2492</v>
      </c>
      <c r="AH3" s="22">
        <f t="shared" si="0"/>
        <v>15119.246547999999</v>
      </c>
      <c r="AI3" s="2">
        <f t="shared" si="0"/>
        <v>17991.903392119999</v>
      </c>
      <c r="AJ3" s="2">
        <f t="shared" si="0"/>
        <v>21410.365036622799</v>
      </c>
      <c r="AK3" s="2">
        <f t="shared" si="0"/>
        <v>25478.334393581132</v>
      </c>
      <c r="AL3" s="2">
        <f t="shared" si="0"/>
        <v>30319.217928361544</v>
      </c>
      <c r="AM3" s="2">
        <f t="shared" ref="AM3:BR3" si="1">AL3*(1+$AB$33)</f>
        <v>30622.410107645159</v>
      </c>
      <c r="AN3" s="2">
        <f t="shared" si="1"/>
        <v>30928.634208721611</v>
      </c>
      <c r="AO3" s="2">
        <f t="shared" si="1"/>
        <v>31237.920550808827</v>
      </c>
      <c r="AP3" s="2">
        <f t="shared" si="1"/>
        <v>31550.299756316916</v>
      </c>
      <c r="AQ3" s="2">
        <f t="shared" si="1"/>
        <v>31865.802753880085</v>
      </c>
      <c r="AR3" s="2">
        <f t="shared" si="1"/>
        <v>32184.460781418886</v>
      </c>
      <c r="AS3" s="2">
        <f t="shared" si="1"/>
        <v>32506.305389233075</v>
      </c>
      <c r="AT3" s="2">
        <f t="shared" si="1"/>
        <v>32831.368443125408</v>
      </c>
      <c r="AU3" s="2">
        <f t="shared" si="1"/>
        <v>33159.682127556662</v>
      </c>
      <c r="AV3" s="2">
        <f t="shared" si="1"/>
        <v>33491.278948832231</v>
      </c>
      <c r="AW3" s="2">
        <f t="shared" si="1"/>
        <v>33826.191738320551</v>
      </c>
      <c r="AX3" s="2">
        <f t="shared" si="1"/>
        <v>34164.453655703757</v>
      </c>
      <c r="AY3" s="2">
        <f t="shared" si="1"/>
        <v>34506.098192260797</v>
      </c>
      <c r="AZ3" s="2">
        <f t="shared" si="1"/>
        <v>34851.159174183405</v>
      </c>
      <c r="BA3" s="2">
        <f t="shared" si="1"/>
        <v>35199.670765925242</v>
      </c>
      <c r="BB3" s="2">
        <f t="shared" si="1"/>
        <v>35551.667473584494</v>
      </c>
      <c r="BC3" s="2">
        <f t="shared" si="1"/>
        <v>35907.184148320339</v>
      </c>
      <c r="BD3" s="2">
        <f t="shared" si="1"/>
        <v>36266.25598980354</v>
      </c>
      <c r="BE3" s="2">
        <f t="shared" si="1"/>
        <v>36628.918549701579</v>
      </c>
      <c r="BF3" s="2">
        <f t="shared" si="1"/>
        <v>36995.207735198594</v>
      </c>
      <c r="BG3" s="2">
        <f t="shared" si="1"/>
        <v>37365.159812550577</v>
      </c>
      <c r="BH3" s="2">
        <f t="shared" si="1"/>
        <v>37738.811410676084</v>
      </c>
      <c r="BI3" s="2">
        <f t="shared" si="1"/>
        <v>38116.199524782845</v>
      </c>
      <c r="BJ3" s="2">
        <f t="shared" si="1"/>
        <v>38497.361520030674</v>
      </c>
      <c r="BK3" s="2">
        <f t="shared" si="1"/>
        <v>38882.335135230984</v>
      </c>
      <c r="BL3" s="2">
        <f t="shared" si="1"/>
        <v>39271.158486583292</v>
      </c>
      <c r="BM3" s="2">
        <f t="shared" si="1"/>
        <v>39663.870071449128</v>
      </c>
      <c r="BN3" s="2">
        <f t="shared" si="1"/>
        <v>40060.508772163623</v>
      </c>
      <c r="BO3" s="2">
        <f t="shared" si="1"/>
        <v>40461.113859885256</v>
      </c>
      <c r="BP3" s="2">
        <f t="shared" si="1"/>
        <v>40865.724998484111</v>
      </c>
      <c r="BQ3" s="2">
        <f t="shared" si="1"/>
        <v>41274.382248468952</v>
      </c>
      <c r="BR3" s="2">
        <f t="shared" si="1"/>
        <v>41687.126070953644</v>
      </c>
      <c r="BS3" s="2">
        <f t="shared" ref="BS3:CW3" si="2">BR3*(1+$AB$33)</f>
        <v>42103.99733166318</v>
      </c>
      <c r="BT3" s="2">
        <f t="shared" si="2"/>
        <v>42525.037304979815</v>
      </c>
      <c r="BU3" s="2">
        <f t="shared" si="2"/>
        <v>42950.287678029614</v>
      </c>
      <c r="BV3" s="2">
        <f t="shared" si="2"/>
        <v>43379.790554809908</v>
      </c>
      <c r="BW3" s="2">
        <f t="shared" si="2"/>
        <v>43813.588460358005</v>
      </c>
      <c r="BX3" s="2">
        <f t="shared" si="2"/>
        <v>44251.724344961585</v>
      </c>
      <c r="BY3" s="2">
        <f t="shared" si="2"/>
        <v>44694.241588411205</v>
      </c>
      <c r="BZ3" s="2">
        <f t="shared" si="2"/>
        <v>45141.184004295319</v>
      </c>
      <c r="CA3" s="2">
        <f t="shared" si="2"/>
        <v>45592.59584433827</v>
      </c>
      <c r="CB3" s="2">
        <f t="shared" si="2"/>
        <v>46048.521802781652</v>
      </c>
      <c r="CC3" s="2">
        <f t="shared" si="2"/>
        <v>46509.007020809469</v>
      </c>
      <c r="CD3" s="2">
        <f t="shared" si="2"/>
        <v>46974.097091017567</v>
      </c>
      <c r="CE3" s="2">
        <f t="shared" si="2"/>
        <v>47443.838061927745</v>
      </c>
      <c r="CF3" s="2">
        <f t="shared" si="2"/>
        <v>47918.276442547023</v>
      </c>
      <c r="CG3" s="2">
        <f t="shared" si="2"/>
        <v>48397.459206972497</v>
      </c>
      <c r="CH3" s="2">
        <f t="shared" si="2"/>
        <v>48881.433799042221</v>
      </c>
      <c r="CI3" s="2">
        <f t="shared" si="2"/>
        <v>49370.248137032642</v>
      </c>
      <c r="CJ3" s="2">
        <f t="shared" si="2"/>
        <v>49863.950618402967</v>
      </c>
      <c r="CK3" s="2">
        <f t="shared" si="2"/>
        <v>50362.590124586997</v>
      </c>
      <c r="CL3" s="2">
        <f t="shared" si="2"/>
        <v>50866.216025832866</v>
      </c>
      <c r="CM3" s="2">
        <f t="shared" si="2"/>
        <v>51374.878186091199</v>
      </c>
      <c r="CN3" s="2">
        <f t="shared" si="2"/>
        <v>51888.626967952114</v>
      </c>
      <c r="CO3" s="2">
        <f t="shared" si="2"/>
        <v>52407.513237631632</v>
      </c>
      <c r="CP3" s="2">
        <f t="shared" si="2"/>
        <v>52931.58837000795</v>
      </c>
      <c r="CQ3" s="2">
        <f t="shared" si="2"/>
        <v>53460.904253708031</v>
      </c>
      <c r="CR3" s="2">
        <f t="shared" si="2"/>
        <v>53995.51329624511</v>
      </c>
      <c r="CS3" s="2">
        <f t="shared" si="2"/>
        <v>54535.468429207562</v>
      </c>
      <c r="CT3" s="2">
        <f t="shared" si="2"/>
        <v>55080.823113499639</v>
      </c>
      <c r="CU3" s="2">
        <f t="shared" si="2"/>
        <v>55631.631344634632</v>
      </c>
      <c r="CV3" s="2">
        <f t="shared" si="2"/>
        <v>56187.947658080979</v>
      </c>
      <c r="CW3" s="2">
        <f t="shared" si="2"/>
        <v>56749.827134661791</v>
      </c>
    </row>
    <row r="4" spans="1:101" s="2" customFormat="1" x14ac:dyDescent="0.2">
      <c r="B4" s="2" t="s">
        <v>69</v>
      </c>
      <c r="C4" s="5"/>
      <c r="D4" s="5"/>
      <c r="E4" s="5"/>
      <c r="F4" s="5"/>
      <c r="G4" s="5">
        <v>343</v>
      </c>
      <c r="H4" s="5">
        <v>378</v>
      </c>
      <c r="I4" s="5">
        <v>401</v>
      </c>
      <c r="J4" s="5">
        <f>1551-SUM(G4:I4)</f>
        <v>429</v>
      </c>
      <c r="K4" s="5">
        <v>434</v>
      </c>
      <c r="L4" s="5">
        <v>433</v>
      </c>
      <c r="M4" s="5">
        <v>432</v>
      </c>
      <c r="N4" s="5">
        <f>1778-SUM(K4:M4)</f>
        <v>479</v>
      </c>
      <c r="O4" s="2">
        <v>532</v>
      </c>
      <c r="W4" s="27"/>
      <c r="Z4" s="2" t="s">
        <v>114</v>
      </c>
      <c r="AA4" s="2">
        <v>3450</v>
      </c>
      <c r="AB4" s="2">
        <v>4519</v>
      </c>
      <c r="AC4" s="2">
        <v>5896</v>
      </c>
      <c r="AD4" s="2">
        <v>7245</v>
      </c>
      <c r="AE4" s="2">
        <v>8812</v>
      </c>
      <c r="AF4" s="2">
        <f>AE4*(1+0.22)</f>
        <v>10750.64</v>
      </c>
      <c r="AG4" s="2">
        <f>AF4*(1+0.22)</f>
        <v>13115.780799999999</v>
      </c>
      <c r="AH4" s="7">
        <f>AG4*(1+0.22)</f>
        <v>16001.252575999997</v>
      </c>
      <c r="AI4" s="2">
        <f>AH4*(1+0.15)</f>
        <v>18401.440462399994</v>
      </c>
      <c r="AJ4" s="2">
        <f>AI4*(1+0.15)</f>
        <v>21161.656531759993</v>
      </c>
      <c r="AK4" s="2">
        <f>AJ4*(1+0.15)</f>
        <v>24335.905011523988</v>
      </c>
      <c r="AL4" s="2">
        <f>AK4*(1+0.15)</f>
        <v>27986.290763252586</v>
      </c>
      <c r="AM4" s="2">
        <f t="shared" ref="AM4:BR4" si="3">AL4*(1+$AB$33)</f>
        <v>28266.153670885113</v>
      </c>
      <c r="AN4" s="2">
        <f t="shared" si="3"/>
        <v>28548.815207593965</v>
      </c>
      <c r="AO4" s="2">
        <f t="shared" si="3"/>
        <v>28834.303359669906</v>
      </c>
      <c r="AP4" s="2">
        <f t="shared" si="3"/>
        <v>29122.646393266605</v>
      </c>
      <c r="AQ4" s="2">
        <f t="shared" si="3"/>
        <v>29413.872857199272</v>
      </c>
      <c r="AR4" s="2">
        <f t="shared" si="3"/>
        <v>29708.011585771266</v>
      </c>
      <c r="AS4" s="2">
        <f t="shared" si="3"/>
        <v>30005.091701628979</v>
      </c>
      <c r="AT4" s="2">
        <f t="shared" si="3"/>
        <v>30305.14261864527</v>
      </c>
      <c r="AU4" s="2">
        <f t="shared" si="3"/>
        <v>30608.194044831722</v>
      </c>
      <c r="AV4" s="2">
        <f t="shared" si="3"/>
        <v>30914.275985280041</v>
      </c>
      <c r="AW4" s="2">
        <f t="shared" si="3"/>
        <v>31223.41874513284</v>
      </c>
      <c r="AX4" s="2">
        <f t="shared" si="3"/>
        <v>31535.652932584169</v>
      </c>
      <c r="AY4" s="2">
        <f t="shared" si="3"/>
        <v>31851.009461910013</v>
      </c>
      <c r="AZ4" s="2">
        <f t="shared" si="3"/>
        <v>32169.519556529114</v>
      </c>
      <c r="BA4" s="2">
        <f t="shared" si="3"/>
        <v>32491.214752094405</v>
      </c>
      <c r="BB4" s="2">
        <f t="shared" si="3"/>
        <v>32816.126899615352</v>
      </c>
      <c r="BC4" s="2">
        <f t="shared" si="3"/>
        <v>33144.288168611507</v>
      </c>
      <c r="BD4" s="2">
        <f t="shared" si="3"/>
        <v>33475.731050297625</v>
      </c>
      <c r="BE4" s="2">
        <f t="shared" si="3"/>
        <v>33810.488360800598</v>
      </c>
      <c r="BF4" s="2">
        <f t="shared" si="3"/>
        <v>34148.593244408607</v>
      </c>
      <c r="BG4" s="2">
        <f t="shared" si="3"/>
        <v>34490.079176852691</v>
      </c>
      <c r="BH4" s="2">
        <f t="shared" si="3"/>
        <v>34834.979968621221</v>
      </c>
      <c r="BI4" s="2">
        <f t="shared" si="3"/>
        <v>35183.329768307434</v>
      </c>
      <c r="BJ4" s="2">
        <f t="shared" si="3"/>
        <v>35535.163065990506</v>
      </c>
      <c r="BK4" s="2">
        <f t="shared" si="3"/>
        <v>35890.514696650411</v>
      </c>
      <c r="BL4" s="2">
        <f t="shared" si="3"/>
        <v>36249.419843616917</v>
      </c>
      <c r="BM4" s="2">
        <f t="shared" si="3"/>
        <v>36611.914042053089</v>
      </c>
      <c r="BN4" s="2">
        <f t="shared" si="3"/>
        <v>36978.03318247362</v>
      </c>
      <c r="BO4" s="2">
        <f t="shared" si="3"/>
        <v>37347.813514298359</v>
      </c>
      <c r="BP4" s="2">
        <f t="shared" si="3"/>
        <v>37721.291649441344</v>
      </c>
      <c r="BQ4" s="2">
        <f t="shared" si="3"/>
        <v>38098.504565935757</v>
      </c>
      <c r="BR4" s="2">
        <f t="shared" si="3"/>
        <v>38479.489611595112</v>
      </c>
      <c r="BS4" s="2">
        <f t="shared" ref="BS4:CW4" si="4">BR4*(1+$AB$33)</f>
        <v>38864.284507711061</v>
      </c>
      <c r="BT4" s="2">
        <f t="shared" si="4"/>
        <v>39252.927352788174</v>
      </c>
      <c r="BU4" s="2">
        <f t="shared" si="4"/>
        <v>39645.45662631606</v>
      </c>
      <c r="BV4" s="2">
        <f t="shared" si="4"/>
        <v>40041.911192579224</v>
      </c>
      <c r="BW4" s="2">
        <f t="shared" si="4"/>
        <v>40442.33030450502</v>
      </c>
      <c r="BX4" s="2">
        <f t="shared" si="4"/>
        <v>40846.753607550068</v>
      </c>
      <c r="BY4" s="2">
        <f t="shared" si="4"/>
        <v>41255.221143625567</v>
      </c>
      <c r="BZ4" s="2">
        <f t="shared" si="4"/>
        <v>41667.773355061821</v>
      </c>
      <c r="CA4" s="2">
        <f t="shared" si="4"/>
        <v>42084.451088612441</v>
      </c>
      <c r="CB4" s="2">
        <f t="shared" si="4"/>
        <v>42505.295599498568</v>
      </c>
      <c r="CC4" s="2">
        <f t="shared" si="4"/>
        <v>42930.348555493554</v>
      </c>
      <c r="CD4" s="2">
        <f t="shared" si="4"/>
        <v>43359.652041048488</v>
      </c>
      <c r="CE4" s="2">
        <f t="shared" si="4"/>
        <v>43793.248561458975</v>
      </c>
      <c r="CF4" s="2">
        <f t="shared" si="4"/>
        <v>44231.181047073565</v>
      </c>
      <c r="CG4" s="2">
        <f t="shared" si="4"/>
        <v>44673.492857544305</v>
      </c>
      <c r="CH4" s="2">
        <f t="shared" si="4"/>
        <v>45120.227786119751</v>
      </c>
      <c r="CI4" s="2">
        <f t="shared" si="4"/>
        <v>45571.430063980952</v>
      </c>
      <c r="CJ4" s="2">
        <f t="shared" si="4"/>
        <v>46027.144364620763</v>
      </c>
      <c r="CK4" s="2">
        <f t="shared" si="4"/>
        <v>46487.415808266967</v>
      </c>
      <c r="CL4" s="2">
        <f t="shared" si="4"/>
        <v>46952.289966349636</v>
      </c>
      <c r="CM4" s="2">
        <f t="shared" si="4"/>
        <v>47421.812866013133</v>
      </c>
      <c r="CN4" s="2">
        <f t="shared" si="4"/>
        <v>47896.030994673267</v>
      </c>
      <c r="CO4" s="2">
        <f t="shared" si="4"/>
        <v>48374.991304620002</v>
      </c>
      <c r="CP4" s="2">
        <f t="shared" si="4"/>
        <v>48858.741217666204</v>
      </c>
      <c r="CQ4" s="2">
        <f t="shared" si="4"/>
        <v>49347.328629842865</v>
      </c>
      <c r="CR4" s="2">
        <f t="shared" si="4"/>
        <v>49840.801916141296</v>
      </c>
      <c r="CS4" s="2">
        <f t="shared" si="4"/>
        <v>50339.209935302708</v>
      </c>
      <c r="CT4" s="2">
        <f t="shared" si="4"/>
        <v>50842.602034655734</v>
      </c>
      <c r="CU4" s="2">
        <f t="shared" si="4"/>
        <v>51351.028055002294</v>
      </c>
      <c r="CV4" s="2">
        <f t="shared" si="4"/>
        <v>51864.538335552315</v>
      </c>
      <c r="CW4" s="2">
        <f t="shared" si="4"/>
        <v>52383.183718907836</v>
      </c>
    </row>
    <row r="5" spans="1:101" s="2" customFormat="1" x14ac:dyDescent="0.2">
      <c r="B5" s="2" t="s">
        <v>70</v>
      </c>
      <c r="C5" s="5"/>
      <c r="D5" s="5"/>
      <c r="E5" s="5"/>
      <c r="F5" s="5"/>
      <c r="G5" s="5">
        <v>134</v>
      </c>
      <c r="H5" s="5">
        <v>143</v>
      </c>
      <c r="I5" s="5">
        <v>151</v>
      </c>
      <c r="J5" s="5">
        <f>593-SUM(G5:I5)</f>
        <v>165</v>
      </c>
      <c r="K5" s="5">
        <v>172</v>
      </c>
      <c r="L5" s="5">
        <v>180</v>
      </c>
      <c r="M5" s="5">
        <v>190</v>
      </c>
      <c r="N5" s="5">
        <f>744-SUM(K5:M5)</f>
        <v>202</v>
      </c>
      <c r="O5" s="2">
        <v>220</v>
      </c>
      <c r="W5" s="27"/>
      <c r="AI5" s="2" t="s">
        <v>122</v>
      </c>
    </row>
    <row r="6" spans="1:101" s="2" customFormat="1" x14ac:dyDescent="0.2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W6" s="27"/>
    </row>
    <row r="7" spans="1:101" s="2" customFormat="1" x14ac:dyDescent="0.2">
      <c r="B7" s="2" t="s">
        <v>92</v>
      </c>
      <c r="C7" s="5"/>
      <c r="D7" s="5"/>
      <c r="E7" s="5"/>
      <c r="F7" s="5"/>
      <c r="G7" s="5">
        <f>K7*1.3</f>
        <v>7397</v>
      </c>
      <c r="H7" s="5">
        <f>L7/1.21</f>
        <v>4752.0661157024797</v>
      </c>
      <c r="I7" s="5">
        <f>M7/1.17</f>
        <v>5066.666666666667</v>
      </c>
      <c r="J7" s="5">
        <f>N7/1.22</f>
        <v>5622.9508196721308</v>
      </c>
      <c r="K7" s="5">
        <v>5690</v>
      </c>
      <c r="L7" s="5">
        <f>L8*0.5</f>
        <v>5750</v>
      </c>
      <c r="M7" s="5">
        <f>M8*0.52</f>
        <v>5928</v>
      </c>
      <c r="N7" s="5">
        <f>0.49*N8</f>
        <v>6860</v>
      </c>
      <c r="O7" s="2">
        <f>0.5*O8</f>
        <v>7000</v>
      </c>
      <c r="P7" s="2">
        <v>7200</v>
      </c>
      <c r="R7" s="2">
        <f>1.24*O7</f>
        <v>8680</v>
      </c>
      <c r="S7" s="2">
        <v>8450</v>
      </c>
      <c r="V7" s="2">
        <v>10027</v>
      </c>
      <c r="W7" s="27">
        <f>V7*1.195</f>
        <v>11982.265000000001</v>
      </c>
    </row>
    <row r="8" spans="1:101" s="2" customFormat="1" x14ac:dyDescent="0.2">
      <c r="B8" s="2" t="s">
        <v>90</v>
      </c>
      <c r="C8" s="5"/>
      <c r="D8" s="5"/>
      <c r="E8" s="5"/>
      <c r="F8" s="5"/>
      <c r="G8" s="5">
        <f>K8*1.29</f>
        <v>14835</v>
      </c>
      <c r="H8" s="5">
        <f>L8/1.21</f>
        <v>9504.1322314049594</v>
      </c>
      <c r="I8" s="5">
        <f>M8/1.18</f>
        <v>9661.016949152543</v>
      </c>
      <c r="J8" s="5">
        <f>N8/1.22</f>
        <v>11475.409836065573</v>
      </c>
      <c r="K8" s="5">
        <v>11500</v>
      </c>
      <c r="L8" s="5">
        <v>11500</v>
      </c>
      <c r="M8" s="5">
        <v>11400</v>
      </c>
      <c r="N8" s="5">
        <v>14000</v>
      </c>
      <c r="O8" s="2">
        <v>14000</v>
      </c>
      <c r="P8" s="2">
        <v>14200</v>
      </c>
      <c r="S8" s="2">
        <v>17700</v>
      </c>
      <c r="V8" s="2">
        <v>22300</v>
      </c>
      <c r="W8" s="27"/>
    </row>
    <row r="9" spans="1:101" s="2" customFormat="1" x14ac:dyDescent="0.2">
      <c r="B9" s="2" t="s">
        <v>71</v>
      </c>
      <c r="C9" s="5"/>
      <c r="D9" s="5"/>
      <c r="E9" s="5"/>
      <c r="F9" s="5"/>
      <c r="G9" s="5">
        <v>1131</v>
      </c>
      <c r="H9" s="5">
        <v>1164</v>
      </c>
      <c r="I9" s="5">
        <v>1253</v>
      </c>
      <c r="J9" s="5">
        <f>4882-SUM(G9:I9)</f>
        <v>1334</v>
      </c>
      <c r="K9" s="5">
        <v>1440</v>
      </c>
      <c r="L9" s="5">
        <v>1463</v>
      </c>
      <c r="M9" s="5">
        <v>1534</v>
      </c>
      <c r="N9" s="5">
        <f>6077-SUM(K9:M9)</f>
        <v>1640</v>
      </c>
      <c r="O9" s="2">
        <v>1790</v>
      </c>
      <c r="W9" s="27"/>
    </row>
    <row r="10" spans="1:101" x14ac:dyDescent="0.2">
      <c r="B10" s="2" t="s">
        <v>72</v>
      </c>
      <c r="G10" s="3">
        <v>162</v>
      </c>
      <c r="H10" s="3">
        <v>166</v>
      </c>
      <c r="I10" s="3">
        <v>174</v>
      </c>
      <c r="J10" s="3">
        <f>691-SUM(G10:I10)</f>
        <v>189</v>
      </c>
      <c r="K10" s="3">
        <v>191</v>
      </c>
      <c r="L10" s="3">
        <v>195</v>
      </c>
      <c r="M10" s="3">
        <v>208</v>
      </c>
      <c r="N10" s="3">
        <f>814-SUM(K10:M10)</f>
        <v>220</v>
      </c>
      <c r="O10" s="3">
        <v>234</v>
      </c>
      <c r="P10" s="3"/>
      <c r="Q10" s="3"/>
      <c r="R10" s="3"/>
      <c r="S10" s="3"/>
      <c r="T10" s="3"/>
      <c r="U10" s="3"/>
      <c r="V10" s="3"/>
      <c r="W10" s="26"/>
      <c r="X10" s="3"/>
      <c r="Y10" s="3"/>
      <c r="Z10" s="13"/>
      <c r="AA10" s="13"/>
      <c r="AB10" s="13"/>
      <c r="AC10" s="13"/>
    </row>
    <row r="11" spans="1:101" s="2" customFormat="1" x14ac:dyDescent="0.2">
      <c r="B11" s="2" t="s">
        <v>20</v>
      </c>
      <c r="C11" s="5"/>
      <c r="D11" s="5"/>
      <c r="E11" s="5"/>
      <c r="F11" s="5"/>
      <c r="G11" s="5">
        <f>+G10+G9</f>
        <v>1293</v>
      </c>
      <c r="H11" s="5">
        <v>1330</v>
      </c>
      <c r="I11" s="5">
        <v>1427</v>
      </c>
      <c r="J11" s="5">
        <f>5573-SUM(G11:I11)</f>
        <v>1523</v>
      </c>
      <c r="K11" s="5">
        <f>+K10+K9</f>
        <v>1631</v>
      </c>
      <c r="L11" s="5">
        <v>1658</v>
      </c>
      <c r="M11" s="5">
        <v>1742</v>
      </c>
      <c r="N11" s="5">
        <f>6891-SUM(K11:M11)</f>
        <v>1860</v>
      </c>
      <c r="O11" s="2">
        <v>2024</v>
      </c>
      <c r="P11" s="2">
        <v>2075</v>
      </c>
      <c r="Q11" s="2">
        <v>2216</v>
      </c>
      <c r="R11" s="2">
        <v>2365</v>
      </c>
      <c r="S11" s="2">
        <v>2523</v>
      </c>
      <c r="T11" s="2">
        <v>2542</v>
      </c>
      <c r="U11" s="2">
        <v>2715</v>
      </c>
      <c r="V11" s="2">
        <f>10646-SUM(S11:U11)</f>
        <v>2866</v>
      </c>
      <c r="W11" s="27">
        <f>(3000+2995)/2</f>
        <v>2997.5</v>
      </c>
      <c r="AG11" s="2">
        <f>(12635+12675)/2</f>
        <v>12655</v>
      </c>
    </row>
    <row r="12" spans="1:101" s="2" customFormat="1" x14ac:dyDescent="0.2">
      <c r="B12" s="2" t="s">
        <v>120</v>
      </c>
      <c r="C12" s="5"/>
      <c r="D12" s="5"/>
      <c r="E12" s="5"/>
      <c r="F12" s="5"/>
      <c r="G12" s="23"/>
      <c r="H12" s="23"/>
      <c r="I12" s="23"/>
      <c r="J12" s="23"/>
      <c r="K12" s="23">
        <f t="shared" ref="K12:W12" si="5">(K11-J11)/J11</f>
        <v>7.091267235718976E-2</v>
      </c>
      <c r="L12" s="23">
        <f t="shared" si="5"/>
        <v>1.6554261189454321E-2</v>
      </c>
      <c r="M12" s="23">
        <f t="shared" si="5"/>
        <v>5.066344993968637E-2</v>
      </c>
      <c r="N12" s="23">
        <f t="shared" si="5"/>
        <v>6.7738231917336397E-2</v>
      </c>
      <c r="O12" s="23">
        <f t="shared" si="5"/>
        <v>8.8172043010752682E-2</v>
      </c>
      <c r="P12" s="23">
        <f t="shared" si="5"/>
        <v>2.5197628458498024E-2</v>
      </c>
      <c r="Q12" s="23">
        <f t="shared" si="5"/>
        <v>6.7951807228915667E-2</v>
      </c>
      <c r="R12" s="23">
        <f t="shared" si="5"/>
        <v>6.7238267148014438E-2</v>
      </c>
      <c r="S12" s="23">
        <f t="shared" si="5"/>
        <v>6.6807610993657507E-2</v>
      </c>
      <c r="T12" s="35">
        <f t="shared" si="5"/>
        <v>7.5307173999207295E-3</v>
      </c>
      <c r="U12" s="35">
        <f t="shared" si="5"/>
        <v>6.8056648308418566E-2</v>
      </c>
      <c r="V12" s="35">
        <f t="shared" si="5"/>
        <v>5.5616942909760589E-2</v>
      </c>
      <c r="W12" s="28">
        <f t="shared" si="5"/>
        <v>4.5882763433356594E-2</v>
      </c>
      <c r="X12" s="35"/>
      <c r="Y12" s="35"/>
      <c r="AA12" s="2">
        <f>8600-SUM(O15:P15)</f>
        <v>4353.394166019335</v>
      </c>
      <c r="AF12" s="13"/>
    </row>
    <row r="13" spans="1:101" s="2" customFormat="1" x14ac:dyDescent="0.2">
      <c r="B13" s="2" t="s">
        <v>119</v>
      </c>
      <c r="C13" s="5"/>
      <c r="D13" s="5"/>
      <c r="E13" s="5"/>
      <c r="F13" s="5"/>
      <c r="G13" s="23"/>
      <c r="H13" s="23"/>
      <c r="I13" s="23"/>
      <c r="J13" s="23"/>
      <c r="K13" s="24">
        <f t="shared" ref="K13:W13" si="6">(K11-G11)/G11</f>
        <v>0.26140757927300851</v>
      </c>
      <c r="L13" s="24">
        <f t="shared" si="6"/>
        <v>0.24661654135338346</v>
      </c>
      <c r="M13" s="24">
        <f t="shared" si="6"/>
        <v>0.22074281709880869</v>
      </c>
      <c r="N13" s="24">
        <f t="shared" si="6"/>
        <v>0.22127380170715694</v>
      </c>
      <c r="O13" s="24">
        <f t="shared" si="6"/>
        <v>0.24095646842427959</v>
      </c>
      <c r="P13" s="24">
        <f t="shared" si="6"/>
        <v>0.25150784077201449</v>
      </c>
      <c r="Q13" s="24">
        <f t="shared" si="6"/>
        <v>0.27210103329506313</v>
      </c>
      <c r="R13" s="24">
        <f t="shared" si="6"/>
        <v>0.271505376344086</v>
      </c>
      <c r="S13" s="24">
        <f t="shared" si="6"/>
        <v>0.24654150197628458</v>
      </c>
      <c r="T13" s="36">
        <f t="shared" si="6"/>
        <v>0.22506024096385543</v>
      </c>
      <c r="U13" s="36">
        <f t="shared" si="6"/>
        <v>0.22518050541516246</v>
      </c>
      <c r="V13" s="36">
        <f t="shared" si="6"/>
        <v>0.21183932346723044</v>
      </c>
      <c r="W13" s="29">
        <f t="shared" si="6"/>
        <v>0.18806975822433611</v>
      </c>
      <c r="X13" s="36"/>
      <c r="Y13" s="36"/>
      <c r="AF13" s="2">
        <f>AF11+R14*4</f>
        <v>288</v>
      </c>
      <c r="AG13" s="1">
        <v>0.97</v>
      </c>
    </row>
    <row r="14" spans="1:101" s="2" customFormat="1" x14ac:dyDescent="0.2">
      <c r="B14" s="2" t="s">
        <v>21</v>
      </c>
      <c r="C14" s="5"/>
      <c r="D14" s="5"/>
      <c r="E14" s="5"/>
      <c r="F14" s="5"/>
      <c r="G14" s="5">
        <v>67</v>
      </c>
      <c r="H14" s="5">
        <v>79</v>
      </c>
      <c r="I14" s="5">
        <v>85</v>
      </c>
      <c r="J14" s="5">
        <f>323-SUM(G14:I14)</f>
        <v>92</v>
      </c>
      <c r="K14" s="5">
        <v>91</v>
      </c>
      <c r="L14" s="5">
        <v>94</v>
      </c>
      <c r="M14" s="5">
        <v>89</v>
      </c>
      <c r="N14" s="5">
        <f>354-SUM(K14:M14)</f>
        <v>80</v>
      </c>
      <c r="O14" s="2">
        <v>72</v>
      </c>
      <c r="P14" s="2">
        <v>75</v>
      </c>
      <c r="Q14" s="2">
        <v>72</v>
      </c>
      <c r="R14" s="2">
        <v>72</v>
      </c>
      <c r="S14" s="2">
        <v>80</v>
      </c>
      <c r="T14" s="38">
        <v>85</v>
      </c>
      <c r="U14" s="38">
        <v>82</v>
      </c>
      <c r="V14" s="38">
        <f>338-SUM(S14:U14)</f>
        <v>91</v>
      </c>
      <c r="W14" s="30"/>
      <c r="X14" s="37"/>
      <c r="Y14" s="37"/>
      <c r="AH14" s="1"/>
    </row>
    <row r="15" spans="1:101" s="7" customFormat="1" x14ac:dyDescent="0.2">
      <c r="B15" s="7" t="s">
        <v>8</v>
      </c>
      <c r="C15" s="8"/>
      <c r="D15" s="8"/>
      <c r="E15" s="8"/>
      <c r="F15" s="8"/>
      <c r="G15" s="8">
        <f>+G11+G14</f>
        <v>1360</v>
      </c>
      <c r="H15" s="8">
        <v>1409</v>
      </c>
      <c r="I15" s="8">
        <f>SUM(I11:I14)</f>
        <v>1512</v>
      </c>
      <c r="J15" s="8">
        <f>SUM(J11:J14)</f>
        <v>1615</v>
      </c>
      <c r="K15" s="8">
        <f>+K11+K14</f>
        <v>1722</v>
      </c>
      <c r="L15" s="8">
        <f t="shared" ref="L15:V15" si="7">SUM(L11:L14)</f>
        <v>1752.2631708025428</v>
      </c>
      <c r="M15" s="8">
        <f t="shared" si="7"/>
        <v>1831.2714062670386</v>
      </c>
      <c r="N15" s="8">
        <f t="shared" si="7"/>
        <v>1940.2890120336244</v>
      </c>
      <c r="O15" s="8">
        <f t="shared" si="7"/>
        <v>2096.3291285114346</v>
      </c>
      <c r="P15" s="8">
        <f t="shared" si="7"/>
        <v>2150.2767054692304</v>
      </c>
      <c r="Q15" s="8">
        <f t="shared" si="7"/>
        <v>2288.3400528405241</v>
      </c>
      <c r="R15" s="8">
        <f t="shared" si="7"/>
        <v>2437.3387436434923</v>
      </c>
      <c r="S15" s="8">
        <f t="shared" si="7"/>
        <v>2603.3133491129702</v>
      </c>
      <c r="T15" s="8">
        <f t="shared" si="7"/>
        <v>2627.2325909583637</v>
      </c>
      <c r="U15" s="8">
        <f t="shared" si="7"/>
        <v>2797.2932371537236</v>
      </c>
      <c r="V15" s="8">
        <f t="shared" si="7"/>
        <v>2957.2674562663769</v>
      </c>
      <c r="W15" s="31">
        <f>W11/0.97</f>
        <v>3090.2061855670104</v>
      </c>
      <c r="X15" s="8"/>
      <c r="Y15" s="8"/>
      <c r="Z15" s="2" t="s">
        <v>124</v>
      </c>
      <c r="AA15" s="2">
        <v>3460.4369999999999</v>
      </c>
      <c r="AB15" s="2">
        <v>4519.4840000000004</v>
      </c>
      <c r="AC15" s="2">
        <f>SUM(G15:J15)</f>
        <v>5896</v>
      </c>
      <c r="AD15" s="2">
        <f>SUM(K15:N15)</f>
        <v>7245.8235891032054</v>
      </c>
      <c r="AE15" s="2">
        <f>SUM($O$15:$R$15)</f>
        <v>8972.284630464681</v>
      </c>
      <c r="AF15" s="2">
        <f>SUM(S15:V15)</f>
        <v>10985.106633491434</v>
      </c>
      <c r="AG15" s="2">
        <f>AF15*(1+$AB$32)</f>
        <v>13072.276893854805</v>
      </c>
      <c r="AH15" s="22">
        <f t="shared" ref="AH15" si="8">AG15*(1+$AB$32)</f>
        <v>15556.009503687217</v>
      </c>
      <c r="AI15" s="2">
        <f t="shared" ref="AI15" si="9">AH15*(1+$AB$32)</f>
        <v>18511.651309387787</v>
      </c>
      <c r="AJ15" s="2">
        <f t="shared" ref="AJ15" si="10">AI15*(1+$AB$32)</f>
        <v>22028.865058171465</v>
      </c>
      <c r="AK15" s="2">
        <f t="shared" ref="AK15" si="11">AJ15*(1+$AB$32)</f>
        <v>26214.349419224043</v>
      </c>
      <c r="AL15" s="2">
        <f t="shared" ref="AL15:AN15" si="12">AK15*(1+$AB$32)</f>
        <v>31195.075808876609</v>
      </c>
      <c r="AM15" s="2">
        <f t="shared" si="12"/>
        <v>37122.140212563165</v>
      </c>
      <c r="AN15" s="2">
        <f t="shared" si="12"/>
        <v>44175.346852950162</v>
      </c>
      <c r="AO15" s="7">
        <f t="shared" ref="AO15:BT15" si="13">AN15*(1+$AB$33)</f>
        <v>44617.100321479666</v>
      </c>
      <c r="AP15" s="7">
        <f t="shared" si="13"/>
        <v>45063.271324694462</v>
      </c>
      <c r="AQ15" s="7">
        <f t="shared" si="13"/>
        <v>45513.904037941407</v>
      </c>
      <c r="AR15" s="7">
        <f t="shared" si="13"/>
        <v>45969.043078320821</v>
      </c>
      <c r="AS15" s="7">
        <f t="shared" si="13"/>
        <v>46428.73350910403</v>
      </c>
      <c r="AT15" s="7">
        <f t="shared" si="13"/>
        <v>46893.020844195067</v>
      </c>
      <c r="AU15" s="7">
        <f t="shared" si="13"/>
        <v>47361.951052637021</v>
      </c>
      <c r="AV15" s="7">
        <f t="shared" si="13"/>
        <v>47835.57056316339</v>
      </c>
      <c r="AW15" s="7">
        <f t="shared" si="13"/>
        <v>48313.926268795025</v>
      </c>
      <c r="AX15" s="7">
        <f t="shared" si="13"/>
        <v>48797.065531482978</v>
      </c>
      <c r="AY15" s="7">
        <f t="shared" si="13"/>
        <v>49285.036186797806</v>
      </c>
      <c r="AZ15" s="7">
        <f t="shared" si="13"/>
        <v>49777.886548665781</v>
      </c>
      <c r="BA15" s="7">
        <f t="shared" si="13"/>
        <v>50275.665414152441</v>
      </c>
      <c r="BB15" s="7">
        <f t="shared" si="13"/>
        <v>50778.422068293963</v>
      </c>
      <c r="BC15" s="7">
        <f t="shared" si="13"/>
        <v>51286.2062889769</v>
      </c>
      <c r="BD15" s="7">
        <f t="shared" si="13"/>
        <v>51799.06835186667</v>
      </c>
      <c r="BE15" s="7">
        <f t="shared" si="13"/>
        <v>52317.05903538534</v>
      </c>
      <c r="BF15" s="7">
        <f t="shared" si="13"/>
        <v>52840.229625739194</v>
      </c>
      <c r="BG15" s="7">
        <f t="shared" si="13"/>
        <v>53368.631921996588</v>
      </c>
      <c r="BH15" s="7">
        <f t="shared" si="13"/>
        <v>53902.318241216555</v>
      </c>
      <c r="BI15" s="7">
        <f t="shared" si="13"/>
        <v>54441.341423628721</v>
      </c>
      <c r="BJ15" s="7">
        <f t="shared" si="13"/>
        <v>54985.75483786501</v>
      </c>
      <c r="BK15" s="7">
        <f t="shared" si="13"/>
        <v>55535.612386243658</v>
      </c>
      <c r="BL15" s="7">
        <f t="shared" si="13"/>
        <v>56090.968510106097</v>
      </c>
      <c r="BM15" s="7">
        <f t="shared" si="13"/>
        <v>56651.878195207159</v>
      </c>
      <c r="BN15" s="7">
        <f t="shared" si="13"/>
        <v>57218.396977159231</v>
      </c>
      <c r="BO15" s="7">
        <f t="shared" si="13"/>
        <v>57790.580946930822</v>
      </c>
      <c r="BP15" s="7">
        <f t="shared" si="13"/>
        <v>58368.486756400132</v>
      </c>
      <c r="BQ15" s="7">
        <f t="shared" si="13"/>
        <v>58952.171623964132</v>
      </c>
      <c r="BR15" s="7">
        <f t="shared" si="13"/>
        <v>59541.693340203776</v>
      </c>
      <c r="BS15" s="7">
        <f t="shared" si="13"/>
        <v>60137.110273605816</v>
      </c>
      <c r="BT15" s="7">
        <f t="shared" si="13"/>
        <v>60738.481376341879</v>
      </c>
      <c r="BU15" s="7">
        <f t="shared" ref="BU15:CU15" si="14">BT15*(1+$AB$33)</f>
        <v>61345.866190105298</v>
      </c>
      <c r="BV15" s="7">
        <f t="shared" si="14"/>
        <v>61959.32485200635</v>
      </c>
      <c r="BW15" s="7">
        <f t="shared" si="14"/>
        <v>62578.918100526411</v>
      </c>
      <c r="BX15" s="7">
        <f t="shared" si="14"/>
        <v>63204.707281531679</v>
      </c>
      <c r="BY15" s="7">
        <f t="shared" si="14"/>
        <v>63836.754354346995</v>
      </c>
      <c r="BZ15" s="7">
        <f t="shared" si="14"/>
        <v>64475.121897890465</v>
      </c>
      <c r="CA15" s="7">
        <f t="shared" si="14"/>
        <v>65119.87311686937</v>
      </c>
      <c r="CB15" s="7">
        <f t="shared" si="14"/>
        <v>65771.07184803806</v>
      </c>
      <c r="CC15" s="7">
        <f t="shared" si="14"/>
        <v>66428.782566518435</v>
      </c>
      <c r="CD15" s="7">
        <f t="shared" si="14"/>
        <v>67093.070392183625</v>
      </c>
      <c r="CE15" s="7">
        <f t="shared" si="14"/>
        <v>67764.001096105465</v>
      </c>
      <c r="CF15" s="7">
        <f t="shared" si="14"/>
        <v>68441.64110706652</v>
      </c>
      <c r="CG15" s="7">
        <f t="shared" si="14"/>
        <v>69126.057518137182</v>
      </c>
      <c r="CH15" s="7">
        <f t="shared" si="14"/>
        <v>69817.31809331855</v>
      </c>
      <c r="CI15" s="7">
        <f t="shared" si="14"/>
        <v>70515.491274251734</v>
      </c>
      <c r="CJ15" s="7">
        <f t="shared" si="14"/>
        <v>71220.646186994258</v>
      </c>
      <c r="CK15" s="7">
        <f t="shared" si="14"/>
        <v>71932.852648864195</v>
      </c>
      <c r="CL15" s="7">
        <f t="shared" si="14"/>
        <v>72652.181175352831</v>
      </c>
      <c r="CM15" s="7">
        <f t="shared" si="14"/>
        <v>73378.702987106357</v>
      </c>
      <c r="CN15" s="7">
        <f t="shared" si="14"/>
        <v>74112.490016977419</v>
      </c>
      <c r="CO15" s="7">
        <f t="shared" si="14"/>
        <v>74853.614917147192</v>
      </c>
      <c r="CP15" s="7">
        <f t="shared" si="14"/>
        <v>75602.151066318664</v>
      </c>
      <c r="CQ15" s="7">
        <f t="shared" si="14"/>
        <v>76358.172576981844</v>
      </c>
      <c r="CR15" s="7">
        <f t="shared" si="14"/>
        <v>77121.754302751666</v>
      </c>
      <c r="CS15" s="7">
        <f t="shared" si="14"/>
        <v>77892.97184577919</v>
      </c>
      <c r="CT15" s="7">
        <f t="shared" si="14"/>
        <v>78671.901564236978</v>
      </c>
      <c r="CU15" s="7">
        <f t="shared" si="14"/>
        <v>79458.620579879353</v>
      </c>
      <c r="CV15" s="7">
        <f t="shared" ref="CV15:CW15" si="15">CU15*(1+$AB$33)</f>
        <v>80253.20678567815</v>
      </c>
      <c r="CW15" s="7">
        <f t="shared" si="15"/>
        <v>81055.738853534931</v>
      </c>
    </row>
    <row r="16" spans="1:101" s="2" customFormat="1" x14ac:dyDescent="0.2">
      <c r="B16" s="2" t="s">
        <v>22</v>
      </c>
      <c r="C16" s="5"/>
      <c r="D16" s="5"/>
      <c r="E16" s="5"/>
      <c r="F16" s="5"/>
      <c r="G16" s="5">
        <v>299</v>
      </c>
      <c r="H16" s="5">
        <v>329</v>
      </c>
      <c r="I16" s="5">
        <v>350</v>
      </c>
      <c r="J16" s="5">
        <f>1353-SUM(G16:I16)</f>
        <v>375</v>
      </c>
      <c r="K16" s="5">
        <f>275+94</f>
        <v>369</v>
      </c>
      <c r="L16" s="5">
        <v>389</v>
      </c>
      <c r="M16" s="5">
        <v>400</v>
      </c>
      <c r="N16" s="5">
        <f>1573-SUM(K16:M16)</f>
        <v>415</v>
      </c>
      <c r="O16" s="2">
        <v>438</v>
      </c>
      <c r="P16" s="2">
        <f>P15-P17</f>
        <v>471.27670546923036</v>
      </c>
      <c r="Q16" s="2">
        <v>496</v>
      </c>
      <c r="R16" s="2">
        <f>1921-SUM(O16:Q16)</f>
        <v>515.72329453076964</v>
      </c>
      <c r="S16" s="2">
        <f>520</f>
        <v>520</v>
      </c>
      <c r="T16" s="2">
        <v>552</v>
      </c>
      <c r="U16" s="2">
        <v>584</v>
      </c>
      <c r="V16" s="2">
        <f>2287-SUM(S16:U16)</f>
        <v>631</v>
      </c>
      <c r="W16" s="27"/>
      <c r="Z16" s="2" t="s">
        <v>126</v>
      </c>
      <c r="AF16" s="2">
        <f>1.03*$AF$17</f>
        <v>10884.525</v>
      </c>
      <c r="AG16" s="13"/>
      <c r="AH16" s="13"/>
    </row>
    <row r="17" spans="2:42" s="2" customFormat="1" x14ac:dyDescent="0.2">
      <c r="B17" s="2" t="s">
        <v>23</v>
      </c>
      <c r="C17" s="5"/>
      <c r="D17" s="5"/>
      <c r="E17" s="5"/>
      <c r="F17" s="5"/>
      <c r="G17" s="5">
        <f>+G15-G16</f>
        <v>1061</v>
      </c>
      <c r="H17" s="5">
        <f>+H15-H16</f>
        <v>1080</v>
      </c>
      <c r="I17" s="5">
        <f>+I15-I16</f>
        <v>1162</v>
      </c>
      <c r="J17" s="5">
        <f>+J15-J16</f>
        <v>1240</v>
      </c>
      <c r="K17" s="5">
        <f>+K15-K16</f>
        <v>1353</v>
      </c>
      <c r="L17" s="5">
        <f>L15-L16</f>
        <v>1363.2631708025428</v>
      </c>
      <c r="M17" s="5">
        <f>M15-M16</f>
        <v>1431.2714062670386</v>
      </c>
      <c r="N17" s="5">
        <f>N15-N16</f>
        <v>1525.2890120336244</v>
      </c>
      <c r="O17" s="5">
        <f>O15-O16</f>
        <v>1658.3291285114346</v>
      </c>
      <c r="P17" s="5">
        <v>1679</v>
      </c>
      <c r="Q17" s="5">
        <f t="shared" ref="Q17:V17" si="16">Q15-Q16</f>
        <v>1792.3400528405241</v>
      </c>
      <c r="R17" s="5">
        <f t="shared" si="16"/>
        <v>1921.6154491127227</v>
      </c>
      <c r="S17" s="5">
        <f t="shared" si="16"/>
        <v>2083.3133491129702</v>
      </c>
      <c r="T17" s="5">
        <f t="shared" si="16"/>
        <v>2075.2325909583637</v>
      </c>
      <c r="U17" s="5">
        <f t="shared" si="16"/>
        <v>2213.2932371537236</v>
      </c>
      <c r="V17" s="5">
        <f t="shared" si="16"/>
        <v>2326.2674562663769</v>
      </c>
      <c r="W17" s="32"/>
      <c r="X17" s="5"/>
      <c r="Y17" s="5"/>
      <c r="Z17" s="2" t="s">
        <v>125</v>
      </c>
      <c r="AB17" s="13"/>
      <c r="AC17" s="13"/>
      <c r="AD17" s="13"/>
      <c r="AF17" s="2">
        <f>(10560+10575)/2</f>
        <v>10567.5</v>
      </c>
    </row>
    <row r="18" spans="2:42" s="2" customFormat="1" x14ac:dyDescent="0.2">
      <c r="B18" s="2" t="s">
        <v>24</v>
      </c>
      <c r="C18" s="5"/>
      <c r="D18" s="5"/>
      <c r="E18" s="5"/>
      <c r="F18" s="5"/>
      <c r="G18" s="5">
        <v>524</v>
      </c>
      <c r="H18" s="5">
        <v>557</v>
      </c>
      <c r="I18" s="5">
        <v>579</v>
      </c>
      <c r="J18" s="5">
        <f>2292-SUM(G18:I18)</f>
        <v>632</v>
      </c>
      <c r="K18" s="5">
        <v>673</v>
      </c>
      <c r="L18" s="5">
        <v>722</v>
      </c>
      <c r="M18" s="5">
        <v>697</v>
      </c>
      <c r="N18" s="5">
        <f>2814-SUM(K18:M18)</f>
        <v>722</v>
      </c>
      <c r="O18" s="2">
        <v>823</v>
      </c>
      <c r="P18" s="2">
        <v>832</v>
      </c>
      <c r="Q18" s="2">
        <v>799</v>
      </c>
      <c r="R18" s="2">
        <f>3301-SUM(O18:Q18)</f>
        <v>847</v>
      </c>
      <c r="S18" s="2">
        <v>923</v>
      </c>
      <c r="T18" s="2">
        <v>960</v>
      </c>
      <c r="U18" s="2">
        <v>944</v>
      </c>
      <c r="V18" s="2">
        <f>3854-SUM(S18:U18)</f>
        <v>1027</v>
      </c>
      <c r="W18" s="27"/>
    </row>
    <row r="19" spans="2:42" s="2" customFormat="1" x14ac:dyDescent="0.2">
      <c r="B19" s="2" t="s">
        <v>25</v>
      </c>
      <c r="C19" s="5"/>
      <c r="D19" s="5"/>
      <c r="E19" s="5"/>
      <c r="F19" s="5"/>
      <c r="G19" s="5">
        <v>314</v>
      </c>
      <c r="H19" s="5">
        <v>333</v>
      </c>
      <c r="I19" s="5">
        <v>358</v>
      </c>
      <c r="J19" s="5">
        <f>1397-SUM(G19:I19)</f>
        <v>392</v>
      </c>
      <c r="K19" s="5">
        <v>414</v>
      </c>
      <c r="L19" s="5">
        <v>444</v>
      </c>
      <c r="M19" s="5">
        <v>456</v>
      </c>
      <c r="N19" s="5">
        <f>1768-SUM(K19:M19)</f>
        <v>454</v>
      </c>
      <c r="O19" s="2">
        <v>492</v>
      </c>
      <c r="P19" s="2">
        <v>521</v>
      </c>
      <c r="Q19" s="2">
        <v>549</v>
      </c>
      <c r="R19" s="2">
        <f>2124-SUM(O19:Q19)</f>
        <v>562</v>
      </c>
      <c r="S19" s="2">
        <v>606</v>
      </c>
      <c r="T19" s="2">
        <v>643</v>
      </c>
      <c r="U19" s="2">
        <v>626</v>
      </c>
      <c r="V19" s="2">
        <f>2543-SUM(S19:U19)</f>
        <v>668</v>
      </c>
      <c r="W19" s="27"/>
    </row>
    <row r="20" spans="2:42" s="2" customFormat="1" x14ac:dyDescent="0.2">
      <c r="B20" s="2" t="s">
        <v>26</v>
      </c>
      <c r="C20" s="5"/>
      <c r="D20" s="5"/>
      <c r="E20" s="5"/>
      <c r="F20" s="5"/>
      <c r="G20" s="5">
        <v>126</v>
      </c>
      <c r="H20" s="5">
        <v>139</v>
      </c>
      <c r="I20" s="5">
        <v>151</v>
      </c>
      <c r="J20" s="5">
        <f>597-SUM(G20:I20)</f>
        <v>181</v>
      </c>
      <c r="K20" s="5">
        <v>179</v>
      </c>
      <c r="L20" s="5">
        <v>175</v>
      </c>
      <c r="M20" s="5">
        <v>187</v>
      </c>
      <c r="N20" s="5">
        <f>735-SUM(K20:M20)</f>
        <v>194</v>
      </c>
      <c r="O20" s="2">
        <v>199</v>
      </c>
      <c r="P20" s="2">
        <v>209</v>
      </c>
      <c r="Q20" s="2">
        <v>213</v>
      </c>
      <c r="R20" s="2">
        <f>863-SUM(O20:Q20)</f>
        <v>242</v>
      </c>
      <c r="S20" s="2">
        <v>222</v>
      </c>
      <c r="T20" s="2">
        <v>232</v>
      </c>
      <c r="U20" s="2">
        <v>225</v>
      </c>
      <c r="V20" s="2">
        <f>936-SUM(S20:U20)</f>
        <v>257</v>
      </c>
      <c r="W20" s="27"/>
    </row>
    <row r="21" spans="2:42" s="2" customFormat="1" x14ac:dyDescent="0.2">
      <c r="B21" s="2" t="s">
        <v>27</v>
      </c>
      <c r="C21" s="5"/>
      <c r="D21" s="5"/>
      <c r="E21" s="5"/>
      <c r="F21" s="5"/>
      <c r="G21" s="5">
        <f t="shared" ref="G21:U21" si="17">SUM(G18:G20)</f>
        <v>964</v>
      </c>
      <c r="H21" s="5">
        <f t="shared" si="17"/>
        <v>1029</v>
      </c>
      <c r="I21" s="5">
        <f t="shared" si="17"/>
        <v>1088</v>
      </c>
      <c r="J21" s="5">
        <f t="shared" si="17"/>
        <v>1205</v>
      </c>
      <c r="K21" s="5">
        <f t="shared" si="17"/>
        <v>1266</v>
      </c>
      <c r="L21" s="5">
        <f t="shared" si="17"/>
        <v>1341</v>
      </c>
      <c r="M21" s="5">
        <f t="shared" si="17"/>
        <v>1340</v>
      </c>
      <c r="N21" s="5">
        <f t="shared" si="17"/>
        <v>1370</v>
      </c>
      <c r="O21" s="5">
        <f t="shared" si="17"/>
        <v>1514</v>
      </c>
      <c r="P21" s="5">
        <f t="shared" si="17"/>
        <v>1562</v>
      </c>
      <c r="Q21" s="5">
        <f t="shared" si="17"/>
        <v>1561</v>
      </c>
      <c r="R21" s="5">
        <f t="shared" si="17"/>
        <v>1651</v>
      </c>
      <c r="S21" s="5">
        <f t="shared" si="17"/>
        <v>1751</v>
      </c>
      <c r="T21" s="5">
        <f t="shared" si="17"/>
        <v>1835</v>
      </c>
      <c r="U21" s="5">
        <f t="shared" si="17"/>
        <v>1795</v>
      </c>
      <c r="V21" s="5">
        <f>7333-SUM(S21:U21)</f>
        <v>1952</v>
      </c>
      <c r="W21" s="32"/>
      <c r="X21" s="5"/>
      <c r="Y21" s="5"/>
    </row>
    <row r="22" spans="2:42" s="2" customFormat="1" x14ac:dyDescent="0.2">
      <c r="B22" s="2" t="s">
        <v>28</v>
      </c>
      <c r="C22" s="5"/>
      <c r="D22" s="5"/>
      <c r="E22" s="5"/>
      <c r="F22" s="5"/>
      <c r="G22" s="5">
        <f t="shared" ref="G22:V22" si="18">G17-G21</f>
        <v>97</v>
      </c>
      <c r="H22" s="5">
        <f t="shared" si="18"/>
        <v>51</v>
      </c>
      <c r="I22" s="5">
        <f t="shared" si="18"/>
        <v>74</v>
      </c>
      <c r="J22" s="5">
        <f t="shared" si="18"/>
        <v>35</v>
      </c>
      <c r="K22" s="5">
        <f t="shared" si="18"/>
        <v>87</v>
      </c>
      <c r="L22" s="5">
        <f t="shared" si="18"/>
        <v>22.263170802542845</v>
      </c>
      <c r="M22" s="5">
        <f t="shared" si="18"/>
        <v>91.271406267038628</v>
      </c>
      <c r="N22" s="5">
        <f t="shared" si="18"/>
        <v>155.28901203362443</v>
      </c>
      <c r="O22" s="5">
        <f t="shared" si="18"/>
        <v>144.32912851143465</v>
      </c>
      <c r="P22" s="5">
        <f t="shared" si="18"/>
        <v>117</v>
      </c>
      <c r="Q22" s="5">
        <f t="shared" si="18"/>
        <v>231.34005284052409</v>
      </c>
      <c r="R22" s="5">
        <f t="shared" si="18"/>
        <v>270.61544911272267</v>
      </c>
      <c r="S22" s="5">
        <f t="shared" si="18"/>
        <v>332.31334911297017</v>
      </c>
      <c r="T22" s="5">
        <f t="shared" si="18"/>
        <v>240.23259095836374</v>
      </c>
      <c r="U22" s="5">
        <f t="shared" si="18"/>
        <v>418.29323715372357</v>
      </c>
      <c r="V22" s="5">
        <f t="shared" si="18"/>
        <v>374.26745626637694</v>
      </c>
      <c r="W22" s="32"/>
      <c r="X22" s="5"/>
      <c r="Y22" s="5"/>
    </row>
    <row r="23" spans="2:42" s="2" customFormat="1" x14ac:dyDescent="0.2">
      <c r="B23" s="2" t="s">
        <v>33</v>
      </c>
      <c r="C23" s="5"/>
      <c r="D23" s="5"/>
      <c r="E23" s="5"/>
      <c r="F23" s="5"/>
      <c r="G23" s="5">
        <f>-7+9</f>
        <v>2</v>
      </c>
      <c r="H23" s="5">
        <f>-7+6</f>
        <v>-1</v>
      </c>
      <c r="I23" s="5">
        <f>-7+1</f>
        <v>-6</v>
      </c>
      <c r="J23" s="5">
        <f>-28+20-SUM(G23:I23)</f>
        <v>-3</v>
      </c>
      <c r="K23" s="5">
        <f>6-8</f>
        <v>-2</v>
      </c>
      <c r="L23" s="5">
        <f>-6+13</f>
        <v>7</v>
      </c>
      <c r="M23" s="5">
        <f>-8+19</f>
        <v>11</v>
      </c>
      <c r="N23" s="5">
        <f>-27+71-SUM(K23:M23)</f>
        <v>28</v>
      </c>
      <c r="O23" s="2">
        <f>60-16</f>
        <v>44</v>
      </c>
      <c r="P23" s="2">
        <v>74</v>
      </c>
      <c r="Q23" s="2">
        <f>82-14</f>
        <v>68</v>
      </c>
      <c r="R23" s="2">
        <f>302+56-SUM(O23:Q23)</f>
        <v>172</v>
      </c>
      <c r="S23" s="2">
        <f>101-8</f>
        <v>93</v>
      </c>
      <c r="T23" s="2">
        <f>104-10</f>
        <v>94</v>
      </c>
      <c r="U23" s="2">
        <f>108-10</f>
        <v>98</v>
      </c>
      <c r="V23" s="2">
        <f>419-SUM(S23:U23)</f>
        <v>134</v>
      </c>
      <c r="W23" s="27"/>
    </row>
    <row r="24" spans="2:42" s="2" customFormat="1" x14ac:dyDescent="0.2">
      <c r="B24" s="2" t="s">
        <v>32</v>
      </c>
      <c r="C24" s="5"/>
      <c r="D24" s="5"/>
      <c r="E24" s="5"/>
      <c r="F24" s="5"/>
      <c r="G24" s="5">
        <f t="shared" ref="G24:V24" si="19">G22+G23</f>
        <v>99</v>
      </c>
      <c r="H24" s="5">
        <f t="shared" si="19"/>
        <v>50</v>
      </c>
      <c r="I24" s="5">
        <f t="shared" si="19"/>
        <v>68</v>
      </c>
      <c r="J24" s="5">
        <f t="shared" si="19"/>
        <v>32</v>
      </c>
      <c r="K24" s="5">
        <f t="shared" si="19"/>
        <v>85</v>
      </c>
      <c r="L24" s="5">
        <f t="shared" si="19"/>
        <v>29.263170802542845</v>
      </c>
      <c r="M24" s="5">
        <f t="shared" si="19"/>
        <v>102.27140626703863</v>
      </c>
      <c r="N24" s="5">
        <f t="shared" si="19"/>
        <v>183.28901203362443</v>
      </c>
      <c r="O24" s="5">
        <f t="shared" si="19"/>
        <v>188.32912851143465</v>
      </c>
      <c r="P24" s="5">
        <f t="shared" si="19"/>
        <v>191</v>
      </c>
      <c r="Q24" s="5">
        <f t="shared" si="19"/>
        <v>299.34005284052409</v>
      </c>
      <c r="R24" s="5">
        <f t="shared" si="19"/>
        <v>442.61544911272267</v>
      </c>
      <c r="S24" s="5">
        <f t="shared" si="19"/>
        <v>425.31334911297017</v>
      </c>
      <c r="T24" s="5">
        <f t="shared" si="19"/>
        <v>334.23259095836374</v>
      </c>
      <c r="U24" s="5">
        <f t="shared" si="19"/>
        <v>516.29323715372357</v>
      </c>
      <c r="V24" s="5">
        <f t="shared" si="19"/>
        <v>508.26745626637694</v>
      </c>
      <c r="W24" s="32"/>
      <c r="X24" s="5"/>
      <c r="Y24" s="5"/>
    </row>
    <row r="25" spans="2:42" s="2" customFormat="1" x14ac:dyDescent="0.2">
      <c r="B25" s="2" t="s">
        <v>31</v>
      </c>
      <c r="C25" s="5"/>
      <c r="D25" s="5"/>
      <c r="E25" s="5"/>
      <c r="F25" s="5"/>
      <c r="G25" s="5">
        <v>17</v>
      </c>
      <c r="H25" s="5">
        <v>-9</v>
      </c>
      <c r="I25" s="5">
        <v>5</v>
      </c>
      <c r="J25" s="5">
        <f>19-SUM(G25:I25)</f>
        <v>6</v>
      </c>
      <c r="K25" s="5">
        <v>10</v>
      </c>
      <c r="L25" s="5">
        <v>9</v>
      </c>
      <c r="M25" s="5">
        <v>22</v>
      </c>
      <c r="N25" s="5">
        <f>74-SUM(K25:M25)</f>
        <v>33</v>
      </c>
      <c r="O25" s="2">
        <v>38</v>
      </c>
      <c r="P25" s="2">
        <f>29</f>
        <v>29</v>
      </c>
      <c r="Q25" s="2">
        <v>57</v>
      </c>
      <c r="R25" s="2">
        <f>-723-SUM(O25:Q25)</f>
        <v>-847</v>
      </c>
      <c r="S25" s="2">
        <v>78</v>
      </c>
      <c r="T25" s="2">
        <f>72</f>
        <v>72</v>
      </c>
      <c r="U25" s="2">
        <f>84</f>
        <v>84</v>
      </c>
      <c r="V25" s="2">
        <f>313-SUM(S25:U25)</f>
        <v>79</v>
      </c>
      <c r="W25" s="27"/>
    </row>
    <row r="26" spans="2:42" s="2" customFormat="1" x14ac:dyDescent="0.2">
      <c r="B26" s="2" t="s">
        <v>30</v>
      </c>
      <c r="C26" s="5"/>
      <c r="D26" s="5"/>
      <c r="E26" s="5"/>
      <c r="F26" s="5"/>
      <c r="G26" s="5">
        <f t="shared" ref="G26:V26" si="20">+G24-G25</f>
        <v>82</v>
      </c>
      <c r="H26" s="5">
        <f t="shared" si="20"/>
        <v>59</v>
      </c>
      <c r="I26" s="5">
        <f t="shared" si="20"/>
        <v>63</v>
      </c>
      <c r="J26" s="5">
        <f t="shared" si="20"/>
        <v>26</v>
      </c>
      <c r="K26" s="5">
        <f t="shared" si="20"/>
        <v>75</v>
      </c>
      <c r="L26" s="5">
        <f t="shared" si="20"/>
        <v>20.263170802542845</v>
      </c>
      <c r="M26" s="5">
        <f t="shared" si="20"/>
        <v>80.271406267038628</v>
      </c>
      <c r="N26" s="5">
        <f t="shared" si="20"/>
        <v>150.28901203362443</v>
      </c>
      <c r="O26" s="5">
        <f t="shared" si="20"/>
        <v>150.32912851143465</v>
      </c>
      <c r="P26" s="5">
        <f t="shared" si="20"/>
        <v>162</v>
      </c>
      <c r="Q26" s="5">
        <f t="shared" si="20"/>
        <v>242.34005284052409</v>
      </c>
      <c r="R26" s="5">
        <f>(+R24-R25)-SUM(O26:Q26)</f>
        <v>734.94626776076393</v>
      </c>
      <c r="S26" s="5">
        <f t="shared" si="20"/>
        <v>347.31334911297017</v>
      </c>
      <c r="T26" s="5">
        <f t="shared" si="20"/>
        <v>262.23259095836374</v>
      </c>
      <c r="U26" s="5">
        <f t="shared" si="20"/>
        <v>432.29323715372357</v>
      </c>
      <c r="V26" s="5">
        <f t="shared" si="20"/>
        <v>429.26745626637694</v>
      </c>
      <c r="W26" s="32"/>
      <c r="X26" s="5"/>
      <c r="Y26" s="5"/>
    </row>
    <row r="27" spans="2:42" x14ac:dyDescent="0.2">
      <c r="B27" t="s">
        <v>29</v>
      </c>
      <c r="G27" s="4">
        <f t="shared" ref="G27:V27" si="21">G26/G28</f>
        <v>0.40540273300769275</v>
      </c>
      <c r="H27" s="4">
        <f t="shared" si="21"/>
        <v>0.29825847382655513</v>
      </c>
      <c r="I27" s="4">
        <f t="shared" si="21"/>
        <v>0.31015690000640006</v>
      </c>
      <c r="J27" s="4">
        <f t="shared" si="21"/>
        <v>0.12797353900978012</v>
      </c>
      <c r="K27" s="4">
        <f t="shared" si="21"/>
        <v>0.36982248520710059</v>
      </c>
      <c r="L27" s="4">
        <f t="shared" si="21"/>
        <v>9.9818575381984465E-2</v>
      </c>
      <c r="M27" s="4">
        <f t="shared" si="21"/>
        <v>0.39519008998103899</v>
      </c>
      <c r="N27" s="4">
        <f t="shared" si="21"/>
        <v>0.73839394715220696</v>
      </c>
      <c r="O27" s="4">
        <f t="shared" si="21"/>
        <v>0.7359586832242484</v>
      </c>
      <c r="P27" s="4">
        <f t="shared" si="21"/>
        <v>0.79024390243902443</v>
      </c>
      <c r="Q27" s="4">
        <f t="shared" si="21"/>
        <v>1.1748282786763629</v>
      </c>
      <c r="R27" s="4">
        <f t="shared" si="21"/>
        <v>3.5747978645016754</v>
      </c>
      <c r="S27" s="4">
        <f t="shared" si="21"/>
        <v>1.6723244036005362</v>
      </c>
      <c r="T27" s="4">
        <f t="shared" si="21"/>
        <v>1.2619530938953687</v>
      </c>
      <c r="U27" s="4">
        <f t="shared" si="21"/>
        <v>2.0728318939819497</v>
      </c>
      <c r="V27" s="4">
        <f t="shared" si="21"/>
        <v>2.0595973393837386</v>
      </c>
      <c r="W27" s="33"/>
      <c r="X27" s="4"/>
      <c r="Y27" s="4"/>
    </row>
    <row r="28" spans="2:42" s="2" customFormat="1" x14ac:dyDescent="0.2">
      <c r="B28" s="2" t="s">
        <v>1</v>
      </c>
      <c r="C28" s="5"/>
      <c r="D28" s="5"/>
      <c r="E28" s="5"/>
      <c r="F28" s="5"/>
      <c r="G28" s="5">
        <v>202.268</v>
      </c>
      <c r="H28" s="5">
        <v>197.815</v>
      </c>
      <c r="I28" s="5">
        <v>203.12299999999999</v>
      </c>
      <c r="J28" s="5">
        <v>203.167</v>
      </c>
      <c r="K28" s="5">
        <v>202.8</v>
      </c>
      <c r="L28" s="5">
        <v>203</v>
      </c>
      <c r="M28" s="5">
        <v>203.12100000000001</v>
      </c>
      <c r="N28" s="5">
        <v>203.535</v>
      </c>
      <c r="O28" s="2">
        <v>204.26300000000001</v>
      </c>
      <c r="P28" s="2">
        <v>205</v>
      </c>
      <c r="Q28" s="2">
        <v>206.27699999999999</v>
      </c>
      <c r="R28" s="2">
        <v>205.59100000000001</v>
      </c>
      <c r="S28" s="2">
        <v>207.68299999999999</v>
      </c>
      <c r="T28" s="2">
        <f>207.799</f>
        <v>207.79900000000001</v>
      </c>
      <c r="U28" s="2">
        <f>208.552</f>
        <v>208.55199999999999</v>
      </c>
      <c r="V28" s="2">
        <v>208.423</v>
      </c>
      <c r="W28" s="27"/>
    </row>
    <row r="30" spans="2:42" x14ac:dyDescent="0.2">
      <c r="B30" s="2" t="s">
        <v>48</v>
      </c>
      <c r="H30" s="9"/>
      <c r="I30" s="9"/>
      <c r="J30" s="9"/>
      <c r="K30" s="9">
        <f t="shared" ref="K30:R30" si="22">K15/G15-1</f>
        <v>0.26617647058823524</v>
      </c>
      <c r="L30" s="9">
        <f t="shared" si="22"/>
        <v>0.24362183875269183</v>
      </c>
      <c r="M30" s="9">
        <f t="shared" si="22"/>
        <v>0.21115833747820023</v>
      </c>
      <c r="N30" s="9">
        <f t="shared" si="22"/>
        <v>0.20141734491246099</v>
      </c>
      <c r="O30" s="9">
        <f t="shared" si="22"/>
        <v>0.21738044629003173</v>
      </c>
      <c r="P30" s="9">
        <f t="shared" si="22"/>
        <v>0.2271425555810751</v>
      </c>
      <c r="Q30" s="9">
        <f t="shared" si="22"/>
        <v>0.24959088260172124</v>
      </c>
      <c r="R30" s="9">
        <f t="shared" si="22"/>
        <v>0.2561730384118952</v>
      </c>
      <c r="S30" s="9">
        <f>S15/O15-1</f>
        <v>0.2418438086396939</v>
      </c>
      <c r="T30" s="9">
        <f>T15/P15-1</f>
        <v>0.22181139956359841</v>
      </c>
      <c r="U30" s="9">
        <f>U15/Q15-1</f>
        <v>0.22241151776434376</v>
      </c>
      <c r="V30" s="9">
        <f>V15/R15-1</f>
        <v>0.21331819960555065</v>
      </c>
      <c r="W30" s="34">
        <f>W15/S15-1</f>
        <v>0.18702813344384372</v>
      </c>
      <c r="X30" s="9"/>
      <c r="Y30" s="9"/>
      <c r="AB30" s="13">
        <f>(AB3-AA3)/AA3</f>
        <v>0.30985507246376809</v>
      </c>
      <c r="AC30" s="13">
        <f>(AC3-AB3)/AB3</f>
        <v>0.30471343217526003</v>
      </c>
      <c r="AD30" s="13">
        <f>(AD3-AC3)/AC3</f>
        <v>0.22879918588873813</v>
      </c>
      <c r="AE30" s="13">
        <f>(AE15-AD15)/AD15</f>
        <v>0.23826981434627428</v>
      </c>
      <c r="AF30" s="13">
        <f>(AF15-AE15)/AE15</f>
        <v>0.22433773402510834</v>
      </c>
      <c r="AG30" s="12">
        <f t="shared" ref="AG30:AL30" si="23">$AB$32</f>
        <v>0.19</v>
      </c>
      <c r="AH30" s="12">
        <f t="shared" si="23"/>
        <v>0.19</v>
      </c>
      <c r="AI30" s="12">
        <f t="shared" si="23"/>
        <v>0.19</v>
      </c>
      <c r="AJ30" s="12">
        <f t="shared" si="23"/>
        <v>0.19</v>
      </c>
      <c r="AK30" s="12">
        <f t="shared" si="23"/>
        <v>0.19</v>
      </c>
      <c r="AL30" s="12">
        <f t="shared" si="23"/>
        <v>0.19</v>
      </c>
      <c r="AM30" s="12">
        <v>0.01</v>
      </c>
      <c r="AN30" s="12">
        <v>0.01</v>
      </c>
      <c r="AO30" s="12">
        <v>0.01</v>
      </c>
      <c r="AP30" s="12">
        <v>0.01</v>
      </c>
    </row>
    <row r="32" spans="2:42" x14ac:dyDescent="0.2">
      <c r="O32" s="3"/>
      <c r="P32" s="3"/>
      <c r="Q32" s="3"/>
      <c r="R32" s="3"/>
      <c r="AA32" s="14" t="s">
        <v>94</v>
      </c>
      <c r="AB32" s="15">
        <v>0.19</v>
      </c>
    </row>
    <row r="33" spans="2:29" x14ac:dyDescent="0.2">
      <c r="B33" t="s">
        <v>3</v>
      </c>
      <c r="K33" s="5">
        <f>2252+1762+1484</f>
        <v>5498</v>
      </c>
      <c r="AA33" s="14" t="s">
        <v>95</v>
      </c>
      <c r="AB33" s="15">
        <v>0.01</v>
      </c>
    </row>
    <row r="34" spans="2:29" x14ac:dyDescent="0.2">
      <c r="B34" t="s">
        <v>34</v>
      </c>
      <c r="K34" s="5">
        <v>824</v>
      </c>
      <c r="AA34" s="14" t="s">
        <v>96</v>
      </c>
      <c r="AB34" s="41">
        <f>AB47</f>
        <v>9.9445000000000006E-2</v>
      </c>
    </row>
    <row r="35" spans="2:29" x14ac:dyDescent="0.2">
      <c r="B35" t="s">
        <v>35</v>
      </c>
      <c r="K35" s="5">
        <f>322+655</f>
        <v>977</v>
      </c>
      <c r="M35" s="5"/>
      <c r="AA35" s="14" t="s">
        <v>97</v>
      </c>
      <c r="AB35" s="16">
        <f>NPV($AB$34,AA3:CW3)</f>
        <v>185412.31807690172</v>
      </c>
      <c r="AC35" s="16">
        <f>NPV($AB$34,AA4:CX4)</f>
        <v>176502.29407706854</v>
      </c>
    </row>
    <row r="36" spans="2:29" x14ac:dyDescent="0.2">
      <c r="B36" t="s">
        <v>37</v>
      </c>
      <c r="K36" s="5">
        <v>282</v>
      </c>
      <c r="AA36" s="14" t="s">
        <v>1</v>
      </c>
      <c r="AB36" s="17">
        <f>Main!$L$3</f>
        <v>208.423</v>
      </c>
      <c r="AC36" s="17">
        <f>Main!$L$3</f>
        <v>208.423</v>
      </c>
    </row>
    <row r="37" spans="2:29" x14ac:dyDescent="0.2">
      <c r="B37" t="s">
        <v>38</v>
      </c>
      <c r="K37" s="5">
        <v>798</v>
      </c>
      <c r="AA37" s="14" t="s">
        <v>99</v>
      </c>
      <c r="AB37" s="19">
        <f>AB35/AB36</f>
        <v>889.59624454547588</v>
      </c>
      <c r="AC37" s="19">
        <f>AC35/AC36</f>
        <v>846.84652882392311</v>
      </c>
    </row>
    <row r="38" spans="2:29" x14ac:dyDescent="0.2">
      <c r="B38" t="s">
        <v>39</v>
      </c>
      <c r="K38" s="5">
        <v>583</v>
      </c>
      <c r="AA38" s="14" t="s">
        <v>98</v>
      </c>
      <c r="AB38" s="20">
        <f>(AB37-Main!$L$2)/Main!$L$2</f>
        <v>-0.11771787427676966</v>
      </c>
      <c r="AC38" s="20">
        <f>(AC37-Main!$L$2)/Main!$L$2</f>
        <v>-0.16011610863548867</v>
      </c>
    </row>
    <row r="39" spans="2:29" x14ac:dyDescent="0.2">
      <c r="B39" t="s">
        <v>40</v>
      </c>
      <c r="K39" s="5">
        <f>266+774</f>
        <v>1040</v>
      </c>
      <c r="AA39" s="14" t="s">
        <v>112</v>
      </c>
      <c r="AB39" s="18">
        <f>AB36*AB37</f>
        <v>185412.31807690172</v>
      </c>
      <c r="AC39" s="18">
        <f>AC36*AC37</f>
        <v>176502.29407706854</v>
      </c>
    </row>
    <row r="40" spans="2:29" x14ac:dyDescent="0.2">
      <c r="B40" t="s">
        <v>31</v>
      </c>
      <c r="K40" s="5">
        <v>686</v>
      </c>
    </row>
    <row r="41" spans="2:29" x14ac:dyDescent="0.2">
      <c r="B41" t="s">
        <v>41</v>
      </c>
      <c r="K41" s="5">
        <v>305</v>
      </c>
      <c r="AA41" s="1"/>
      <c r="AB41" s="13">
        <f>(AB37-679)/679</f>
        <v>0.31015647208464786</v>
      </c>
      <c r="AC41">
        <f>AA41*(1+AB41)</f>
        <v>0</v>
      </c>
    </row>
    <row r="42" spans="2:29" x14ac:dyDescent="0.2">
      <c r="B42" t="s">
        <v>36</v>
      </c>
      <c r="K42" s="5">
        <f>SUM(K33:K41)</f>
        <v>10993</v>
      </c>
      <c r="AC42" s="1">
        <f>AC41-AA41</f>
        <v>0</v>
      </c>
    </row>
    <row r="44" spans="2:29" x14ac:dyDescent="0.2">
      <c r="B44" t="s">
        <v>44</v>
      </c>
      <c r="K44" s="5">
        <v>166</v>
      </c>
      <c r="AA44" t="s">
        <v>127</v>
      </c>
      <c r="AB44" s="40">
        <v>4.4499999999999998E-2</v>
      </c>
    </row>
    <row r="45" spans="2:29" x14ac:dyDescent="0.2">
      <c r="B45" t="s">
        <v>45</v>
      </c>
      <c r="K45" s="5">
        <v>661</v>
      </c>
      <c r="AA45" t="s">
        <v>128</v>
      </c>
      <c r="AB45">
        <v>0.99</v>
      </c>
    </row>
    <row r="46" spans="2:29" x14ac:dyDescent="0.2">
      <c r="B46" t="s">
        <v>46</v>
      </c>
      <c r="K46" s="5">
        <f>3850+57</f>
        <v>3907</v>
      </c>
      <c r="AA46" t="s">
        <v>129</v>
      </c>
      <c r="AB46" s="12">
        <f>10%-AB44</f>
        <v>5.5500000000000008E-2</v>
      </c>
    </row>
    <row r="47" spans="2:29" x14ac:dyDescent="0.2">
      <c r="B47" t="s">
        <v>39</v>
      </c>
      <c r="K47" s="5">
        <f>87+548</f>
        <v>635</v>
      </c>
      <c r="AA47" s="42" t="s">
        <v>96</v>
      </c>
      <c r="AB47" s="43">
        <f>AB46*AB45+AB44</f>
        <v>9.9445000000000006E-2</v>
      </c>
    </row>
    <row r="48" spans="2:29" x14ac:dyDescent="0.2">
      <c r="B48" t="s">
        <v>4</v>
      </c>
      <c r="K48" s="5">
        <f>88+1484</f>
        <v>1572</v>
      </c>
    </row>
    <row r="49" spans="2:27" x14ac:dyDescent="0.2">
      <c r="B49" t="s">
        <v>47</v>
      </c>
      <c r="K49" s="5">
        <v>55</v>
      </c>
      <c r="AA49" t="s">
        <v>130</v>
      </c>
    </row>
    <row r="50" spans="2:27" x14ac:dyDescent="0.2">
      <c r="B50" t="s">
        <v>43</v>
      </c>
      <c r="K50" s="5">
        <v>3997</v>
      </c>
    </row>
    <row r="51" spans="2:27" x14ac:dyDescent="0.2">
      <c r="B51" t="s">
        <v>42</v>
      </c>
      <c r="K51" s="5">
        <f>SUM(K44:K50)</f>
        <v>10993</v>
      </c>
    </row>
    <row r="54" spans="2:27" x14ac:dyDescent="0.2">
      <c r="B54" t="s">
        <v>49</v>
      </c>
      <c r="K54" s="5">
        <f>+Model!K26</f>
        <v>75</v>
      </c>
    </row>
    <row r="55" spans="2:27" x14ac:dyDescent="0.2">
      <c r="B55" t="s">
        <v>50</v>
      </c>
      <c r="K55" s="3">
        <v>75</v>
      </c>
    </row>
    <row r="56" spans="2:27" x14ac:dyDescent="0.2">
      <c r="B56" t="s">
        <v>51</v>
      </c>
      <c r="K56" s="3">
        <v>101</v>
      </c>
    </row>
    <row r="57" spans="2:27" x14ac:dyDescent="0.2">
      <c r="B57" t="s">
        <v>52</v>
      </c>
      <c r="K57" s="3">
        <v>83</v>
      </c>
    </row>
    <row r="58" spans="2:27" x14ac:dyDescent="0.2">
      <c r="B58" t="s">
        <v>53</v>
      </c>
      <c r="K58" s="3">
        <v>325</v>
      </c>
    </row>
    <row r="59" spans="2:27" x14ac:dyDescent="0.2">
      <c r="B59" t="s">
        <v>31</v>
      </c>
      <c r="K59" s="3">
        <v>-2</v>
      </c>
    </row>
    <row r="60" spans="2:27" x14ac:dyDescent="0.2">
      <c r="B60" t="s">
        <v>41</v>
      </c>
      <c r="K60" s="3">
        <v>15</v>
      </c>
    </row>
    <row r="61" spans="2:27" x14ac:dyDescent="0.2">
      <c r="B61" t="s">
        <v>54</v>
      </c>
      <c r="K61" s="3">
        <f>562-137-46+69+21-203</f>
        <v>266</v>
      </c>
    </row>
    <row r="62" spans="2:27" x14ac:dyDescent="0.2">
      <c r="B62" t="s">
        <v>55</v>
      </c>
      <c r="K62" s="5">
        <f>SUM(K55:K61)</f>
        <v>863</v>
      </c>
    </row>
    <row r="64" spans="2:27" x14ac:dyDescent="0.2">
      <c r="B64" t="s">
        <v>56</v>
      </c>
      <c r="K64" s="3">
        <v>-93</v>
      </c>
    </row>
    <row r="65" spans="2:11" x14ac:dyDescent="0.2">
      <c r="B65" t="s">
        <v>57</v>
      </c>
      <c r="K65" s="3">
        <f>-662-101+577-1</f>
        <v>-187</v>
      </c>
    </row>
    <row r="66" spans="2:11" x14ac:dyDescent="0.2">
      <c r="B66" t="s">
        <v>58</v>
      </c>
      <c r="K66" s="3">
        <f>SUM(K64:K65)</f>
        <v>-280</v>
      </c>
    </row>
    <row r="68" spans="2:11" x14ac:dyDescent="0.2">
      <c r="B68" t="s">
        <v>59</v>
      </c>
      <c r="K68" s="3">
        <v>-6</v>
      </c>
    </row>
    <row r="69" spans="2:11" x14ac:dyDescent="0.2">
      <c r="B69" t="s">
        <v>60</v>
      </c>
      <c r="K69" s="3">
        <v>105</v>
      </c>
    </row>
    <row r="70" spans="2:11" x14ac:dyDescent="0.2">
      <c r="B70" t="s">
        <v>31</v>
      </c>
      <c r="K70" s="3">
        <v>-150</v>
      </c>
    </row>
    <row r="71" spans="2:11" x14ac:dyDescent="0.2">
      <c r="B71" t="s">
        <v>61</v>
      </c>
      <c r="K71" s="3">
        <f>SUM(K68:K70)</f>
        <v>-51</v>
      </c>
    </row>
    <row r="72" spans="2:11" x14ac:dyDescent="0.2">
      <c r="B72" t="s">
        <v>62</v>
      </c>
      <c r="K72" s="3">
        <v>-5</v>
      </c>
    </row>
    <row r="73" spans="2:11" x14ac:dyDescent="0.2">
      <c r="B73" t="s">
        <v>63</v>
      </c>
      <c r="K73" s="5">
        <f>+K71+K72+K66+K62</f>
        <v>527</v>
      </c>
    </row>
  </sheetData>
  <phoneticPr fontId="5" type="noConversion"/>
  <hyperlinks>
    <hyperlink ref="A1" location="Main!A1" display="Main" xr:uid="{A9151361-E246-479F-86B4-617E3B597693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Jefferson Hwang</cp:lastModifiedBy>
  <dcterms:created xsi:type="dcterms:W3CDTF">2022-07-26T02:29:14Z</dcterms:created>
  <dcterms:modified xsi:type="dcterms:W3CDTF">2025-02-10T00:31:17Z</dcterms:modified>
</cp:coreProperties>
</file>