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A918F8EB-3C1B-4C1D-BA53-DE5B2A22B3A0}" xr6:coauthVersionLast="47" xr6:coauthVersionMax="47" xr10:uidLastSave="{00000000-0000-0000-0000-000000000000}"/>
  <bookViews>
    <workbookView xWindow="15585" yWindow="0" windowWidth="28815" windowHeight="21705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W28" i="2"/>
  <c r="X28" i="2"/>
  <c r="V28" i="2"/>
  <c r="U28" i="2"/>
  <c r="U3" i="2"/>
  <c r="V3" i="2" s="1"/>
  <c r="W3" i="2" s="1"/>
  <c r="X3" i="2" s="1"/>
  <c r="Y3" i="2" s="1"/>
  <c r="T28" i="2"/>
  <c r="S28" i="2"/>
  <c r="R28" i="2"/>
  <c r="R34" i="2"/>
  <c r="M28" i="2"/>
  <c r="L28" i="2"/>
  <c r="N5" i="2"/>
  <c r="J5" i="2"/>
  <c r="N4" i="2"/>
  <c r="J4" i="2"/>
  <c r="J3" i="2"/>
  <c r="N3" i="2"/>
  <c r="N10" i="2"/>
  <c r="J10" i="2"/>
  <c r="N9" i="2"/>
  <c r="J9" i="2"/>
  <c r="N7" i="2"/>
  <c r="J7" i="2" s="1"/>
  <c r="J8" i="2"/>
  <c r="J23" i="2"/>
  <c r="J21" i="2"/>
  <c r="J19" i="2"/>
  <c r="J18" i="2"/>
  <c r="J17" i="2"/>
  <c r="J16" i="2"/>
  <c r="J14" i="2"/>
  <c r="J12" i="2"/>
  <c r="N23" i="2"/>
  <c r="N21" i="2"/>
  <c r="N19" i="2"/>
  <c r="N18" i="2"/>
  <c r="N17" i="2"/>
  <c r="N16" i="2"/>
  <c r="N14" i="2"/>
  <c r="N12" i="2"/>
  <c r="I8" i="2"/>
  <c r="M7" i="2"/>
  <c r="I7" i="2" s="1"/>
  <c r="M21" i="2"/>
  <c r="I21" i="2"/>
  <c r="M19" i="2"/>
  <c r="I19" i="2"/>
  <c r="M15" i="2"/>
  <c r="M20" i="2" s="1"/>
  <c r="M22" i="2" s="1"/>
  <c r="M24" i="2" s="1"/>
  <c r="M25" i="2" s="1"/>
  <c r="I15" i="2"/>
  <c r="I20" i="2" s="1"/>
  <c r="I22" i="2" s="1"/>
  <c r="I24" i="2" s="1"/>
  <c r="I25" i="2" s="1"/>
  <c r="I13" i="2"/>
  <c r="M13" i="2"/>
  <c r="G8" i="2"/>
  <c r="G7" i="2"/>
  <c r="H8" i="2"/>
  <c r="H21" i="2"/>
  <c r="L21" i="2"/>
  <c r="H19" i="2"/>
  <c r="H15" i="2"/>
  <c r="H20" i="2" s="1"/>
  <c r="H22" i="2" s="1"/>
  <c r="H24" i="2" s="1"/>
  <c r="H25" i="2" s="1"/>
  <c r="L7" i="2"/>
  <c r="H7" i="2" s="1"/>
  <c r="L19" i="2"/>
  <c r="L15" i="2"/>
  <c r="L20" i="2" s="1"/>
  <c r="L13" i="2"/>
  <c r="Z3" i="2" l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L22" i="2"/>
  <c r="L24" i="2" l="1"/>
  <c r="L25" i="2" s="1"/>
  <c r="R33" i="2"/>
  <c r="R35" i="2" s="1"/>
  <c r="R36" i="2" l="1"/>
  <c r="R37" i="2"/>
  <c r="K11" i="2" l="1"/>
  <c r="G11" i="2"/>
  <c r="K69" i="2"/>
  <c r="K63" i="2"/>
  <c r="K64" i="2" s="1"/>
  <c r="K59" i="2"/>
  <c r="K60" i="2" s="1"/>
  <c r="K46" i="2"/>
  <c r="K45" i="2"/>
  <c r="K44" i="2"/>
  <c r="K37" i="2"/>
  <c r="K31" i="2"/>
  <c r="K33" i="2"/>
  <c r="G21" i="2"/>
  <c r="G19" i="2"/>
  <c r="K21" i="2"/>
  <c r="K19" i="2"/>
  <c r="K14" i="2"/>
  <c r="L4" i="1"/>
  <c r="K13" i="2" l="1"/>
  <c r="K15" i="2" s="1"/>
  <c r="K20" i="2" s="1"/>
  <c r="K22" i="2" s="1"/>
  <c r="K24" i="2" s="1"/>
  <c r="K25" i="2" s="1"/>
  <c r="N11" i="2"/>
  <c r="N13" i="2" s="1"/>
  <c r="G13" i="2"/>
  <c r="G15" i="2" s="1"/>
  <c r="J11" i="2"/>
  <c r="J13" i="2" s="1"/>
  <c r="J15" i="2" s="1"/>
  <c r="J20" i="2" s="1"/>
  <c r="J22" i="2" s="1"/>
  <c r="J24" i="2" s="1"/>
  <c r="J25" i="2" s="1"/>
  <c r="K71" i="2"/>
  <c r="K40" i="2"/>
  <c r="K49" i="2"/>
  <c r="G20" i="2"/>
  <c r="G22" i="2" s="1"/>
  <c r="G24" i="2" s="1"/>
  <c r="G25" i="2" s="1"/>
  <c r="K28" i="2" l="1"/>
  <c r="N15" i="2"/>
  <c r="N20" i="2" s="1"/>
  <c r="N22" i="2" s="1"/>
  <c r="N24" i="2" s="1"/>
  <c r="N25" i="2" s="1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N28" i="2"/>
  <c r="K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<sst xmlns="http://schemas.openxmlformats.org/spreadsheetml/2006/main" count="125" uniqueCount="113">
  <si>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</si>
  <si>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</si>
  <si>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</si>
  <si>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</si>
  <si>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</si>
  <si>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</si>
  <si>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</si>
  <si>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</si>
  <si>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</si>
  <si>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</si>
  <si>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</si>
  <si>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</si>
  <si>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</si>
  <si>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</si>
  <si>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</si>
  <si>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</si>
  <si>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</si>
  <si>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</si>
  <si>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</si>
  <si>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</si>
  <si>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</si>
  <si>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</si>
  <si>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</si>
  <si>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</si>
  <si>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</si>
  <si>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</si>
  <si>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</si>
  <si>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</si>
  <si>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</si>
  <si>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</si>
  <si>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</si>
  <si>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</si>
  <si>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</si>
  <si>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</si>
  <si>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</si>
  <si>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</si>
  <si>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</si>
  <si>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</si>
  <si>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</si>
  <si>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</si>
  <si>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</si>
  <si>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</si>
  <si>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</si>
  <si>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</si>
  <si>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</si>
  <si>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</si>
  <si>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</si>
  <si>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</si>
  <si>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</si>
  <si>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</si>
  <si>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</si>
  <si>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</si>
  <si>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</si>
  <si>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</si>
  <si>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</si>
  <si>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</si>
  <si>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</si>
  <si>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</si>
  <si>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</si>
  <si>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</si>
  <si>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</si>
  <si>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</si>
  <si>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</si>
  <si>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</si>
  <si>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</si>
  <si>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</si>
  <si>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</si>
  <si>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</si>
  <si>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</si>
  <si>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</si>
  <si>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</si>
  <si>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</si>
  <si>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</si>
  <si>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</si>
  <si>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</si>
  <si>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</si>
  <si>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</si>
  <si>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</si>
  <si>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</si>
  <si>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</si>
  <si>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</si>
  <si>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</si>
  <si>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</si>
  <si>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</si>
  <si>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</si>
  <si>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</si>
  <si>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</si>
  <si>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</si>
  <si>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</si>
  <si>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</si>
  <si>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</si>
  <si>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</si>
  <si>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</si>
  <si>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</si>
  <si>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Growth Rate</t>
  </si>
  <si>
    <t>Terminal Rate</t>
  </si>
  <si>
    <t>Discount Rate</t>
  </si>
  <si>
    <t>NPV</t>
  </si>
  <si>
    <t>Delta</t>
  </si>
  <si>
    <t>Share Price</t>
  </si>
  <si>
    <t>FY21</t>
  </si>
  <si>
    <t>FY22</t>
  </si>
  <si>
    <t>FY23</t>
  </si>
  <si>
    <t>FY20</t>
  </si>
  <si>
    <t>FY19</t>
  </si>
  <si>
    <t>FY24</t>
  </si>
  <si>
    <t>FY25</t>
  </si>
  <si>
    <t>FY26</t>
  </si>
  <si>
    <t>FY27</t>
  </si>
  <si>
    <t>FY28</t>
  </si>
  <si>
    <t>FY29</t>
  </si>
  <si>
    <t>FY30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</si>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</sst>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9" fontId="0" fillId="0" borderId="0" xfId="4" applyFont="1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8" fontId="0" fillId="0" borderId="1" xfId="2" applyNumberFormat="1" applyFont="1" applyBorder="1"/>
    <xf numFmtId="172" fontId="0" fillId="0" borderId="1" xfId="3" applyNumberFormat="1" applyFont="1" applyBorder="1"/>
    <xf numFmtId="44" fontId="0" fillId="0" borderId="1" xfId="3" applyFont="1" applyBorder="1"/>
    <xf numFmtId="9" fontId="0" fillId="0" borderId="1" xfId="4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76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43725" y="190500"/>
          <a:ext cx="0" cy="1225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workbookViewId="0">
      <selection activeCell="I37" sqref="I37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440</v>
      </c>
    </row>
    <row r="3" spans="2:13" x14ac:dyDescent="0.2">
      <c r="B3" t="s">
        <v>65</v>
      </c>
      <c r="K3" t="s">
        <v>1</v>
      </c>
      <c r="L3" s="2">
        <v>202.8</v>
      </c>
      <c r="M3" s="3" t="s">
        <v>19</v>
      </c>
    </row>
    <row r="4" spans="2:13" x14ac:dyDescent="0.2">
      <c r="B4" t="s">
        <v>66</v>
      </c>
      <c r="K4" t="s">
        <v>2</v>
      </c>
      <c r="L4" s="2">
        <f>+L2*L3</f>
        <v>89232</v>
      </c>
    </row>
    <row r="5" spans="2:13" x14ac:dyDescent="0.2">
      <c r="B5" t="s">
        <v>67</v>
      </c>
      <c r="K5" t="s">
        <v>3</v>
      </c>
      <c r="L5" s="2">
        <v>6654</v>
      </c>
      <c r="M5" s="3" t="s">
        <v>19</v>
      </c>
    </row>
    <row r="6" spans="2:13" x14ac:dyDescent="0.2">
      <c r="K6" t="s">
        <v>4</v>
      </c>
      <c r="L6" s="2">
        <v>6005</v>
      </c>
      <c r="M6" s="3" t="s">
        <v>19</v>
      </c>
    </row>
    <row r="7" spans="2:13" x14ac:dyDescent="0.2">
      <c r="K7" t="s">
        <v>5</v>
      </c>
      <c r="L7" s="2">
        <f>+L4-L5+L6</f>
        <v>88583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CM71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S30" sqref="S30"/>
    </sheetView>
  </sheetViews>
  <sheetFormatPr defaultRowHeight="12.75" x14ac:dyDescent="0.2"/>
  <cols>
    <col min="1" max="1" width="5" bestFit="1" customWidth="1"/>
    <col min="2" max="2" width="16.85546875" bestFit="1" customWidth="1"/>
    <col min="3" max="12" width="9.140625" style="3"/>
    <col min="13" max="14" width="10.140625" style="3" bestFit="1" customWidth="1"/>
    <col min="17" max="17" width="12.7109375" bestFit="1" customWidth="1"/>
    <col min="18" max="18" width="13.7109375" customWidth="1"/>
    <col min="19" max="19" width="15" bestFit="1" customWidth="1"/>
    <col min="20" max="20" width="9.7109375" bestFit="1" customWidth="1"/>
  </cols>
  <sheetData>
    <row r="1" spans="1:91" x14ac:dyDescent="0.2">
      <c r="A1" s="6" t="s">
        <v>7</v>
      </c>
      <c r="K1" s="11">
        <v>44651</v>
      </c>
      <c r="L1" s="11">
        <v>44742</v>
      </c>
      <c r="M1" s="11">
        <v>44834</v>
      </c>
      <c r="N1" s="11">
        <v>44926</v>
      </c>
    </row>
    <row r="2" spans="1:9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/>
      <c r="Q2" s="3" t="s">
        <v>104</v>
      </c>
      <c r="R2" s="3" t="s">
        <v>103</v>
      </c>
      <c r="S2" s="3" t="s">
        <v>100</v>
      </c>
      <c r="T2" s="3" t="s">
        <v>101</v>
      </c>
      <c r="U2" s="3" t="s">
        <v>102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</row>
    <row r="3" spans="1:91" s="2" customFormat="1" x14ac:dyDescent="0.2">
      <c r="B3" s="2" t="s">
        <v>68</v>
      </c>
      <c r="C3" s="5"/>
      <c r="D3" s="5"/>
      <c r="E3" s="5"/>
      <c r="F3" s="5"/>
      <c r="G3" s="5">
        <v>883</v>
      </c>
      <c r="H3" s="5">
        <v>888</v>
      </c>
      <c r="I3" s="5">
        <v>960</v>
      </c>
      <c r="J3" s="5">
        <f>3752-SUM(G3:I3)</f>
        <v>1021</v>
      </c>
      <c r="K3" s="5">
        <v>1116</v>
      </c>
      <c r="L3" s="2">
        <v>1139</v>
      </c>
      <c r="M3" s="5">
        <v>1209</v>
      </c>
      <c r="N3" s="5">
        <f>4723-SUM(K3:M3)</f>
        <v>1259</v>
      </c>
      <c r="Q3" s="2">
        <v>3450</v>
      </c>
      <c r="R3" s="2">
        <v>4519</v>
      </c>
      <c r="S3" s="2">
        <v>5896</v>
      </c>
      <c r="T3" s="2">
        <v>7245</v>
      </c>
      <c r="U3" s="2">
        <f>T3*(1+$R$30)</f>
        <v>8766.4499999999989</v>
      </c>
      <c r="V3" s="2">
        <f>U3*(1+$R$30)</f>
        <v>10607.404499999999</v>
      </c>
      <c r="W3" s="2">
        <f>V3*(1+$R$30)</f>
        <v>12834.959444999999</v>
      </c>
      <c r="X3" s="2">
        <f>W3*(1+$R$30)</f>
        <v>15530.300928449999</v>
      </c>
      <c r="Y3" s="2">
        <f>X3*(1+$R$31)</f>
        <v>15685.603937734499</v>
      </c>
      <c r="Z3" s="2">
        <f>Y3*(1+$R$31)</f>
        <v>15842.459977111845</v>
      </c>
      <c r="AA3" s="2">
        <f t="shared" ref="AA3:CL3" si="0">Z3*(1+$R$31)</f>
        <v>16000.884576882963</v>
      </c>
      <c r="AB3" s="2">
        <f t="shared" si="0"/>
        <v>16160.893422651792</v>
      </c>
      <c r="AC3" s="2">
        <f t="shared" si="0"/>
        <v>16322.502356878311</v>
      </c>
      <c r="AD3" s="2">
        <f t="shared" si="0"/>
        <v>16485.727380447093</v>
      </c>
      <c r="AE3" s="2">
        <f t="shared" si="0"/>
        <v>16650.584654251565</v>
      </c>
      <c r="AF3" s="2">
        <f t="shared" si="0"/>
        <v>16817.090500794082</v>
      </c>
      <c r="AG3" s="2">
        <f t="shared" si="0"/>
        <v>16985.261405802023</v>
      </c>
      <c r="AH3" s="2">
        <f t="shared" si="0"/>
        <v>17155.114019860044</v>
      </c>
      <c r="AI3" s="2">
        <f t="shared" si="0"/>
        <v>17326.665160058645</v>
      </c>
      <c r="AJ3" s="2">
        <f t="shared" si="0"/>
        <v>17499.931811659233</v>
      </c>
      <c r="AK3" s="2">
        <f t="shared" si="0"/>
        <v>17674.931129775825</v>
      </c>
      <c r="AL3" s="2">
        <f t="shared" si="0"/>
        <v>17851.680441073582</v>
      </c>
      <c r="AM3" s="2">
        <f t="shared" si="0"/>
        <v>18030.19724548432</v>
      </c>
      <c r="AN3" s="2">
        <f t="shared" si="0"/>
        <v>18210.499217939163</v>
      </c>
      <c r="AO3" s="2">
        <f t="shared" si="0"/>
        <v>18392.604210118556</v>
      </c>
      <c r="AP3" s="2">
        <f t="shared" si="0"/>
        <v>18576.530252219742</v>
      </c>
      <c r="AQ3" s="2">
        <f t="shared" si="0"/>
        <v>18762.295554741941</v>
      </c>
      <c r="AR3" s="2">
        <f t="shared" si="0"/>
        <v>18949.918510289361</v>
      </c>
      <c r="AS3" s="2">
        <f t="shared" si="0"/>
        <v>19139.417695392254</v>
      </c>
      <c r="AT3" s="2">
        <f t="shared" si="0"/>
        <v>19330.811872346178</v>
      </c>
      <c r="AU3" s="2">
        <f t="shared" si="0"/>
        <v>19524.119991069638</v>
      </c>
      <c r="AV3" s="2">
        <f t="shared" si="0"/>
        <v>19719.361190980333</v>
      </c>
      <c r="AW3" s="2">
        <f t="shared" si="0"/>
        <v>19916.554802890136</v>
      </c>
      <c r="AX3" s="2">
        <f t="shared" si="0"/>
        <v>20115.720350919037</v>
      </c>
      <c r="AY3" s="2">
        <f t="shared" si="0"/>
        <v>20316.877554428229</v>
      </c>
      <c r="AZ3" s="2">
        <f t="shared" si="0"/>
        <v>20520.046329972512</v>
      </c>
      <c r="BA3" s="2">
        <f t="shared" si="0"/>
        <v>20725.246793272239</v>
      </c>
      <c r="BB3" s="2">
        <f t="shared" si="0"/>
        <v>20932.499261204961</v>
      </c>
      <c r="BC3" s="2">
        <f t="shared" si="0"/>
        <v>21141.824253817013</v>
      </c>
      <c r="BD3" s="2">
        <f t="shared" si="0"/>
        <v>21353.242496355182</v>
      </c>
      <c r="BE3" s="2">
        <f t="shared" si="0"/>
        <v>21566.774921318734</v>
      </c>
      <c r="BF3" s="2">
        <f t="shared" si="0"/>
        <v>21782.44267053192</v>
      </c>
      <c r="BG3" s="2">
        <f t="shared" si="0"/>
        <v>22000.26709723724</v>
      </c>
      <c r="BH3" s="2">
        <f t="shared" si="0"/>
        <v>22220.269768209611</v>
      </c>
      <c r="BI3" s="2">
        <f t="shared" si="0"/>
        <v>22442.472465891708</v>
      </c>
      <c r="BJ3" s="2">
        <f t="shared" si="0"/>
        <v>22666.897190550626</v>
      </c>
      <c r="BK3" s="2">
        <f t="shared" si="0"/>
        <v>22893.566162456133</v>
      </c>
      <c r="BL3" s="2">
        <f t="shared" si="0"/>
        <v>23122.501824080693</v>
      </c>
      <c r="BM3" s="2">
        <f t="shared" si="0"/>
        <v>23353.726842321499</v>
      </c>
      <c r="BN3" s="2">
        <f t="shared" si="0"/>
        <v>23587.264110744713</v>
      </c>
      <c r="BO3" s="2">
        <f t="shared" si="0"/>
        <v>23823.136751852158</v>
      </c>
      <c r="BP3" s="2">
        <f t="shared" si="0"/>
        <v>24061.36811937068</v>
      </c>
      <c r="BQ3" s="2">
        <f t="shared" si="0"/>
        <v>24301.981800564387</v>
      </c>
      <c r="BR3" s="2">
        <f t="shared" si="0"/>
        <v>24545.00161857003</v>
      </c>
      <c r="BS3" s="2">
        <f t="shared" si="0"/>
        <v>24790.451634755729</v>
      </c>
      <c r="BT3" s="2">
        <f t="shared" si="0"/>
        <v>25038.356151103286</v>
      </c>
      <c r="BU3" s="2">
        <f t="shared" si="0"/>
        <v>25288.739712614319</v>
      </c>
      <c r="BV3" s="2">
        <f t="shared" si="0"/>
        <v>25541.627109740461</v>
      </c>
      <c r="BW3" s="2">
        <f t="shared" si="0"/>
        <v>25797.043380837866</v>
      </c>
      <c r="BX3" s="2">
        <f t="shared" si="0"/>
        <v>26055.013814646245</v>
      </c>
      <c r="BY3" s="2">
        <f t="shared" si="0"/>
        <v>26315.563952792709</v>
      </c>
      <c r="BZ3" s="2">
        <f t="shared" si="0"/>
        <v>26578.719592320635</v>
      </c>
      <c r="CA3" s="2">
        <f t="shared" si="0"/>
        <v>26844.506788243842</v>
      </c>
      <c r="CB3" s="2">
        <f t="shared" si="0"/>
        <v>27112.951856126281</v>
      </c>
      <c r="CC3" s="2">
        <f t="shared" si="0"/>
        <v>27384.081374687543</v>
      </c>
      <c r="CD3" s="2">
        <f t="shared" si="0"/>
        <v>27657.922188434419</v>
      </c>
      <c r="CE3" s="2">
        <f t="shared" si="0"/>
        <v>27934.501410318764</v>
      </c>
      <c r="CF3" s="2">
        <f t="shared" si="0"/>
        <v>28213.84642442195</v>
      </c>
      <c r="CG3" s="2">
        <f t="shared" si="0"/>
        <v>28495.984888666171</v>
      </c>
      <c r="CH3" s="2">
        <f t="shared" si="0"/>
        <v>28780.944737552833</v>
      </c>
      <c r="CI3" s="2">
        <f t="shared" si="0"/>
        <v>29068.754184928363</v>
      </c>
      <c r="CJ3" s="2">
        <f t="shared" si="0"/>
        <v>29359.441726777648</v>
      </c>
      <c r="CK3" s="2">
        <f t="shared" si="0"/>
        <v>29653.036144045425</v>
      </c>
      <c r="CL3" s="2">
        <f t="shared" si="0"/>
        <v>29949.56650548588</v>
      </c>
      <c r="CM3" s="2">
        <f>CL3*(1+$R$31)</f>
        <v>30249.062170540739</v>
      </c>
    </row>
    <row r="4" spans="1:91" s="2" customFormat="1" x14ac:dyDescent="0.2">
      <c r="B4" s="2" t="s">
        <v>69</v>
      </c>
      <c r="C4" s="5"/>
      <c r="D4" s="5"/>
      <c r="E4" s="5"/>
      <c r="F4" s="5"/>
      <c r="G4" s="5">
        <v>343</v>
      </c>
      <c r="H4" s="5">
        <v>378</v>
      </c>
      <c r="I4" s="5">
        <v>401</v>
      </c>
      <c r="J4" s="5">
        <f>1551-SUM(G4:I4)</f>
        <v>429</v>
      </c>
      <c r="K4" s="5">
        <v>434</v>
      </c>
      <c r="L4" s="5">
        <v>433</v>
      </c>
      <c r="M4" s="5">
        <v>432</v>
      </c>
      <c r="N4" s="5">
        <f>1778-SUM(K4:M4)</f>
        <v>479</v>
      </c>
    </row>
    <row r="5" spans="1:91" s="2" customFormat="1" x14ac:dyDescent="0.2">
      <c r="B5" s="2" t="s">
        <v>70</v>
      </c>
      <c r="C5" s="5"/>
      <c r="D5" s="5"/>
      <c r="E5" s="5"/>
      <c r="F5" s="5"/>
      <c r="G5" s="5">
        <v>134</v>
      </c>
      <c r="H5" s="5">
        <v>143</v>
      </c>
      <c r="I5" s="5">
        <v>151</v>
      </c>
      <c r="J5" s="5">
        <f>593-SUM(G5:I5)</f>
        <v>165</v>
      </c>
      <c r="K5" s="5">
        <v>172</v>
      </c>
      <c r="L5" s="5">
        <v>180</v>
      </c>
      <c r="M5" s="5">
        <v>190</v>
      </c>
      <c r="N5" s="5">
        <f>744-SUM(K5:M5)</f>
        <v>202</v>
      </c>
    </row>
    <row r="6" spans="1:91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91" s="2" customFormat="1" x14ac:dyDescent="0.2">
      <c r="B7" s="2" t="s">
        <v>92</v>
      </c>
      <c r="C7" s="5"/>
      <c r="D7" s="5"/>
      <c r="E7" s="5"/>
      <c r="F7" s="5"/>
      <c r="G7" s="5">
        <f>K7*1.3</f>
        <v>7397</v>
      </c>
      <c r="H7" s="5">
        <f>L7/1.21</f>
        <v>4752.0661157024797</v>
      </c>
      <c r="I7" s="5">
        <f>M7/1.17</f>
        <v>5066.666666666667</v>
      </c>
      <c r="J7" s="5">
        <f>N7/1.22</f>
        <v>5622.9508196721308</v>
      </c>
      <c r="K7" s="5">
        <v>5690</v>
      </c>
      <c r="L7" s="5">
        <f>L8*0.5</f>
        <v>5750</v>
      </c>
      <c r="M7" s="5">
        <f>M8*0.52</f>
        <v>5928</v>
      </c>
      <c r="N7" s="5">
        <f>0.49*N8</f>
        <v>6860</v>
      </c>
    </row>
    <row r="8" spans="1:91" s="2" customFormat="1" x14ac:dyDescent="0.2">
      <c r="B8" s="2" t="s">
        <v>90</v>
      </c>
      <c r="C8" s="5"/>
      <c r="D8" s="5"/>
      <c r="E8" s="5"/>
      <c r="F8" s="5"/>
      <c r="G8" s="5">
        <f>K8*1.29</f>
        <v>14835</v>
      </c>
      <c r="H8" s="5">
        <f>L8/1.21</f>
        <v>9504.1322314049594</v>
      </c>
      <c r="I8" s="5">
        <f>M8/1.18</f>
        <v>9661.016949152543</v>
      </c>
      <c r="J8" s="5">
        <f>N8/1.22</f>
        <v>11475.409836065573</v>
      </c>
      <c r="K8" s="5">
        <v>11500</v>
      </c>
      <c r="L8" s="5">
        <v>11500</v>
      </c>
      <c r="M8" s="5">
        <v>11400</v>
      </c>
      <c r="N8" s="5">
        <v>14000</v>
      </c>
    </row>
    <row r="9" spans="1:91" s="2" customFormat="1" x14ac:dyDescent="0.2">
      <c r="B9" s="2" t="s">
        <v>71</v>
      </c>
      <c r="C9" s="5"/>
      <c r="D9" s="5"/>
      <c r="E9" s="5"/>
      <c r="F9" s="5"/>
      <c r="G9" s="5">
        <v>1131</v>
      </c>
      <c r="H9" s="5">
        <v>1164</v>
      </c>
      <c r="I9" s="5">
        <v>1253</v>
      </c>
      <c r="J9" s="5">
        <f>4882-SUM(G9:I9)</f>
        <v>1334</v>
      </c>
      <c r="K9" s="5">
        <v>1440</v>
      </c>
      <c r="L9" s="5">
        <v>1463</v>
      </c>
      <c r="M9" s="5">
        <v>1534</v>
      </c>
      <c r="N9" s="5">
        <f>6077-SUM(K9:M9)</f>
        <v>1640</v>
      </c>
    </row>
    <row r="10" spans="1:91" x14ac:dyDescent="0.2">
      <c r="B10" s="2" t="s">
        <v>72</v>
      </c>
      <c r="G10" s="3">
        <v>162</v>
      </c>
      <c r="H10" s="3">
        <v>166</v>
      </c>
      <c r="I10" s="3">
        <v>174</v>
      </c>
      <c r="J10" s="3">
        <f>691-SUM(G10:I10)</f>
        <v>189</v>
      </c>
      <c r="K10" s="3">
        <v>191</v>
      </c>
      <c r="L10" s="3">
        <v>195</v>
      </c>
      <c r="M10" s="3">
        <v>208</v>
      </c>
      <c r="N10" s="3">
        <f>814-SUM(K10:M10)</f>
        <v>220</v>
      </c>
    </row>
    <row r="11" spans="1:91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>
        <v>1330</v>
      </c>
      <c r="I11" s="5">
        <v>1427</v>
      </c>
      <c r="J11" s="5">
        <f>5573-SUM(G11:I11)</f>
        <v>1523</v>
      </c>
      <c r="K11" s="5">
        <f>+K10+K9</f>
        <v>1631</v>
      </c>
      <c r="L11" s="5">
        <v>1658</v>
      </c>
      <c r="M11" s="5">
        <v>1742</v>
      </c>
      <c r="N11" s="5">
        <f>6891-SUM(K11:M11)</f>
        <v>1860</v>
      </c>
    </row>
    <row r="12" spans="1:91" s="2" customFormat="1" x14ac:dyDescent="0.2">
      <c r="B12" s="2" t="s">
        <v>21</v>
      </c>
      <c r="C12" s="5"/>
      <c r="D12" s="5"/>
      <c r="E12" s="5"/>
      <c r="F12" s="5"/>
      <c r="G12" s="5">
        <v>67</v>
      </c>
      <c r="H12" s="5">
        <v>79</v>
      </c>
      <c r="I12" s="5">
        <v>85</v>
      </c>
      <c r="J12" s="5">
        <f>323-SUM(G12:I12)</f>
        <v>92</v>
      </c>
      <c r="K12" s="5">
        <v>91</v>
      </c>
      <c r="L12" s="5">
        <v>94</v>
      </c>
      <c r="M12" s="5">
        <v>89</v>
      </c>
      <c r="N12" s="5">
        <f>354-SUM(K12:M12)</f>
        <v>80</v>
      </c>
    </row>
    <row r="13" spans="1:91" s="7" customFormat="1" x14ac:dyDescent="0.2">
      <c r="B13" s="7" t="s">
        <v>8</v>
      </c>
      <c r="C13" s="8"/>
      <c r="D13" s="8"/>
      <c r="E13" s="8"/>
      <c r="F13" s="8"/>
      <c r="G13" s="8">
        <f>+G11+G12</f>
        <v>1360</v>
      </c>
      <c r="H13" s="8">
        <v>1409</v>
      </c>
      <c r="I13" s="8">
        <f>SUM(I11:I12)</f>
        <v>1512</v>
      </c>
      <c r="J13" s="8">
        <f>SUM(J11:J12)</f>
        <v>1615</v>
      </c>
      <c r="K13" s="8">
        <f>+K11+K12</f>
        <v>1722</v>
      </c>
      <c r="L13" s="8">
        <f>SUM(L11:L12)</f>
        <v>1752</v>
      </c>
      <c r="M13" s="8">
        <f>SUM(M11:M12)</f>
        <v>1831</v>
      </c>
      <c r="N13" s="8">
        <f>SUM(N11:N12)</f>
        <v>1940</v>
      </c>
      <c r="O13" s="12">
        <f>N13*(1+$R$30)</f>
        <v>2347.4</v>
      </c>
      <c r="P13" s="12">
        <f>O13*(1+$R$30)</f>
        <v>2840.3539999999998</v>
      </c>
      <c r="Q13" s="12">
        <f t="shared" ref="Q13:X13" si="1">P13*(1+$R$30)</f>
        <v>3436.8283399999996</v>
      </c>
      <c r="R13" s="12">
        <f t="shared" si="1"/>
        <v>4158.5622913999996</v>
      </c>
      <c r="S13" s="12">
        <f t="shared" si="1"/>
        <v>5031.8603725939993</v>
      </c>
      <c r="T13" s="12">
        <f t="shared" si="1"/>
        <v>6088.5510508387388</v>
      </c>
      <c r="U13" s="12">
        <f t="shared" si="1"/>
        <v>7367.1467715148738</v>
      </c>
      <c r="V13" s="12">
        <f t="shared" si="1"/>
        <v>8914.2475935329967</v>
      </c>
      <c r="W13" s="12">
        <f t="shared" si="1"/>
        <v>10786.239588174925</v>
      </c>
      <c r="X13" s="12">
        <f t="shared" si="1"/>
        <v>13051.349901691659</v>
      </c>
      <c r="Y13" s="7">
        <f>X13*(1+R31)</f>
        <v>13181.863400708577</v>
      </c>
      <c r="Z13" s="7">
        <f t="shared" ref="Z13:CK13" si="2">Y13*(1+S31)</f>
        <v>13181.863400708577</v>
      </c>
      <c r="AA13" s="7">
        <f t="shared" si="2"/>
        <v>13181.863400708577</v>
      </c>
      <c r="AB13" s="7">
        <f t="shared" si="2"/>
        <v>13181.863400708577</v>
      </c>
      <c r="AC13" s="7">
        <f t="shared" si="2"/>
        <v>13181.863400708577</v>
      </c>
      <c r="AD13" s="7">
        <f t="shared" si="2"/>
        <v>13181.863400708577</v>
      </c>
      <c r="AE13" s="7">
        <f t="shared" si="2"/>
        <v>13181.863400708577</v>
      </c>
      <c r="AF13" s="7">
        <f t="shared" si="2"/>
        <v>13181.863400708577</v>
      </c>
      <c r="AG13" s="7">
        <f t="shared" si="2"/>
        <v>13181.863400708577</v>
      </c>
      <c r="AH13" s="7">
        <f t="shared" si="2"/>
        <v>13181.863400708577</v>
      </c>
      <c r="AI13" s="7">
        <f t="shared" si="2"/>
        <v>13181.863400708577</v>
      </c>
      <c r="AJ13" s="7">
        <f t="shared" si="2"/>
        <v>13181.863400708577</v>
      </c>
      <c r="AK13" s="7">
        <f t="shared" si="2"/>
        <v>13181.863400708577</v>
      </c>
      <c r="AL13" s="7">
        <f t="shared" si="2"/>
        <v>13181.863400708577</v>
      </c>
      <c r="AM13" s="7">
        <f t="shared" si="2"/>
        <v>13181.863400708577</v>
      </c>
      <c r="AN13" s="7">
        <f t="shared" si="2"/>
        <v>13181.863400708577</v>
      </c>
      <c r="AO13" s="7">
        <f t="shared" si="2"/>
        <v>13181.863400708577</v>
      </c>
      <c r="AP13" s="7">
        <f t="shared" si="2"/>
        <v>13181.863400708577</v>
      </c>
      <c r="AQ13" s="7">
        <f t="shared" si="2"/>
        <v>13181.863400708577</v>
      </c>
      <c r="AR13" s="7">
        <f t="shared" si="2"/>
        <v>13181.863400708577</v>
      </c>
      <c r="AS13" s="7">
        <f t="shared" si="2"/>
        <v>13181.863400708577</v>
      </c>
      <c r="AT13" s="7">
        <f t="shared" si="2"/>
        <v>13181.863400708577</v>
      </c>
      <c r="AU13" s="7">
        <f t="shared" si="2"/>
        <v>13181.863400708577</v>
      </c>
      <c r="AV13" s="7">
        <f t="shared" si="2"/>
        <v>13181.863400708577</v>
      </c>
      <c r="AW13" s="7">
        <f t="shared" si="2"/>
        <v>13181.863400708577</v>
      </c>
      <c r="AX13" s="7">
        <f t="shared" si="2"/>
        <v>13181.863400708577</v>
      </c>
      <c r="AY13" s="7">
        <f t="shared" si="2"/>
        <v>13181.863400708577</v>
      </c>
      <c r="AZ13" s="7">
        <f t="shared" si="2"/>
        <v>13181.863400708577</v>
      </c>
      <c r="BA13" s="7">
        <f t="shared" si="2"/>
        <v>13181.863400708577</v>
      </c>
      <c r="BB13" s="7">
        <f t="shared" si="2"/>
        <v>13181.863400708577</v>
      </c>
      <c r="BC13" s="7">
        <f t="shared" si="2"/>
        <v>13181.863400708577</v>
      </c>
      <c r="BD13" s="7">
        <f t="shared" si="2"/>
        <v>13181.863400708577</v>
      </c>
      <c r="BE13" s="7">
        <f t="shared" si="2"/>
        <v>13181.863400708577</v>
      </c>
      <c r="BF13" s="7">
        <f t="shared" si="2"/>
        <v>13181.863400708577</v>
      </c>
      <c r="BG13" s="7">
        <f t="shared" si="2"/>
        <v>13181.863400708577</v>
      </c>
      <c r="BH13" s="7">
        <f t="shared" si="2"/>
        <v>13181.863400708577</v>
      </c>
      <c r="BI13" s="7">
        <f t="shared" si="2"/>
        <v>13181.863400708577</v>
      </c>
      <c r="BJ13" s="7">
        <f t="shared" si="2"/>
        <v>13181.863400708577</v>
      </c>
      <c r="BK13" s="7">
        <f t="shared" si="2"/>
        <v>13181.863400708577</v>
      </c>
      <c r="BL13" s="7">
        <f t="shared" si="2"/>
        <v>13181.863400708577</v>
      </c>
      <c r="BM13" s="7">
        <f t="shared" si="2"/>
        <v>13181.863400708577</v>
      </c>
      <c r="BN13" s="7">
        <f t="shared" si="2"/>
        <v>13181.863400708577</v>
      </c>
      <c r="BO13" s="7">
        <f t="shared" si="2"/>
        <v>13181.863400708577</v>
      </c>
      <c r="BP13" s="7">
        <f t="shared" si="2"/>
        <v>13181.863400708577</v>
      </c>
      <c r="BQ13" s="7">
        <f t="shared" si="2"/>
        <v>13181.863400708577</v>
      </c>
      <c r="BR13" s="7">
        <f t="shared" si="2"/>
        <v>13181.863400708577</v>
      </c>
      <c r="BS13" s="7">
        <f t="shared" si="2"/>
        <v>13181.863400708577</v>
      </c>
      <c r="BT13" s="7">
        <f t="shared" si="2"/>
        <v>13181.863400708577</v>
      </c>
      <c r="BU13" s="7">
        <f t="shared" si="2"/>
        <v>13181.863400708577</v>
      </c>
      <c r="BV13" s="7">
        <f t="shared" si="2"/>
        <v>13181.863400708577</v>
      </c>
      <c r="BW13" s="7">
        <f t="shared" si="2"/>
        <v>13181.863400708577</v>
      </c>
      <c r="BX13" s="7">
        <f t="shared" si="2"/>
        <v>13181.863400708577</v>
      </c>
      <c r="BY13" s="7">
        <f t="shared" si="2"/>
        <v>13181.863400708577</v>
      </c>
      <c r="BZ13" s="7">
        <f t="shared" si="2"/>
        <v>13181.863400708577</v>
      </c>
      <c r="CA13" s="7">
        <f t="shared" si="2"/>
        <v>13181.863400708577</v>
      </c>
      <c r="CB13" s="7">
        <f t="shared" si="2"/>
        <v>13181.863400708577</v>
      </c>
      <c r="CC13" s="7">
        <f t="shared" si="2"/>
        <v>13181.863400708577</v>
      </c>
      <c r="CD13" s="7">
        <f t="shared" si="2"/>
        <v>13181.863400708577</v>
      </c>
      <c r="CE13" s="7">
        <f t="shared" si="2"/>
        <v>13181.863400708577</v>
      </c>
      <c r="CF13" s="7">
        <f t="shared" si="2"/>
        <v>13181.863400708577</v>
      </c>
      <c r="CG13" s="7">
        <f t="shared" si="2"/>
        <v>13181.863400708577</v>
      </c>
      <c r="CH13" s="7">
        <f t="shared" si="2"/>
        <v>13181.863400708577</v>
      </c>
      <c r="CI13" s="7">
        <f t="shared" si="2"/>
        <v>13181.863400708577</v>
      </c>
      <c r="CJ13" s="7">
        <f t="shared" si="2"/>
        <v>13181.863400708577</v>
      </c>
      <c r="CK13" s="7">
        <f t="shared" si="2"/>
        <v>13181.863400708577</v>
      </c>
      <c r="CL13" s="7">
        <f t="shared" ref="CL13:CM13" si="3">CK13*(1+CE31)</f>
        <v>13181.863400708577</v>
      </c>
      <c r="CM13" s="7">
        <f t="shared" si="3"/>
        <v>13181.863400708577</v>
      </c>
    </row>
    <row r="14" spans="1:91" s="2" customFormat="1" x14ac:dyDescent="0.2">
      <c r="B14" s="2" t="s">
        <v>22</v>
      </c>
      <c r="C14" s="5"/>
      <c r="D14" s="5"/>
      <c r="E14" s="5"/>
      <c r="F14" s="5"/>
      <c r="G14" s="5">
        <v>299</v>
      </c>
      <c r="H14" s="5">
        <v>329</v>
      </c>
      <c r="I14" s="5">
        <v>350</v>
      </c>
      <c r="J14" s="5">
        <f>1353-SUM(G14:I14)</f>
        <v>375</v>
      </c>
      <c r="K14" s="5">
        <f>275+94</f>
        <v>369</v>
      </c>
      <c r="L14" s="5">
        <v>389</v>
      </c>
      <c r="M14" s="5">
        <v>400</v>
      </c>
      <c r="N14" s="5">
        <f>1573-SUM(K14:M14)</f>
        <v>415</v>
      </c>
    </row>
    <row r="15" spans="1:91" s="2" customFormat="1" x14ac:dyDescent="0.2">
      <c r="B15" s="2" t="s">
        <v>23</v>
      </c>
      <c r="C15" s="5"/>
      <c r="D15" s="5"/>
      <c r="E15" s="5"/>
      <c r="F15" s="5"/>
      <c r="G15" s="5">
        <f>+G13-G14</f>
        <v>1061</v>
      </c>
      <c r="H15" s="5">
        <f>+H13-H14</f>
        <v>1080</v>
      </c>
      <c r="I15" s="5">
        <f>+I13-I14</f>
        <v>1162</v>
      </c>
      <c r="J15" s="5">
        <f>+J13-J14</f>
        <v>1240</v>
      </c>
      <c r="K15" s="5">
        <f>+K13-K14</f>
        <v>1353</v>
      </c>
      <c r="L15" s="5">
        <f>L13-L14</f>
        <v>1363</v>
      </c>
      <c r="M15" s="5">
        <f>M13-M14</f>
        <v>1431</v>
      </c>
      <c r="N15" s="5">
        <f>N13-N14</f>
        <v>1525</v>
      </c>
    </row>
    <row r="16" spans="1:91" s="2" customFormat="1" x14ac:dyDescent="0.2">
      <c r="B16" s="2" t="s">
        <v>24</v>
      </c>
      <c r="C16" s="5"/>
      <c r="D16" s="5"/>
      <c r="E16" s="5"/>
      <c r="F16" s="5"/>
      <c r="G16" s="5">
        <v>524</v>
      </c>
      <c r="H16" s="5">
        <v>557</v>
      </c>
      <c r="I16" s="5">
        <v>579</v>
      </c>
      <c r="J16" s="5">
        <f>2292-SUM(G16:I16)</f>
        <v>632</v>
      </c>
      <c r="K16" s="5">
        <v>673</v>
      </c>
      <c r="L16" s="5">
        <v>722</v>
      </c>
      <c r="M16" s="5">
        <v>697</v>
      </c>
      <c r="N16" s="5">
        <f>2814-SUM(K16:M16)</f>
        <v>722</v>
      </c>
    </row>
    <row r="17" spans="2:28" s="2" customFormat="1" x14ac:dyDescent="0.2">
      <c r="B17" s="2" t="s">
        <v>25</v>
      </c>
      <c r="C17" s="5"/>
      <c r="D17" s="5"/>
      <c r="E17" s="5"/>
      <c r="F17" s="5"/>
      <c r="G17" s="5">
        <v>314</v>
      </c>
      <c r="H17" s="5">
        <v>333</v>
      </c>
      <c r="I17" s="5">
        <v>358</v>
      </c>
      <c r="J17" s="5">
        <f>1397-SUM(G17:I17)</f>
        <v>392</v>
      </c>
      <c r="K17" s="5">
        <v>414</v>
      </c>
      <c r="L17" s="5">
        <v>444</v>
      </c>
      <c r="M17" s="5">
        <v>456</v>
      </c>
      <c r="N17" s="5">
        <f>1768-SUM(K17:M17)</f>
        <v>454</v>
      </c>
    </row>
    <row r="18" spans="2:28" s="2" customFormat="1" x14ac:dyDescent="0.2">
      <c r="B18" s="2" t="s">
        <v>26</v>
      </c>
      <c r="C18" s="5"/>
      <c r="D18" s="5"/>
      <c r="E18" s="5"/>
      <c r="F18" s="5"/>
      <c r="G18" s="5">
        <v>126</v>
      </c>
      <c r="H18" s="5">
        <v>139</v>
      </c>
      <c r="I18" s="5">
        <v>151</v>
      </c>
      <c r="J18" s="5">
        <f>597-SUM(G18:I18)</f>
        <v>181</v>
      </c>
      <c r="K18" s="5">
        <v>179</v>
      </c>
      <c r="L18" s="5">
        <v>175</v>
      </c>
      <c r="M18" s="5">
        <v>187</v>
      </c>
      <c r="N18" s="5">
        <f>735-SUM(K18:M18)</f>
        <v>194</v>
      </c>
    </row>
    <row r="19" spans="2:28" s="2" customFormat="1" x14ac:dyDescent="0.2">
      <c r="B19" s="2" t="s">
        <v>27</v>
      </c>
      <c r="C19" s="5"/>
      <c r="D19" s="5"/>
      <c r="E19" s="5"/>
      <c r="F19" s="5"/>
      <c r="G19" s="5">
        <f>SUM(G16:G18)</f>
        <v>964</v>
      </c>
      <c r="H19" s="5">
        <f>SUM(H16:H18)</f>
        <v>1029</v>
      </c>
      <c r="I19" s="5">
        <f>SUM(I16:I18)</f>
        <v>1088</v>
      </c>
      <c r="J19" s="5">
        <f>SUM(J16:J18)</f>
        <v>1205</v>
      </c>
      <c r="K19" s="5">
        <f>SUM(K16:K18)</f>
        <v>1266</v>
      </c>
      <c r="L19" s="5">
        <f>SUM(L16:L18)</f>
        <v>1341</v>
      </c>
      <c r="M19" s="5">
        <f>SUM(M16:M18)</f>
        <v>1340</v>
      </c>
      <c r="N19" s="5">
        <f>SUM(N16:N18)</f>
        <v>1370</v>
      </c>
    </row>
    <row r="20" spans="2:28" s="2" customFormat="1" x14ac:dyDescent="0.2">
      <c r="B20" s="2" t="s">
        <v>28</v>
      </c>
      <c r="C20" s="5"/>
      <c r="D20" s="5"/>
      <c r="E20" s="5"/>
      <c r="F20" s="5"/>
      <c r="G20" s="5">
        <f>G15-G19</f>
        <v>97</v>
      </c>
      <c r="H20" s="5">
        <f>H15-H19</f>
        <v>51</v>
      </c>
      <c r="I20" s="5">
        <f>I15-I19</f>
        <v>74</v>
      </c>
      <c r="J20" s="5">
        <f>J15-J19</f>
        <v>35</v>
      </c>
      <c r="K20" s="5">
        <f>K15-K19</f>
        <v>87</v>
      </c>
      <c r="L20" s="5">
        <f>L15-L19</f>
        <v>22</v>
      </c>
      <c r="M20" s="5">
        <f>M15-M19</f>
        <v>91</v>
      </c>
      <c r="N20" s="5">
        <f>N15-N19</f>
        <v>155</v>
      </c>
    </row>
    <row r="21" spans="2:28" s="2" customFormat="1" x14ac:dyDescent="0.2">
      <c r="B21" s="2" t="s">
        <v>33</v>
      </c>
      <c r="C21" s="5"/>
      <c r="D21" s="5"/>
      <c r="E21" s="5"/>
      <c r="F21" s="5"/>
      <c r="G21" s="5">
        <f>-7+9</f>
        <v>2</v>
      </c>
      <c r="H21" s="5">
        <f>-7+6</f>
        <v>-1</v>
      </c>
      <c r="I21" s="5">
        <f>-7+1</f>
        <v>-6</v>
      </c>
      <c r="J21" s="5">
        <f>-28+20-SUM(G21:I21)</f>
        <v>-3</v>
      </c>
      <c r="K21" s="5">
        <f>-6+4</f>
        <v>-2</v>
      </c>
      <c r="L21" s="5">
        <f>-6+13</f>
        <v>7</v>
      </c>
      <c r="M21" s="5">
        <f>-8+19</f>
        <v>11</v>
      </c>
      <c r="N21" s="5">
        <f>-27+71-SUM(K21:M21)</f>
        <v>28</v>
      </c>
    </row>
    <row r="22" spans="2:28" s="2" customFormat="1" x14ac:dyDescent="0.2">
      <c r="B22" s="2" t="s">
        <v>32</v>
      </c>
      <c r="C22" s="5"/>
      <c r="D22" s="5"/>
      <c r="E22" s="5"/>
      <c r="F22" s="5"/>
      <c r="G22" s="5">
        <f>G20+G21</f>
        <v>99</v>
      </c>
      <c r="H22" s="5">
        <f>H20+H21</f>
        <v>50</v>
      </c>
      <c r="I22" s="5">
        <f>I20+I21</f>
        <v>68</v>
      </c>
      <c r="J22" s="5">
        <f>J20+J21</f>
        <v>32</v>
      </c>
      <c r="K22" s="5">
        <f>K20+K21</f>
        <v>85</v>
      </c>
      <c r="L22" s="5">
        <f>L20+L21</f>
        <v>29</v>
      </c>
      <c r="M22" s="5">
        <f>M20+M21</f>
        <v>102</v>
      </c>
      <c r="N22" s="5">
        <f>N20+N21</f>
        <v>183</v>
      </c>
    </row>
    <row r="23" spans="2:28" s="2" customFormat="1" x14ac:dyDescent="0.2">
      <c r="B23" s="2" t="s">
        <v>31</v>
      </c>
      <c r="C23" s="5"/>
      <c r="D23" s="5"/>
      <c r="E23" s="5"/>
      <c r="F23" s="5"/>
      <c r="G23" s="5">
        <v>17</v>
      </c>
      <c r="H23" s="5">
        <v>-9</v>
      </c>
      <c r="I23" s="5">
        <v>5</v>
      </c>
      <c r="J23" s="5">
        <f>19-SUM(G23:I23)</f>
        <v>6</v>
      </c>
      <c r="K23" s="5">
        <v>10</v>
      </c>
      <c r="L23" s="5">
        <v>9</v>
      </c>
      <c r="M23" s="5">
        <v>22</v>
      </c>
      <c r="N23" s="5">
        <f>74-SUM(K23:M23)</f>
        <v>33</v>
      </c>
    </row>
    <row r="24" spans="2:28" s="2" customFormat="1" x14ac:dyDescent="0.2">
      <c r="B24" s="2" t="s">
        <v>30</v>
      </c>
      <c r="C24" s="5"/>
      <c r="D24" s="5"/>
      <c r="E24" s="5"/>
      <c r="F24" s="5"/>
      <c r="G24" s="5">
        <f>+G22-G23</f>
        <v>82</v>
      </c>
      <c r="H24" s="5">
        <f>+H22-H23</f>
        <v>59</v>
      </c>
      <c r="I24" s="5">
        <f>+I22-I23</f>
        <v>63</v>
      </c>
      <c r="J24" s="5">
        <f>+J22-J23</f>
        <v>26</v>
      </c>
      <c r="K24" s="5">
        <f>+K22-K23</f>
        <v>75</v>
      </c>
      <c r="L24" s="5">
        <f>+L22-L23</f>
        <v>20</v>
      </c>
      <c r="M24" s="5">
        <f>+M22-M23</f>
        <v>80</v>
      </c>
      <c r="N24" s="5">
        <f>+N22-N23</f>
        <v>150</v>
      </c>
    </row>
    <row r="25" spans="2:28" x14ac:dyDescent="0.2">
      <c r="B25" t="s">
        <v>29</v>
      </c>
      <c r="G25" s="4">
        <f>G24/G26</f>
        <v>0.40540273300769275</v>
      </c>
      <c r="H25" s="4">
        <f>H24/H26</f>
        <v>0.29825847382655513</v>
      </c>
      <c r="I25" s="4">
        <f>I24/I26</f>
        <v>0.31015690000640006</v>
      </c>
      <c r="J25" s="4">
        <f>J24/J26</f>
        <v>0.12797353900978012</v>
      </c>
      <c r="K25" s="4">
        <f>K24/K26</f>
        <v>0.36982248520710059</v>
      </c>
      <c r="L25" s="4">
        <f>L24/L26</f>
        <v>9.8522167487684734E-2</v>
      </c>
      <c r="M25" s="4">
        <f>M24/M26</f>
        <v>0.39385390973853024</v>
      </c>
      <c r="N25" s="4">
        <f>N24/N26</f>
        <v>0.73697398481833587</v>
      </c>
    </row>
    <row r="26" spans="2:28" s="2" customFormat="1" x14ac:dyDescent="0.2">
      <c r="B26" s="2" t="s">
        <v>1</v>
      </c>
      <c r="C26" s="5"/>
      <c r="D26" s="5"/>
      <c r="E26" s="5"/>
      <c r="F26" s="5"/>
      <c r="G26" s="5">
        <v>202.268</v>
      </c>
      <c r="H26" s="5">
        <v>197.815</v>
      </c>
      <c r="I26" s="5">
        <v>203.12299999999999</v>
      </c>
      <c r="J26" s="5">
        <v>203.167</v>
      </c>
      <c r="K26" s="5">
        <v>202.8</v>
      </c>
      <c r="L26" s="5">
        <v>203</v>
      </c>
      <c r="M26" s="5">
        <v>203.12100000000001</v>
      </c>
      <c r="N26" s="5">
        <v>203.535</v>
      </c>
    </row>
    <row r="28" spans="2:28" x14ac:dyDescent="0.2">
      <c r="B28" s="2" t="s">
        <v>48</v>
      </c>
      <c r="H28" s="9"/>
      <c r="I28" s="9"/>
      <c r="J28" s="9"/>
      <c r="K28" s="9">
        <f>K13/G13-1</f>
        <v>0.26617647058823524</v>
      </c>
      <c r="L28" s="9">
        <f>L13/H13-1</f>
        <v>0.24343506032647277</v>
      </c>
      <c r="M28" s="9">
        <f>M13/I13-1</f>
        <v>0.21097883597883604</v>
      </c>
      <c r="N28" s="9">
        <f>N13/J13-1</f>
        <v>0.20123839009287936</v>
      </c>
      <c r="R28" s="14">
        <f>(R3-Q3)/Q3</f>
        <v>0.30985507246376809</v>
      </c>
      <c r="S28" s="14">
        <f>(S3-R3)/R3</f>
        <v>0.30471343217526003</v>
      </c>
      <c r="T28" s="14">
        <f>(T3-S3)/S3</f>
        <v>0.22879918588873813</v>
      </c>
      <c r="U28" s="13">
        <f>$R$30</f>
        <v>0.21</v>
      </c>
      <c r="V28" s="13">
        <f>$R$30</f>
        <v>0.21</v>
      </c>
      <c r="W28" s="13">
        <f>$R$30</f>
        <v>0.21</v>
      </c>
      <c r="X28" s="13">
        <f>$R$30</f>
        <v>0.21</v>
      </c>
      <c r="Y28" s="13">
        <v>0.01</v>
      </c>
      <c r="Z28" s="13">
        <v>0.01</v>
      </c>
      <c r="AA28" s="13">
        <v>0.01</v>
      </c>
      <c r="AB28" s="13">
        <v>0.01</v>
      </c>
    </row>
    <row r="30" spans="2:28" x14ac:dyDescent="0.2">
      <c r="Q30" s="16" t="s">
        <v>94</v>
      </c>
      <c r="R30" s="17">
        <v>0.21</v>
      </c>
      <c r="S30" s="15"/>
      <c r="T30" s="15"/>
    </row>
    <row r="31" spans="2:28" x14ac:dyDescent="0.2">
      <c r="B31" t="s">
        <v>3</v>
      </c>
      <c r="K31" s="5">
        <f>2252+1762+1484</f>
        <v>5498</v>
      </c>
      <c r="Q31" s="16" t="s">
        <v>95</v>
      </c>
      <c r="R31" s="17">
        <v>0.01</v>
      </c>
      <c r="S31" s="15"/>
      <c r="T31" s="15"/>
    </row>
    <row r="32" spans="2:28" x14ac:dyDescent="0.2">
      <c r="B32" t="s">
        <v>34</v>
      </c>
      <c r="K32" s="5">
        <v>824</v>
      </c>
      <c r="Q32" s="16" t="s">
        <v>96</v>
      </c>
      <c r="R32" s="17">
        <v>0.1</v>
      </c>
      <c r="S32" s="15"/>
      <c r="T32" s="15"/>
    </row>
    <row r="33" spans="2:20" x14ac:dyDescent="0.2">
      <c r="B33" t="s">
        <v>35</v>
      </c>
      <c r="K33" s="5">
        <f>322+655</f>
        <v>977</v>
      </c>
      <c r="M33" s="5"/>
      <c r="Q33" s="16" t="s">
        <v>97</v>
      </c>
      <c r="R33" s="18">
        <f>NPV(R32,Q3:CM3)</f>
        <v>122549.60724778917</v>
      </c>
      <c r="S33" s="15"/>
      <c r="T33" s="15"/>
    </row>
    <row r="34" spans="2:20" x14ac:dyDescent="0.2">
      <c r="B34" t="s">
        <v>37</v>
      </c>
      <c r="K34" s="5">
        <v>282</v>
      </c>
      <c r="Q34" s="16" t="s">
        <v>1</v>
      </c>
      <c r="R34" s="19">
        <f>Main!L3</f>
        <v>202.8</v>
      </c>
      <c r="S34" s="15"/>
      <c r="T34" s="15"/>
    </row>
    <row r="35" spans="2:20" x14ac:dyDescent="0.2">
      <c r="B35" t="s">
        <v>38</v>
      </c>
      <c r="K35" s="5">
        <v>798</v>
      </c>
      <c r="Q35" s="16" t="s">
        <v>99</v>
      </c>
      <c r="R35" s="21">
        <f>R33/R34</f>
        <v>604.28800418041999</v>
      </c>
      <c r="S35" s="15"/>
      <c r="T35" s="15"/>
    </row>
    <row r="36" spans="2:20" x14ac:dyDescent="0.2">
      <c r="B36" t="s">
        <v>39</v>
      </c>
      <c r="K36" s="5">
        <v>583</v>
      </c>
      <c r="Q36" s="16" t="s">
        <v>98</v>
      </c>
      <c r="R36" s="22">
        <f>(R35-Main!L2)/Main!L2</f>
        <v>0.37338182768277273</v>
      </c>
      <c r="S36" s="15"/>
      <c r="T36" s="15"/>
    </row>
    <row r="37" spans="2:20" x14ac:dyDescent="0.2">
      <c r="B37" t="s">
        <v>40</v>
      </c>
      <c r="K37" s="5">
        <f>266+774</f>
        <v>1040</v>
      </c>
      <c r="Q37" s="16" t="s">
        <v>112</v>
      </c>
      <c r="R37" s="20">
        <f>R34*R35</f>
        <v>122549.60724778919</v>
      </c>
      <c r="S37" s="15"/>
      <c r="T37" s="15"/>
    </row>
    <row r="38" spans="2:20" x14ac:dyDescent="0.2">
      <c r="B38" t="s">
        <v>31</v>
      </c>
      <c r="K38" s="5">
        <v>686</v>
      </c>
    </row>
    <row r="39" spans="2:20" x14ac:dyDescent="0.2">
      <c r="B39" t="s">
        <v>41</v>
      </c>
      <c r="K39" s="5">
        <v>305</v>
      </c>
    </row>
    <row r="40" spans="2:20" x14ac:dyDescent="0.2">
      <c r="B40" t="s">
        <v>36</v>
      </c>
      <c r="K40" s="5">
        <f>SUM(K31:K39)</f>
        <v>10993</v>
      </c>
    </row>
    <row r="42" spans="2:20" x14ac:dyDescent="0.2">
      <c r="B42" t="s">
        <v>44</v>
      </c>
      <c r="K42" s="5">
        <v>166</v>
      </c>
    </row>
    <row r="43" spans="2:20" x14ac:dyDescent="0.2">
      <c r="B43" t="s">
        <v>45</v>
      </c>
      <c r="K43" s="5">
        <v>661</v>
      </c>
    </row>
    <row r="44" spans="2:20" x14ac:dyDescent="0.2">
      <c r="B44" t="s">
        <v>46</v>
      </c>
      <c r="K44" s="5">
        <f>3850+57</f>
        <v>3907</v>
      </c>
    </row>
    <row r="45" spans="2:20" x14ac:dyDescent="0.2">
      <c r="B45" t="s">
        <v>39</v>
      </c>
      <c r="K45" s="5">
        <f>87+548</f>
        <v>635</v>
      </c>
    </row>
    <row r="46" spans="2:20" x14ac:dyDescent="0.2">
      <c r="B46" t="s">
        <v>4</v>
      </c>
      <c r="K46" s="5">
        <f>88+1484</f>
        <v>1572</v>
      </c>
    </row>
    <row r="47" spans="2:20" x14ac:dyDescent="0.2">
      <c r="B47" t="s">
        <v>47</v>
      </c>
      <c r="K47" s="5">
        <v>55</v>
      </c>
    </row>
    <row r="48" spans="2:20" x14ac:dyDescent="0.2">
      <c r="B48" t="s">
        <v>43</v>
      </c>
      <c r="K48" s="5">
        <v>3997</v>
      </c>
    </row>
    <row r="49" spans="2:11" x14ac:dyDescent="0.2">
      <c r="B49" t="s">
        <v>42</v>
      </c>
      <c r="K49" s="5">
        <f>SUM(K42:K48)</f>
        <v>10993</v>
      </c>
    </row>
    <row r="52" spans="2:11" x14ac:dyDescent="0.2">
      <c r="B52" t="s">
        <v>49</v>
      </c>
      <c r="K52" s="5">
        <f>+Model!K24</f>
        <v>75</v>
      </c>
    </row>
    <row r="53" spans="2:11" x14ac:dyDescent="0.2">
      <c r="B53" t="s">
        <v>50</v>
      </c>
      <c r="K53" s="3">
        <v>75</v>
      </c>
    </row>
    <row r="54" spans="2:11" x14ac:dyDescent="0.2">
      <c r="B54" t="s">
        <v>51</v>
      </c>
      <c r="K54" s="3">
        <v>101</v>
      </c>
    </row>
    <row r="55" spans="2:11" x14ac:dyDescent="0.2">
      <c r="B55" t="s">
        <v>52</v>
      </c>
      <c r="K55" s="3">
        <v>83</v>
      </c>
    </row>
    <row r="56" spans="2:11" x14ac:dyDescent="0.2">
      <c r="B56" t="s">
        <v>53</v>
      </c>
      <c r="K56" s="3">
        <v>325</v>
      </c>
    </row>
    <row r="57" spans="2:11" x14ac:dyDescent="0.2">
      <c r="B57" t="s">
        <v>31</v>
      </c>
      <c r="K57" s="3">
        <v>-2</v>
      </c>
    </row>
    <row r="58" spans="2:11" x14ac:dyDescent="0.2">
      <c r="B58" t="s">
        <v>41</v>
      </c>
      <c r="K58" s="3">
        <v>15</v>
      </c>
    </row>
    <row r="59" spans="2:11" x14ac:dyDescent="0.2">
      <c r="B59" t="s">
        <v>54</v>
      </c>
      <c r="K59" s="3">
        <f>562-137-46+69+21-203</f>
        <v>266</v>
      </c>
    </row>
    <row r="60" spans="2:11" x14ac:dyDescent="0.2">
      <c r="B60" t="s">
        <v>55</v>
      </c>
      <c r="K60" s="5">
        <f>SUM(K53:K59)</f>
        <v>863</v>
      </c>
    </row>
    <row r="62" spans="2:11" x14ac:dyDescent="0.2">
      <c r="B62" t="s">
        <v>56</v>
      </c>
      <c r="K62" s="3">
        <v>-93</v>
      </c>
    </row>
    <row r="63" spans="2:11" x14ac:dyDescent="0.2">
      <c r="B63" t="s">
        <v>57</v>
      </c>
      <c r="K63" s="3">
        <f>-662-101+577-1</f>
        <v>-187</v>
      </c>
    </row>
    <row r="64" spans="2:11" x14ac:dyDescent="0.2">
      <c r="B64" t="s">
        <v>58</v>
      </c>
      <c r="K64" s="3">
        <f>SUM(K62:K63)</f>
        <v>-280</v>
      </c>
    </row>
    <row r="66" spans="2:11" x14ac:dyDescent="0.2">
      <c r="B66" t="s">
        <v>59</v>
      </c>
      <c r="K66" s="3">
        <v>-6</v>
      </c>
    </row>
    <row r="67" spans="2:11" x14ac:dyDescent="0.2">
      <c r="B67" t="s">
        <v>60</v>
      </c>
      <c r="K67" s="3">
        <v>105</v>
      </c>
    </row>
    <row r="68" spans="2:11" x14ac:dyDescent="0.2">
      <c r="B68" t="s">
        <v>31</v>
      </c>
      <c r="K68" s="3">
        <v>-150</v>
      </c>
    </row>
    <row r="69" spans="2:11" x14ac:dyDescent="0.2">
      <c r="B69" t="s">
        <v>61</v>
      </c>
      <c r="K69" s="3">
        <f>SUM(K66:K68)</f>
        <v>-51</v>
      </c>
    </row>
    <row r="70" spans="2:11" x14ac:dyDescent="0.2">
      <c r="B70" t="s">
        <v>62</v>
      </c>
      <c r="K70" s="3">
        <v>-5</v>
      </c>
    </row>
    <row r="71" spans="2:11" x14ac:dyDescent="0.2">
      <c r="B71" t="s">
        <v>63</v>
      </c>
      <c r="K71" s="5">
        <f>+K69+K70+K64+K60</f>
        <v>527</v>
      </c>
    </row>
  </sheetData>
  <phoneticPr fontId="5" type="noConversion"/>
  <hyperlinks>
    <hyperlink ref="A1" location="Main!A1" display="Main" xr:uid="{A9151361-E246-479F-86B4-617E3B597693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</cp:lastModifiedBy>
  <dcterms:created xsi:type="dcterms:W3CDTF">2022-07-26T02:29:14Z</dcterms:created>
  <dcterms:modified xsi:type="dcterms:W3CDTF">2023-03-24T06:15:44Z</dcterms:modified>
</cp:coreProperties>
</file>