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2E0D9861-D47E-4B59-865B-7D39ECFF3979}" xr6:coauthVersionLast="47" xr6:coauthVersionMax="47" xr10:uidLastSave="{00000000-0000-0000-0000-000000000000}"/>
  <bookViews>
    <workbookView xWindow="40305" yWindow="90" windowWidth="11310" windowHeight="20805" activeTab="1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2" l="1"/>
  <c r="AA7" i="2"/>
  <c r="S21" i="2"/>
  <c r="S6" i="2"/>
  <c r="Z7" i="2"/>
  <c r="R22" i="2"/>
  <c r="R18" i="2"/>
  <c r="R17" i="2"/>
  <c r="R15" i="2"/>
  <c r="R14" i="2"/>
  <c r="R13" i="2"/>
  <c r="R12" i="2"/>
  <c r="R8" i="2"/>
  <c r="X27" i="2"/>
  <c r="V27" i="2"/>
  <c r="AB7" i="2" l="1"/>
  <c r="AC7" i="2" s="1"/>
  <c r="AD7" i="2" s="1"/>
  <c r="AE7" i="2" s="1"/>
  <c r="AF7" i="2" s="1"/>
  <c r="AG7" i="2" s="1"/>
  <c r="AH7" i="2" s="1"/>
  <c r="AH8" i="2" s="1"/>
  <c r="Y5" i="2"/>
  <c r="X5" i="2"/>
  <c r="W5" i="2"/>
  <c r="Q22" i="2"/>
  <c r="Q21" i="2"/>
  <c r="Q18" i="2"/>
  <c r="Q17" i="2"/>
  <c r="Q15" i="2"/>
  <c r="Q14" i="2"/>
  <c r="Q13" i="2"/>
  <c r="Q12" i="2"/>
  <c r="Q8" i="2"/>
  <c r="P21" i="2"/>
  <c r="Y7" i="2"/>
  <c r="Y6" i="2"/>
  <c r="Z5" i="2" s="1"/>
  <c r="P14" i="2"/>
  <c r="P12" i="2"/>
  <c r="P8" i="2"/>
  <c r="P22" i="2" s="1"/>
  <c r="Z8" i="2" l="1"/>
  <c r="AE8" i="2"/>
  <c r="AC8" i="2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AG8" i="2"/>
  <c r="AF8" i="2"/>
  <c r="AD8" i="2"/>
  <c r="AA8" i="2"/>
  <c r="AB8" i="2"/>
  <c r="R21" i="2"/>
  <c r="P13" i="2"/>
  <c r="P15" i="2" s="1"/>
  <c r="P17" i="2" s="1"/>
  <c r="P18" i="2" s="1"/>
  <c r="AA6" i="2"/>
  <c r="X26" i="2" l="1"/>
  <c r="X28" i="2" s="1"/>
  <c r="X29" i="2" s="1"/>
  <c r="AB6" i="2"/>
  <c r="O14" i="2"/>
  <c r="O12" i="2"/>
  <c r="O8" i="2"/>
  <c r="O22" i="2" s="1"/>
  <c r="N14" i="2"/>
  <c r="N12" i="2"/>
  <c r="N8" i="2"/>
  <c r="N22" i="2" s="1"/>
  <c r="M14" i="2"/>
  <c r="M12" i="2"/>
  <c r="M13" i="2" s="1"/>
  <c r="M15" i="2" s="1"/>
  <c r="M17" i="2" s="1"/>
  <c r="M18" i="2" s="1"/>
  <c r="M8" i="2"/>
  <c r="M22" i="2" s="1"/>
  <c r="O21" i="2"/>
  <c r="K53" i="2"/>
  <c r="K54" i="2" s="1"/>
  <c r="K36" i="2"/>
  <c r="K37" i="2"/>
  <c r="K24" i="2"/>
  <c r="K26" i="2"/>
  <c r="K30" i="2"/>
  <c r="N21" i="2"/>
  <c r="M21" i="2"/>
  <c r="X2" i="2"/>
  <c r="Y2" i="2" s="1"/>
  <c r="Z2" i="2" s="1"/>
  <c r="AA2" i="2" s="1"/>
  <c r="K21" i="2"/>
  <c r="J21" i="2"/>
  <c r="I21" i="2"/>
  <c r="L21" i="2"/>
  <c r="E12" i="2"/>
  <c r="E8" i="2"/>
  <c r="E22" i="2" s="1"/>
  <c r="I12" i="2"/>
  <c r="I8" i="2"/>
  <c r="I22" i="2" s="1"/>
  <c r="F12" i="2"/>
  <c r="F8" i="2"/>
  <c r="F22" i="2" s="1"/>
  <c r="J14" i="2"/>
  <c r="J12" i="2"/>
  <c r="J8" i="2"/>
  <c r="J22" i="2" s="1"/>
  <c r="G14" i="2"/>
  <c r="G12" i="2"/>
  <c r="G8" i="2"/>
  <c r="G22" i="2" s="1"/>
  <c r="K14" i="2"/>
  <c r="K12" i="2"/>
  <c r="K8" i="2"/>
  <c r="K22" i="2" s="1"/>
  <c r="X30" i="2" l="1"/>
  <c r="AC6" i="2"/>
  <c r="AB5" i="2"/>
  <c r="N13" i="2"/>
  <c r="N15" i="2" s="1"/>
  <c r="N17" i="2" s="1"/>
  <c r="N18" i="2" s="1"/>
  <c r="O13" i="2"/>
  <c r="O15" i="2" s="1"/>
  <c r="O17" i="2" s="1"/>
  <c r="O18" i="2" s="1"/>
  <c r="K32" i="2"/>
  <c r="K41" i="2"/>
  <c r="G13" i="2"/>
  <c r="G15" i="2" s="1"/>
  <c r="G17" i="2" s="1"/>
  <c r="G18" i="2" s="1"/>
  <c r="E13" i="2"/>
  <c r="E15" i="2" s="1"/>
  <c r="E17" i="2" s="1"/>
  <c r="E18" i="2" s="1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AD6" i="2" l="1"/>
  <c r="AC5" i="2"/>
  <c r="K18" i="2"/>
  <c r="K43" i="2"/>
  <c r="O4" i="1"/>
  <c r="O7" i="1" s="1"/>
  <c r="L36" i="2"/>
  <c r="L37" i="2"/>
  <c r="L24" i="2"/>
  <c r="L26" i="2"/>
  <c r="L30" i="2"/>
  <c r="H14" i="2"/>
  <c r="L14" i="2"/>
  <c r="H12" i="2"/>
  <c r="L12" i="2"/>
  <c r="L8" i="2"/>
  <c r="H8" i="2"/>
  <c r="H22" i="2" s="1"/>
  <c r="AE6" i="2" l="1"/>
  <c r="AD5" i="2"/>
  <c r="L22" i="2"/>
  <c r="L13" i="2"/>
  <c r="L15" i="2" s="1"/>
  <c r="L17" i="2" s="1"/>
  <c r="L18" i="2" s="1"/>
  <c r="L32" i="2"/>
  <c r="L41" i="2"/>
  <c r="H13" i="2"/>
  <c r="H15" i="2" s="1"/>
  <c r="H17" i="2" s="1"/>
  <c r="H18" i="2" s="1"/>
  <c r="AF6" i="2" l="1"/>
  <c r="AE5" i="2"/>
  <c r="AG6" i="2" l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AF5" i="2"/>
  <c r="AG5" i="2" l="1"/>
  <c r="V26" i="2" l="1"/>
  <c r="V28" i="2" s="1"/>
  <c r="V29" i="2" s="1"/>
  <c r="AH5" i="2"/>
  <c r="V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  <author>tc={939E2C75-C2A6-4046-AF27-AFF4D420F9BB}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Y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  <comment ref="Y7" authorId="3" shapeId="0" xr:uid="{939E2C75-C2A6-4046-AF27-AFF4D420F9BB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<sst xmlns="http://schemas.openxmlformats.org/spreadsheetml/2006/main" count="89" uniqueCount="75">
  <si>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</si>
  <si>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</si>
  <si>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</si>
  <si>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</si>
  <si>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</si>
  <si>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</si>
  <si>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</si>
  <si>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</si>
  <si>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</si>
  <si>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</si>
  <si>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</si>
  <si>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</si>
  <si>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</si>
  <si>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</si>
  <si>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</si>
  <si>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</si>
  <si>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</si>
  <si>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</si>
  <si>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</si>
  <si>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</si>
  <si>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</si>
  <si>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</si>
  <si>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</si>
  <si>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</si>
  <si>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</si>
  <si>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</si>
  <si>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</si>
  <si>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</si>
  <si>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</si>
  <si>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</si>
  <si>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</si>
  <si>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</si>
  <si>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</si>
  <si>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</si>
  <si>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</si>
  <si>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</si>
  <si>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</si>
  <si>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</si>
  <si>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</si>
  <si>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</si>
  <si>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</si>
  <si>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</si>
  <si>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</si>
  <si>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</si>
  <si>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</si>
  <si>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</si>
  <si>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</si>
  <si>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</si>
  <si>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</si>
  <si>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</si>
  <si>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</si>
  <si>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</si>
  <si>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</si>
  <si>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</si>
  <si>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</si>
  <si>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</si>
  <si>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</si>
  <si>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</si>
  <si>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</si>
  <si>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</si>
  <si>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Discount Rate</t>
  </si>
  <si>
    <t>Terminal Rate</t>
  </si>
  <si>
    <t>Growth Rate</t>
  </si>
  <si>
    <t>NPV</t>
  </si>
  <si>
    <t>Share Price</t>
  </si>
  <si>
    <t>Delta</t>
  </si>
  <si>
    <t>Market Cap</t>
  </si>
  <si>
    <t>FY</t>
  </si>
  <si>
    <t>Q323</t>
  </si>
  <si>
    <t>YOY%</t>
  </si>
  <si>
    <t>Q423</t>
  </si>
  <si>
    <t>Top</t>
  </si>
  <si>
    <t>Bottom</t>
  </si>
  <si>
    <t>if growth accelerates up</t>
  </si>
  <si>
    <t>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</si>
</sst>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9" fontId="0" fillId="0" borderId="1" xfId="4" applyFont="1" applyBorder="1"/>
    <xf numFmtId="3" fontId="0" fillId="0" borderId="1" xfId="0" applyNumberFormat="1" applyBorder="1"/>
    <xf numFmtId="44" fontId="0" fillId="0" borderId="1" xfId="3" applyFont="1" applyBorder="1"/>
    <xf numFmtId="44" fontId="1" fillId="0" borderId="1" xfId="3" applyFont="1" applyBorder="1"/>
    <xf numFmtId="9" fontId="1" fillId="0" borderId="1" xfId="4" applyFont="1" applyBorder="1"/>
    <xf numFmtId="164" fontId="0" fillId="0" borderId="1" xfId="2" applyNumberFormat="1" applyFont="1" applyBorder="1"/>
    <xf numFmtId="9" fontId="0" fillId="0" borderId="0" xfId="4" applyFont="1"/>
    <xf numFmtId="165" fontId="1" fillId="0" borderId="1" xfId="4" applyNumberFormat="1" applyFont="1" applyBorder="1"/>
    <xf numFmtId="165" fontId="0" fillId="0" borderId="0" xfId="4" applyNumberFormat="1" applyFont="1"/>
    <xf numFmtId="10" fontId="0" fillId="0" borderId="0" xfId="4" applyNumberFormat="1" applyFont="1"/>
    <xf numFmtId="8" fontId="0" fillId="0" borderId="1" xfId="3" applyNumberFormat="1" applyFont="1" applyBorder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Y6" dT="2022-09-02T14:59:40.61" personId="{6EBEE36F-B86D-4667-B671-D0667117F4FF}" id="{95169845-1F7F-4051-990A-FE3D69449576}">
    <text>Q2: 1610-1630m</text>
  </threadedComment>
  <threadedComment ref="Y6" dT="2022-09-02T15:01:04.51" personId="{6EBEE36F-B86D-4667-B671-D0667117F4FF}" id="{618BFB8A-809A-468A-BF3E-6286A5CBAEB3}" parentId="{95169845-1F7F-4051-990A-FE3D69449576}">
    <text>Q1: 1600-1620m</text>
  </threadedComment>
  <threadedComment ref="Y7" dT="2022-09-02T14:59:40.61" personId="{6EBEE36F-B86D-4667-B671-D0667117F4FF}" id="{939E2C75-C2A6-4046-AF27-AFF4D420F9BB}">
    <text>Q2: 1610-1630m</text>
  </threadedComment>
  <threadedComment ref="Y7" dT="2022-09-02T15:01:04.51" personId="{6EBEE36F-B86D-4667-B671-D0667117F4FF}" id="{67F1968D-792E-4F6B-B86B-D7480C200BB9}" parentId="{939E2C75-C2A6-4046-AF27-AFF4D420F9BB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opLeftCell="D1" workbookViewId="0">
      <selection activeCell="O8" sqref="N2:O8"/>
    </sheetView>
  </sheetViews>
  <sheetFormatPr defaultRowHeight="12.75" x14ac:dyDescent="0.2"/>
  <sheetData>
    <row r="2" spans="14:16" x14ac:dyDescent="0.2">
      <c r="N2" t="s">
        <v>0</v>
      </c>
      <c r="O2" s="1">
        <v>129.74</v>
      </c>
    </row>
    <row r="3" spans="14:16" x14ac:dyDescent="0.2">
      <c r="N3" t="s">
        <v>1</v>
      </c>
      <c r="O3" s="5">
        <v>328</v>
      </c>
      <c r="P3" s="2"/>
    </row>
    <row r="4" spans="14:16" x14ac:dyDescent="0.2">
      <c r="N4" t="s">
        <v>2</v>
      </c>
      <c r="O4" s="5">
        <f>+O2*O3</f>
        <v>42554.720000000001</v>
      </c>
    </row>
    <row r="5" spans="14:16" x14ac:dyDescent="0.2">
      <c r="N5" t="s">
        <v>3</v>
      </c>
      <c r="O5" s="5">
        <v>2080</v>
      </c>
      <c r="P5" s="2"/>
    </row>
    <row r="6" spans="14:16" x14ac:dyDescent="0.2">
      <c r="N6" t="s">
        <v>4</v>
      </c>
      <c r="O6" s="5">
        <v>1736.826</v>
      </c>
      <c r="P6" s="2"/>
    </row>
    <row r="7" spans="14:16" x14ac:dyDescent="0.2">
      <c r="N7" t="s">
        <v>5</v>
      </c>
      <c r="O7" s="5">
        <f>+O4-O5+O6</f>
        <v>42211.546000000002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DC54"/>
  <sheetViews>
    <sheetView tabSelected="1" zoomScale="130" zoomScaleNormal="13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S10" sqref="S10"/>
    </sheetView>
  </sheetViews>
  <sheetFormatPr defaultRowHeight="12.75" x14ac:dyDescent="0.2"/>
  <cols>
    <col min="1" max="1" width="5" bestFit="1" customWidth="1"/>
    <col min="2" max="2" width="13.28515625" customWidth="1"/>
    <col min="3" max="13" width="9.140625" style="2"/>
    <col min="14" max="14" width="10.140625" style="2" bestFit="1" customWidth="1"/>
    <col min="18" max="18" width="10.140625" bestFit="1" customWidth="1"/>
    <col min="19" max="19" width="9.140625" bestFit="1" customWidth="1"/>
    <col min="21" max="21" width="12.7109375" bestFit="1" customWidth="1"/>
    <col min="22" max="23" width="11.28515625" bestFit="1" customWidth="1"/>
    <col min="24" max="24" width="14.28515625" customWidth="1"/>
  </cols>
  <sheetData>
    <row r="1" spans="1:107" x14ac:dyDescent="0.2">
      <c r="A1" s="8" t="s">
        <v>6</v>
      </c>
      <c r="L1" s="13">
        <v>44742</v>
      </c>
      <c r="M1" s="13">
        <v>44834</v>
      </c>
      <c r="N1" s="13">
        <v>44926</v>
      </c>
      <c r="O1" s="14">
        <v>45016</v>
      </c>
      <c r="P1" s="13">
        <v>45107</v>
      </c>
      <c r="Q1" s="13">
        <v>45199</v>
      </c>
      <c r="R1" s="13">
        <v>45291</v>
      </c>
      <c r="S1" s="14">
        <v>45382</v>
      </c>
      <c r="V1" t="s">
        <v>67</v>
      </c>
    </row>
    <row r="2" spans="1:107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68</v>
      </c>
      <c r="R2" s="2" t="s">
        <v>70</v>
      </c>
      <c r="S2" s="2" t="s">
        <v>74</v>
      </c>
      <c r="T2" s="2"/>
      <c r="U2" s="2"/>
      <c r="V2" s="2">
        <v>2019</v>
      </c>
      <c r="W2">
        <v>2020</v>
      </c>
      <c r="X2">
        <f>+W2+1</f>
        <v>2021</v>
      </c>
      <c r="Y2">
        <f t="shared" ref="Y2:AA2" si="0">+X2+1</f>
        <v>2022</v>
      </c>
      <c r="Z2">
        <f t="shared" si="0"/>
        <v>2023</v>
      </c>
      <c r="AA2">
        <f t="shared" si="0"/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</row>
    <row r="3" spans="1:107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</row>
    <row r="4" spans="1:107" x14ac:dyDescent="0.2">
      <c r="Z4" s="25"/>
    </row>
    <row r="5" spans="1:107" x14ac:dyDescent="0.2">
      <c r="V5" t="s">
        <v>69</v>
      </c>
      <c r="W5" s="22">
        <f t="shared" ref="W5:AH5" si="1">(W6-V6)/V6</f>
        <v>0.66344892221180896</v>
      </c>
      <c r="X5" s="22">
        <f t="shared" si="1"/>
        <v>0.7047919849668417</v>
      </c>
      <c r="Y5" s="22">
        <f t="shared" si="1"/>
        <v>0.62823294296956378</v>
      </c>
      <c r="Z5" s="24">
        <f t="shared" si="1"/>
        <v>0.25783535311324701</v>
      </c>
      <c r="AA5" s="24">
        <f>(AA6-Z6)/Z6</f>
        <v>0.23999999999999994</v>
      </c>
      <c r="AB5" s="24">
        <f t="shared" si="1"/>
        <v>0.24000000000000005</v>
      </c>
      <c r="AC5" s="24">
        <f t="shared" si="1"/>
        <v>0.23999999999999996</v>
      </c>
      <c r="AD5" s="24">
        <f t="shared" si="1"/>
        <v>0.23999999999999994</v>
      </c>
      <c r="AE5" s="24">
        <f t="shared" si="1"/>
        <v>0.24000000000000002</v>
      </c>
      <c r="AF5" s="24">
        <f t="shared" si="1"/>
        <v>0.23999999999999994</v>
      </c>
      <c r="AG5" s="24">
        <f t="shared" si="1"/>
        <v>0.23999999999999994</v>
      </c>
      <c r="AH5" s="24">
        <f t="shared" si="1"/>
        <v>1.0000000000000097E-2</v>
      </c>
    </row>
    <row r="6" spans="1:107" s="3" customFormat="1" x14ac:dyDescent="0.2">
      <c r="B6" s="3" t="s">
        <v>7</v>
      </c>
      <c r="C6" s="4"/>
      <c r="D6" s="4"/>
      <c r="E6" s="4">
        <v>154.67500000000001</v>
      </c>
      <c r="F6" s="4">
        <v>177.53100000000001</v>
      </c>
      <c r="G6" s="4">
        <v>198.54900000000001</v>
      </c>
      <c r="H6" s="4">
        <v>233.54900000000001</v>
      </c>
      <c r="I6" s="4">
        <v>270.488</v>
      </c>
      <c r="J6" s="4">
        <v>326.19799999999998</v>
      </c>
      <c r="K6" s="4">
        <v>363.03</v>
      </c>
      <c r="L6" s="4">
        <v>406.13799999999998</v>
      </c>
      <c r="M6" s="4">
        <v>436.53300000000002</v>
      </c>
      <c r="N6" s="4">
        <v>469.399</v>
      </c>
      <c r="O6" s="3">
        <v>481.714</v>
      </c>
      <c r="P6" s="3">
        <v>509.64</v>
      </c>
      <c r="Q6" s="3">
        <v>547.53599999999994</v>
      </c>
      <c r="R6" s="3">
        <v>589.649</v>
      </c>
      <c r="S6" s="3">
        <f>(587+591)/2</f>
        <v>589</v>
      </c>
      <c r="V6" s="3">
        <v>362.78</v>
      </c>
      <c r="W6" s="3">
        <v>603.46600000000001</v>
      </c>
      <c r="X6" s="3">
        <v>1028.7840000000001</v>
      </c>
      <c r="Y6" s="3">
        <f>SUM($K$6:$N$6)</f>
        <v>1675.1</v>
      </c>
      <c r="Z6" s="3">
        <v>2107</v>
      </c>
      <c r="AA6" s="3">
        <f t="shared" ref="AA6:AG6" si="2">Z6*(1+$V$23)</f>
        <v>2612.6799999999998</v>
      </c>
      <c r="AB6" s="3">
        <f t="shared" si="2"/>
        <v>3239.7231999999999</v>
      </c>
      <c r="AC6" s="3">
        <f t="shared" si="2"/>
        <v>4017.2567679999997</v>
      </c>
      <c r="AD6" s="3">
        <f t="shared" si="2"/>
        <v>4981.3983923199994</v>
      </c>
      <c r="AE6" s="3">
        <f t="shared" si="2"/>
        <v>6176.9340064767994</v>
      </c>
      <c r="AF6" s="3">
        <f t="shared" si="2"/>
        <v>7659.3981680312309</v>
      </c>
      <c r="AG6" s="3">
        <f t="shared" si="2"/>
        <v>9497.6537283587259</v>
      </c>
      <c r="AH6" s="3">
        <f>AG6*(1+$V$24)</f>
        <v>9592.630265642314</v>
      </c>
      <c r="AI6" s="3">
        <f t="shared" ref="AI6:CT6" si="3">AH6*(1+$V$24)</f>
        <v>9688.5565682987381</v>
      </c>
      <c r="AJ6" s="3">
        <f t="shared" si="3"/>
        <v>9785.4421339817254</v>
      </c>
      <c r="AK6" s="3">
        <f t="shared" si="3"/>
        <v>9883.2965553215436</v>
      </c>
      <c r="AL6" s="3">
        <f t="shared" si="3"/>
        <v>9982.1295208747597</v>
      </c>
      <c r="AM6" s="3">
        <f t="shared" si="3"/>
        <v>10081.950816083507</v>
      </c>
      <c r="AN6" s="3">
        <f t="shared" si="3"/>
        <v>10182.770324244342</v>
      </c>
      <c r="AO6" s="3">
        <f t="shared" si="3"/>
        <v>10284.598027486785</v>
      </c>
      <c r="AP6" s="3">
        <f t="shared" si="3"/>
        <v>10387.444007761653</v>
      </c>
      <c r="AQ6" s="3">
        <f t="shared" si="3"/>
        <v>10491.318447839269</v>
      </c>
      <c r="AR6" s="3">
        <f t="shared" si="3"/>
        <v>10596.231632317662</v>
      </c>
      <c r="AS6" s="3">
        <f t="shared" si="3"/>
        <v>10702.193948640839</v>
      </c>
      <c r="AT6" s="3">
        <f t="shared" si="3"/>
        <v>10809.215888127248</v>
      </c>
      <c r="AU6" s="3">
        <f t="shared" si="3"/>
        <v>10917.308047008521</v>
      </c>
      <c r="AV6" s="3">
        <f t="shared" si="3"/>
        <v>11026.481127478606</v>
      </c>
      <c r="AW6" s="3">
        <f t="shared" si="3"/>
        <v>11136.745938753393</v>
      </c>
      <c r="AX6" s="3">
        <f t="shared" si="3"/>
        <v>11248.113398140928</v>
      </c>
      <c r="AY6" s="3">
        <f t="shared" si="3"/>
        <v>11360.594532122337</v>
      </c>
      <c r="AZ6" s="3">
        <f t="shared" si="3"/>
        <v>11474.200477443561</v>
      </c>
      <c r="BA6" s="3">
        <f t="shared" si="3"/>
        <v>11588.942482217997</v>
      </c>
      <c r="BB6" s="3">
        <f t="shared" si="3"/>
        <v>11704.831907040178</v>
      </c>
      <c r="BC6" s="3">
        <f t="shared" si="3"/>
        <v>11821.880226110579</v>
      </c>
      <c r="BD6" s="3">
        <f t="shared" si="3"/>
        <v>11940.099028371686</v>
      </c>
      <c r="BE6" s="3">
        <f t="shared" si="3"/>
        <v>12059.500018655403</v>
      </c>
      <c r="BF6" s="3">
        <f t="shared" si="3"/>
        <v>12180.095018841957</v>
      </c>
      <c r="BG6" s="3">
        <f t="shared" si="3"/>
        <v>12301.895969030376</v>
      </c>
      <c r="BH6" s="3">
        <f t="shared" si="3"/>
        <v>12424.91492872068</v>
      </c>
      <c r="BI6" s="3">
        <f t="shared" si="3"/>
        <v>12549.164078007887</v>
      </c>
      <c r="BJ6" s="3">
        <f t="shared" si="3"/>
        <v>12674.655718787966</v>
      </c>
      <c r="BK6" s="3">
        <f t="shared" si="3"/>
        <v>12801.402275975846</v>
      </c>
      <c r="BL6" s="3">
        <f t="shared" si="3"/>
        <v>12929.416298735605</v>
      </c>
      <c r="BM6" s="3">
        <f t="shared" si="3"/>
        <v>13058.710461722962</v>
      </c>
      <c r="BN6" s="3">
        <f t="shared" si="3"/>
        <v>13189.297566340192</v>
      </c>
      <c r="BO6" s="3">
        <f t="shared" si="3"/>
        <v>13321.190542003595</v>
      </c>
      <c r="BP6" s="3">
        <f t="shared" si="3"/>
        <v>13454.40244742363</v>
      </c>
      <c r="BQ6" s="3">
        <f t="shared" si="3"/>
        <v>13588.946471897867</v>
      </c>
      <c r="BR6" s="3">
        <f t="shared" si="3"/>
        <v>13724.835936616846</v>
      </c>
      <c r="BS6" s="3">
        <f t="shared" si="3"/>
        <v>13862.084295983015</v>
      </c>
      <c r="BT6" s="3">
        <f t="shared" si="3"/>
        <v>14000.705138942845</v>
      </c>
      <c r="BU6" s="3">
        <f t="shared" si="3"/>
        <v>14140.712190332273</v>
      </c>
      <c r="BV6" s="3">
        <f t="shared" si="3"/>
        <v>14282.119312235596</v>
      </c>
      <c r="BW6" s="3">
        <f t="shared" si="3"/>
        <v>14424.940505357952</v>
      </c>
      <c r="BX6" s="3">
        <f t="shared" si="3"/>
        <v>14569.189910411531</v>
      </c>
      <c r="BY6" s="3">
        <f t="shared" si="3"/>
        <v>14714.881809515646</v>
      </c>
      <c r="BZ6" s="3">
        <f t="shared" si="3"/>
        <v>14862.030627610802</v>
      </c>
      <c r="CA6" s="3">
        <f t="shared" si="3"/>
        <v>15010.650933886911</v>
      </c>
      <c r="CB6" s="3">
        <f t="shared" si="3"/>
        <v>15160.757443225781</v>
      </c>
      <c r="CC6" s="3">
        <f t="shared" si="3"/>
        <v>15312.36501765804</v>
      </c>
      <c r="CD6" s="3">
        <f t="shared" si="3"/>
        <v>15465.488667834619</v>
      </c>
      <c r="CE6" s="3">
        <f t="shared" si="3"/>
        <v>15620.143554512966</v>
      </c>
      <c r="CF6" s="3">
        <f t="shared" si="3"/>
        <v>15776.344990058096</v>
      </c>
      <c r="CG6" s="3">
        <f t="shared" si="3"/>
        <v>15934.108439958678</v>
      </c>
      <c r="CH6" s="3">
        <f t="shared" si="3"/>
        <v>16093.449524358264</v>
      </c>
      <c r="CI6" s="3">
        <f t="shared" si="3"/>
        <v>16254.384019601846</v>
      </c>
      <c r="CJ6" s="3">
        <f t="shared" si="3"/>
        <v>16416.927859797866</v>
      </c>
      <c r="CK6" s="3">
        <f t="shared" si="3"/>
        <v>16581.097138395846</v>
      </c>
      <c r="CL6" s="3">
        <f t="shared" si="3"/>
        <v>16746.908109779804</v>
      </c>
      <c r="CM6" s="3">
        <f t="shared" si="3"/>
        <v>16914.377190877603</v>
      </c>
      <c r="CN6" s="3">
        <f t="shared" si="3"/>
        <v>17083.520962786381</v>
      </c>
      <c r="CO6" s="3">
        <f t="shared" si="3"/>
        <v>17254.356172414246</v>
      </c>
      <c r="CP6" s="3">
        <f t="shared" si="3"/>
        <v>17426.899734138387</v>
      </c>
      <c r="CQ6" s="3">
        <f t="shared" si="3"/>
        <v>17601.168731479771</v>
      </c>
      <c r="CR6" s="3">
        <f t="shared" si="3"/>
        <v>17777.180418794567</v>
      </c>
      <c r="CS6" s="3">
        <f t="shared" si="3"/>
        <v>17954.952222982512</v>
      </c>
      <c r="CT6" s="3">
        <f t="shared" si="3"/>
        <v>18134.501745212339</v>
      </c>
      <c r="CU6" s="3">
        <f t="shared" ref="CU6:DC6" si="4">CT6*(1+$V$24)</f>
        <v>18315.846762664463</v>
      </c>
      <c r="CV6" s="3">
        <f t="shared" si="4"/>
        <v>18499.00523029111</v>
      </c>
      <c r="CW6" s="3">
        <f t="shared" si="4"/>
        <v>18683.99528259402</v>
      </c>
      <c r="CX6" s="3">
        <f t="shared" si="4"/>
        <v>18870.83523541996</v>
      </c>
      <c r="CY6" s="3">
        <f t="shared" si="4"/>
        <v>19059.543587774158</v>
      </c>
      <c r="CZ6" s="3">
        <f t="shared" si="4"/>
        <v>19250.1390236519</v>
      </c>
      <c r="DA6" s="3">
        <f t="shared" si="4"/>
        <v>19442.640413888421</v>
      </c>
      <c r="DB6" s="3">
        <f t="shared" si="4"/>
        <v>19637.066818027306</v>
      </c>
      <c r="DC6" s="3">
        <f t="shared" si="4"/>
        <v>19833.437486207578</v>
      </c>
    </row>
    <row r="7" spans="1:107" s="5" customFormat="1" x14ac:dyDescent="0.2">
      <c r="B7" s="5" t="s">
        <v>20</v>
      </c>
      <c r="C7" s="6"/>
      <c r="D7" s="6"/>
      <c r="E7" s="6">
        <v>33.984000000000002</v>
      </c>
      <c r="F7" s="6">
        <v>40.856000000000002</v>
      </c>
      <c r="G7" s="6">
        <v>46.665999999999997</v>
      </c>
      <c r="H7" s="6">
        <v>57.097999999999999</v>
      </c>
      <c r="I7" s="6">
        <v>63.332000000000001</v>
      </c>
      <c r="J7" s="6">
        <v>67.149000000000001</v>
      </c>
      <c r="K7" s="6">
        <v>74.462000000000003</v>
      </c>
      <c r="L7" s="6">
        <v>81.924999999999997</v>
      </c>
      <c r="M7" s="6">
        <v>93.599000000000004</v>
      </c>
      <c r="N7" s="6">
        <v>96.757000000000005</v>
      </c>
      <c r="O7" s="5">
        <v>99.914000000000001</v>
      </c>
      <c r="P7" s="5">
        <v>101.846</v>
      </c>
      <c r="Q7" s="5">
        <v>103.319</v>
      </c>
      <c r="R7" s="5">
        <v>104.82899999999999</v>
      </c>
      <c r="V7" s="3">
        <v>362.78</v>
      </c>
      <c r="W7" s="3">
        <v>603.46600000000001</v>
      </c>
      <c r="X7" s="3">
        <v>1028.7840000000001</v>
      </c>
      <c r="Y7" s="3">
        <f>SUM($K$6:$N$6)</f>
        <v>1675.1</v>
      </c>
      <c r="Z7" s="5">
        <f>SUM(O6:R6)</f>
        <v>2128.5389999999998</v>
      </c>
      <c r="AA7" s="3">
        <f>(2555+2575)/2</f>
        <v>2565</v>
      </c>
      <c r="AB7" s="3">
        <f t="shared" ref="AB7:AG7" si="5">AA7*(1+$X$23)</f>
        <v>3334.5</v>
      </c>
      <c r="AC7" s="3">
        <f t="shared" si="5"/>
        <v>4334.8500000000004</v>
      </c>
      <c r="AD7" s="3">
        <f t="shared" si="5"/>
        <v>5635.3050000000003</v>
      </c>
      <c r="AE7" s="3">
        <f t="shared" si="5"/>
        <v>7325.8965000000007</v>
      </c>
      <c r="AF7" s="3">
        <f t="shared" si="5"/>
        <v>9523.6654500000004</v>
      </c>
      <c r="AG7" s="3">
        <f t="shared" si="5"/>
        <v>12380.765085000001</v>
      </c>
      <c r="AH7" s="3">
        <f>AG7*(1+$V$24)</f>
        <v>12504.572735850001</v>
      </c>
      <c r="AI7" s="3">
        <f>AH7*(1+$V$24)</f>
        <v>12629.618463208501</v>
      </c>
      <c r="AJ7" s="3">
        <f t="shared" ref="AJ7:CU7" si="6">AI7*(1+$V$24)</f>
        <v>12755.914647840586</v>
      </c>
      <c r="AK7" s="3">
        <f t="shared" si="6"/>
        <v>12883.473794318992</v>
      </c>
      <c r="AL7" s="3">
        <f t="shared" si="6"/>
        <v>13012.308532262183</v>
      </c>
      <c r="AM7" s="3">
        <f t="shared" si="6"/>
        <v>13142.431617584805</v>
      </c>
      <c r="AN7" s="3">
        <f t="shared" si="6"/>
        <v>13273.855933760653</v>
      </c>
      <c r="AO7" s="3">
        <f t="shared" si="6"/>
        <v>13406.594493098261</v>
      </c>
      <c r="AP7" s="3">
        <f t="shared" si="6"/>
        <v>13540.660438029243</v>
      </c>
      <c r="AQ7" s="3">
        <f t="shared" si="6"/>
        <v>13676.067042409535</v>
      </c>
      <c r="AR7" s="3">
        <f t="shared" si="6"/>
        <v>13812.82771283363</v>
      </c>
      <c r="AS7" s="3">
        <f t="shared" si="6"/>
        <v>13950.955989961967</v>
      </c>
      <c r="AT7" s="3">
        <f t="shared" si="6"/>
        <v>14090.465549861587</v>
      </c>
      <c r="AU7" s="3">
        <f t="shared" si="6"/>
        <v>14231.370205360203</v>
      </c>
      <c r="AV7" s="3">
        <f t="shared" si="6"/>
        <v>14373.683907413804</v>
      </c>
      <c r="AW7" s="3">
        <f t="shared" si="6"/>
        <v>14517.420746487942</v>
      </c>
      <c r="AX7" s="3">
        <f t="shared" si="6"/>
        <v>14662.594953952821</v>
      </c>
      <c r="AY7" s="3">
        <f t="shared" si="6"/>
        <v>14809.220903492349</v>
      </c>
      <c r="AZ7" s="3">
        <f t="shared" si="6"/>
        <v>14957.313112527272</v>
      </c>
      <c r="BA7" s="3">
        <f t="shared" si="6"/>
        <v>15106.886243652545</v>
      </c>
      <c r="BB7" s="3">
        <f t="shared" si="6"/>
        <v>15257.95510608907</v>
      </c>
      <c r="BC7" s="3">
        <f t="shared" si="6"/>
        <v>15410.534657149961</v>
      </c>
      <c r="BD7" s="3">
        <f t="shared" si="6"/>
        <v>15564.640003721461</v>
      </c>
      <c r="BE7" s="3">
        <f t="shared" si="6"/>
        <v>15720.286403758675</v>
      </c>
      <c r="BF7" s="3">
        <f t="shared" si="6"/>
        <v>15877.489267796262</v>
      </c>
      <c r="BG7" s="3">
        <f t="shared" si="6"/>
        <v>16036.264160474224</v>
      </c>
      <c r="BH7" s="3">
        <f t="shared" si="6"/>
        <v>16196.626802078967</v>
      </c>
      <c r="BI7" s="3">
        <f t="shared" si="6"/>
        <v>16358.593070099756</v>
      </c>
      <c r="BJ7" s="3">
        <f t="shared" si="6"/>
        <v>16522.179000800752</v>
      </c>
      <c r="BK7" s="3">
        <f t="shared" si="6"/>
        <v>16687.400790808759</v>
      </c>
      <c r="BL7" s="3">
        <f t="shared" si="6"/>
        <v>16854.274798716848</v>
      </c>
      <c r="BM7" s="3">
        <f t="shared" si="6"/>
        <v>17022.817546704016</v>
      </c>
      <c r="BN7" s="3">
        <f t="shared" si="6"/>
        <v>17193.045722171057</v>
      </c>
      <c r="BO7" s="3">
        <f t="shared" si="6"/>
        <v>17364.976179392768</v>
      </c>
      <c r="BP7" s="3">
        <f t="shared" si="6"/>
        <v>17538.625941186696</v>
      </c>
      <c r="BQ7" s="3">
        <f t="shared" si="6"/>
        <v>17714.012200598561</v>
      </c>
      <c r="BR7" s="3">
        <f t="shared" si="6"/>
        <v>17891.152322604546</v>
      </c>
      <c r="BS7" s="3">
        <f t="shared" si="6"/>
        <v>18070.063845830591</v>
      </c>
      <c r="BT7" s="3">
        <f t="shared" si="6"/>
        <v>18250.764484288899</v>
      </c>
      <c r="BU7" s="3">
        <f t="shared" si="6"/>
        <v>18433.272129131787</v>
      </c>
      <c r="BV7" s="3">
        <f t="shared" si="6"/>
        <v>18617.604850423104</v>
      </c>
      <c r="BW7" s="3">
        <f t="shared" si="6"/>
        <v>18803.780898927336</v>
      </c>
      <c r="BX7" s="3">
        <f t="shared" si="6"/>
        <v>18991.818707916609</v>
      </c>
      <c r="BY7" s="3">
        <f t="shared" si="6"/>
        <v>19181.736894995774</v>
      </c>
      <c r="BZ7" s="3">
        <f t="shared" si="6"/>
        <v>19373.554263945731</v>
      </c>
      <c r="CA7" s="3">
        <f t="shared" si="6"/>
        <v>19567.289806585188</v>
      </c>
      <c r="CB7" s="3">
        <f t="shared" si="6"/>
        <v>19762.96270465104</v>
      </c>
      <c r="CC7" s="3">
        <f t="shared" si="6"/>
        <v>19960.59233169755</v>
      </c>
      <c r="CD7" s="3">
        <f t="shared" si="6"/>
        <v>20160.198255014526</v>
      </c>
      <c r="CE7" s="3">
        <f t="shared" si="6"/>
        <v>20361.800237564672</v>
      </c>
      <c r="CF7" s="3">
        <f t="shared" si="6"/>
        <v>20565.418239940318</v>
      </c>
      <c r="CG7" s="3">
        <f t="shared" si="6"/>
        <v>20771.072422339723</v>
      </c>
      <c r="CH7" s="3">
        <f t="shared" si="6"/>
        <v>20978.783146563121</v>
      </c>
      <c r="CI7" s="3">
        <f t="shared" si="6"/>
        <v>21188.570978028751</v>
      </c>
      <c r="CJ7" s="3">
        <f t="shared" si="6"/>
        <v>21400.456687809037</v>
      </c>
      <c r="CK7" s="3">
        <f t="shared" si="6"/>
        <v>21614.461254687129</v>
      </c>
      <c r="CL7" s="3">
        <f t="shared" si="6"/>
        <v>21830.605867234</v>
      </c>
      <c r="CM7" s="3">
        <f t="shared" si="6"/>
        <v>22048.911925906341</v>
      </c>
      <c r="CN7" s="3">
        <f t="shared" si="6"/>
        <v>22269.401045165403</v>
      </c>
      <c r="CO7" s="3">
        <f t="shared" si="6"/>
        <v>22492.095055617057</v>
      </c>
      <c r="CP7" s="3">
        <f t="shared" si="6"/>
        <v>22717.016006173228</v>
      </c>
      <c r="CQ7" s="3">
        <f t="shared" si="6"/>
        <v>22944.186166234958</v>
      </c>
      <c r="CR7" s="3">
        <f t="shared" si="6"/>
        <v>23173.62802789731</v>
      </c>
      <c r="CS7" s="3">
        <f t="shared" si="6"/>
        <v>23405.364308176282</v>
      </c>
      <c r="CT7" s="3">
        <f t="shared" si="6"/>
        <v>23639.417951258045</v>
      </c>
      <c r="CU7" s="3">
        <f t="shared" si="6"/>
        <v>23875.812130770624</v>
      </c>
      <c r="CV7" s="3">
        <f t="shared" ref="CV7:DC7" si="7">CU7*(1+$V$24)</f>
        <v>24114.570252078331</v>
      </c>
      <c r="CW7" s="3">
        <f t="shared" si="7"/>
        <v>24355.715954599113</v>
      </c>
      <c r="CX7" s="3">
        <f t="shared" si="7"/>
        <v>24599.273114145104</v>
      </c>
      <c r="CY7" s="3">
        <f t="shared" si="7"/>
        <v>24845.265845286554</v>
      </c>
      <c r="CZ7" s="3">
        <f t="shared" si="7"/>
        <v>25093.718503739419</v>
      </c>
      <c r="DA7" s="3">
        <f t="shared" si="7"/>
        <v>25344.655688776813</v>
      </c>
      <c r="DB7" s="3">
        <f t="shared" si="7"/>
        <v>25598.102245664581</v>
      </c>
      <c r="DC7" s="3">
        <f t="shared" si="7"/>
        <v>25854.083268121227</v>
      </c>
    </row>
    <row r="8" spans="1:107" s="5" customFormat="1" x14ac:dyDescent="0.2">
      <c r="B8" s="5" t="s">
        <v>21</v>
      </c>
      <c r="C8" s="6"/>
      <c r="D8" s="6"/>
      <c r="E8" s="6">
        <f t="shared" ref="E8:R8" si="8">+E6-E7</f>
        <v>120.691</v>
      </c>
      <c r="F8" s="6">
        <f t="shared" si="8"/>
        <v>136.67500000000001</v>
      </c>
      <c r="G8" s="6">
        <f t="shared" si="8"/>
        <v>151.88300000000001</v>
      </c>
      <c r="H8" s="6">
        <f t="shared" si="8"/>
        <v>176.45100000000002</v>
      </c>
      <c r="I8" s="6">
        <f t="shared" si="8"/>
        <v>207.15600000000001</v>
      </c>
      <c r="J8" s="6">
        <f t="shared" si="8"/>
        <v>259.04899999999998</v>
      </c>
      <c r="K8" s="6">
        <f t="shared" si="8"/>
        <v>288.56799999999998</v>
      </c>
      <c r="L8" s="6">
        <f t="shared" si="8"/>
        <v>324.21299999999997</v>
      </c>
      <c r="M8" s="6">
        <f t="shared" si="8"/>
        <v>342.93400000000003</v>
      </c>
      <c r="N8" s="6">
        <f t="shared" si="8"/>
        <v>372.642</v>
      </c>
      <c r="O8" s="6">
        <f t="shared" si="8"/>
        <v>381.8</v>
      </c>
      <c r="P8" s="6">
        <f t="shared" si="8"/>
        <v>407.79399999999998</v>
      </c>
      <c r="Q8" s="6">
        <f t="shared" si="8"/>
        <v>444.21699999999993</v>
      </c>
      <c r="R8" s="6">
        <f t="shared" si="8"/>
        <v>484.82</v>
      </c>
      <c r="Z8" s="24">
        <f t="shared" ref="Z8:AH8" si="9">(Z7-Y7)/Y7</f>
        <v>0.27069368992895937</v>
      </c>
      <c r="AA8" s="22">
        <f t="shared" si="9"/>
        <v>0.20505191589160465</v>
      </c>
      <c r="AB8" s="22">
        <f t="shared" si="9"/>
        <v>0.3</v>
      </c>
      <c r="AC8" s="22">
        <f t="shared" si="9"/>
        <v>0.3000000000000001</v>
      </c>
      <c r="AD8" s="22">
        <f t="shared" si="9"/>
        <v>0.29999999999999993</v>
      </c>
      <c r="AE8" s="22">
        <f t="shared" si="9"/>
        <v>0.30000000000000004</v>
      </c>
      <c r="AF8" s="22">
        <f t="shared" si="9"/>
        <v>0.29999999999999993</v>
      </c>
      <c r="AG8" s="22">
        <f t="shared" si="9"/>
        <v>0.30000000000000004</v>
      </c>
      <c r="AH8" s="22">
        <f t="shared" si="9"/>
        <v>9.9999999999999863E-3</v>
      </c>
    </row>
    <row r="9" spans="1:107" s="5" customFormat="1" x14ac:dyDescent="0.2">
      <c r="B9" s="5" t="s">
        <v>22</v>
      </c>
      <c r="C9" s="6"/>
      <c r="D9" s="6"/>
      <c r="E9" s="6">
        <v>56.44</v>
      </c>
      <c r="F9" s="6">
        <v>67.697999999999993</v>
      </c>
      <c r="G9" s="6">
        <v>79.266000000000005</v>
      </c>
      <c r="H9" s="6">
        <v>94.778999999999996</v>
      </c>
      <c r="I9" s="6">
        <v>112.675</v>
      </c>
      <c r="J9" s="6">
        <v>133.04900000000001</v>
      </c>
      <c r="K9" s="6">
        <v>150.608</v>
      </c>
      <c r="L9" s="6">
        <v>177.69900000000001</v>
      </c>
      <c r="M9" s="6">
        <v>205.38800000000001</v>
      </c>
      <c r="N9" s="6">
        <v>218.65600000000001</v>
      </c>
      <c r="O9" s="5">
        <v>229.47800000000001</v>
      </c>
      <c r="P9" s="5">
        <v>239.494</v>
      </c>
      <c r="Q9" s="5">
        <v>240.22499999999999</v>
      </c>
      <c r="R9" s="5">
        <v>253.25</v>
      </c>
    </row>
    <row r="10" spans="1:107" s="5" customFormat="1" x14ac:dyDescent="0.2">
      <c r="B10" s="5" t="s">
        <v>23</v>
      </c>
      <c r="C10" s="6"/>
      <c r="D10" s="6"/>
      <c r="E10" s="6">
        <v>57.142000000000003</v>
      </c>
      <c r="F10" s="6">
        <v>60.033999999999999</v>
      </c>
      <c r="G10" s="6">
        <v>64.352999999999994</v>
      </c>
      <c r="H10" s="6">
        <v>70.412000000000006</v>
      </c>
      <c r="I10" s="6">
        <v>75.826999999999998</v>
      </c>
      <c r="J10" s="6">
        <v>88.905000000000001</v>
      </c>
      <c r="K10" s="6">
        <v>101.166</v>
      </c>
      <c r="L10" s="6">
        <v>115.27</v>
      </c>
      <c r="M10" s="6">
        <v>129.49299999999999</v>
      </c>
      <c r="N10" s="6">
        <v>149.35900000000001</v>
      </c>
      <c r="O10" s="5">
        <v>144.971</v>
      </c>
      <c r="P10" s="5">
        <v>147.45500000000001</v>
      </c>
      <c r="Q10" s="5">
        <v>156.87</v>
      </c>
      <c r="R10" s="5">
        <v>159.97999999999999</v>
      </c>
    </row>
    <row r="11" spans="1:107" s="5" customFormat="1" x14ac:dyDescent="0.2">
      <c r="B11" s="5" t="s">
        <v>24</v>
      </c>
      <c r="C11" s="6"/>
      <c r="D11" s="6"/>
      <c r="E11" s="6">
        <v>16.376000000000001</v>
      </c>
      <c r="F11" s="6">
        <v>17.881</v>
      </c>
      <c r="G11" s="6">
        <v>21.094000000000001</v>
      </c>
      <c r="H11" s="6">
        <v>21.146000000000001</v>
      </c>
      <c r="I11" s="6">
        <v>23.548999999999999</v>
      </c>
      <c r="J11" s="6">
        <v>28.64</v>
      </c>
      <c r="K11" s="6">
        <v>26.38</v>
      </c>
      <c r="L11" s="6">
        <v>34.383000000000003</v>
      </c>
      <c r="M11" s="6">
        <v>39.395000000000003</v>
      </c>
      <c r="N11" s="6">
        <v>39.255000000000003</v>
      </c>
      <c r="O11" s="5">
        <v>42.320999999999998</v>
      </c>
      <c r="P11" s="5">
        <v>42.670999999999999</v>
      </c>
      <c r="Q11" s="5">
        <v>51.351999999999997</v>
      </c>
      <c r="R11" s="5">
        <v>43.847999999999999</v>
      </c>
    </row>
    <row r="12" spans="1:107" s="5" customFormat="1" x14ac:dyDescent="0.2">
      <c r="B12" s="5" t="s">
        <v>25</v>
      </c>
      <c r="C12" s="6"/>
      <c r="D12" s="6"/>
      <c r="E12" s="6">
        <f t="shared" ref="E12:R12" si="10">SUM(E9:E11)</f>
        <v>129.958</v>
      </c>
      <c r="F12" s="6">
        <f t="shared" si="10"/>
        <v>145.613</v>
      </c>
      <c r="G12" s="6">
        <f t="shared" si="10"/>
        <v>164.71299999999999</v>
      </c>
      <c r="H12" s="6">
        <f t="shared" si="10"/>
        <v>186.33699999999999</v>
      </c>
      <c r="I12" s="6">
        <f t="shared" si="10"/>
        <v>212.05100000000002</v>
      </c>
      <c r="J12" s="6">
        <f t="shared" si="10"/>
        <v>250.59399999999999</v>
      </c>
      <c r="K12" s="6">
        <f t="shared" si="10"/>
        <v>278.154</v>
      </c>
      <c r="L12" s="6">
        <f t="shared" si="10"/>
        <v>327.35199999999998</v>
      </c>
      <c r="M12" s="6">
        <f t="shared" si="10"/>
        <v>374.27599999999995</v>
      </c>
      <c r="N12" s="6">
        <f t="shared" si="10"/>
        <v>407.27</v>
      </c>
      <c r="O12" s="6">
        <f t="shared" si="10"/>
        <v>416.77</v>
      </c>
      <c r="P12" s="6">
        <f t="shared" si="10"/>
        <v>429.62</v>
      </c>
      <c r="Q12" s="6">
        <f t="shared" si="10"/>
        <v>448.447</v>
      </c>
      <c r="R12" s="6">
        <f t="shared" si="10"/>
        <v>457.07800000000003</v>
      </c>
    </row>
    <row r="13" spans="1:107" s="5" customFormat="1" x14ac:dyDescent="0.2">
      <c r="B13" s="5" t="s">
        <v>26</v>
      </c>
      <c r="C13" s="6"/>
      <c r="D13" s="6"/>
      <c r="E13" s="6">
        <f t="shared" ref="E13:R13" si="11">E8-E12</f>
        <v>-9.2669999999999959</v>
      </c>
      <c r="F13" s="6">
        <f t="shared" si="11"/>
        <v>-8.9379999999999882</v>
      </c>
      <c r="G13" s="6">
        <f t="shared" si="11"/>
        <v>-12.829999999999984</v>
      </c>
      <c r="H13" s="6">
        <f t="shared" si="11"/>
        <v>-9.8859999999999673</v>
      </c>
      <c r="I13" s="6">
        <f t="shared" si="11"/>
        <v>-4.8950000000000102</v>
      </c>
      <c r="J13" s="6">
        <f t="shared" si="11"/>
        <v>8.4549999999999841</v>
      </c>
      <c r="K13" s="6">
        <f t="shared" si="11"/>
        <v>10.413999999999987</v>
      </c>
      <c r="L13" s="6">
        <f>L8-L12</f>
        <v>-3.13900000000001</v>
      </c>
      <c r="M13" s="6">
        <f t="shared" si="11"/>
        <v>-31.341999999999928</v>
      </c>
      <c r="N13" s="6">
        <f t="shared" si="11"/>
        <v>-34.627999999999986</v>
      </c>
      <c r="O13" s="6">
        <f t="shared" si="11"/>
        <v>-34.96999999999997</v>
      </c>
      <c r="P13" s="6">
        <f t="shared" si="11"/>
        <v>-21.826000000000022</v>
      </c>
      <c r="Q13" s="6">
        <f t="shared" si="11"/>
        <v>-4.230000000000075</v>
      </c>
      <c r="R13" s="6">
        <f t="shared" si="11"/>
        <v>27.741999999999962</v>
      </c>
    </row>
    <row r="14" spans="1:107" s="5" customFormat="1" x14ac:dyDescent="0.2">
      <c r="B14" s="5" t="s">
        <v>27</v>
      </c>
      <c r="C14" s="6"/>
      <c r="D14" s="6"/>
      <c r="E14" s="6">
        <v>-5.2880000000000003</v>
      </c>
      <c r="F14" s="6">
        <v>-6.2290000000000001</v>
      </c>
      <c r="G14" s="6">
        <f>-5.472+5.773</f>
        <v>0.30099999999999927</v>
      </c>
      <c r="H14" s="6">
        <f>-5.064+5.292</f>
        <v>0.22799999999999976</v>
      </c>
      <c r="I14" s="6">
        <v>0.128</v>
      </c>
      <c r="J14" s="6">
        <f>-5.604+5.681</f>
        <v>7.6999999999999957E-2</v>
      </c>
      <c r="K14" s="6">
        <f>-5.247+5.687</f>
        <v>0.44000000000000039</v>
      </c>
      <c r="L14" s="6">
        <f>-4.541+7.669</f>
        <v>3.1279999999999992</v>
      </c>
      <c r="M14" s="6">
        <f>12.011-2.885</f>
        <v>9.1259999999999994</v>
      </c>
      <c r="N14" s="6">
        <f>11.793-2.175</f>
        <v>9.6179999999999986</v>
      </c>
      <c r="O14" s="5">
        <f>16.727-2.181</f>
        <v>14.545999999999999</v>
      </c>
      <c r="P14" s="5">
        <f>22.624-1.526</f>
        <v>21.097999999999999</v>
      </c>
      <c r="Q14" s="5">
        <f>-1.303+29.883</f>
        <v>28.58</v>
      </c>
      <c r="R14" s="5">
        <f>-1.292+30.817</f>
        <v>29.524999999999999</v>
      </c>
    </row>
    <row r="15" spans="1:107" s="5" customFormat="1" x14ac:dyDescent="0.2">
      <c r="B15" s="5" t="s">
        <v>28</v>
      </c>
      <c r="C15" s="6"/>
      <c r="D15" s="6"/>
      <c r="E15" s="6">
        <f t="shared" ref="E15:R15" si="12">+E13+E14</f>
        <v>-14.554999999999996</v>
      </c>
      <c r="F15" s="6">
        <f t="shared" si="12"/>
        <v>-15.166999999999987</v>
      </c>
      <c r="G15" s="6">
        <f t="shared" si="12"/>
        <v>-12.528999999999986</v>
      </c>
      <c r="H15" s="6">
        <f t="shared" si="12"/>
        <v>-9.6579999999999675</v>
      </c>
      <c r="I15" s="6">
        <f t="shared" si="12"/>
        <v>-4.7670000000000101</v>
      </c>
      <c r="J15" s="6">
        <f t="shared" si="12"/>
        <v>8.531999999999984</v>
      </c>
      <c r="K15" s="6">
        <f t="shared" si="12"/>
        <v>10.853999999999989</v>
      </c>
      <c r="L15" s="6">
        <f t="shared" si="12"/>
        <v>-1.1000000000010779E-2</v>
      </c>
      <c r="M15" s="6">
        <f t="shared" si="12"/>
        <v>-22.21599999999993</v>
      </c>
      <c r="N15" s="6">
        <f t="shared" si="12"/>
        <v>-25.009999999999987</v>
      </c>
      <c r="O15" s="6">
        <f t="shared" si="12"/>
        <v>-20.423999999999971</v>
      </c>
      <c r="P15" s="6">
        <f t="shared" si="12"/>
        <v>-0.72800000000002285</v>
      </c>
      <c r="Q15" s="6">
        <f t="shared" si="12"/>
        <v>24.349999999999923</v>
      </c>
      <c r="R15" s="6">
        <f t="shared" si="12"/>
        <v>57.26699999999996</v>
      </c>
    </row>
    <row r="16" spans="1:107" s="5" customFormat="1" x14ac:dyDescent="0.2">
      <c r="B16" s="5" t="s">
        <v>31</v>
      </c>
      <c r="C16" s="6"/>
      <c r="D16" s="6"/>
      <c r="E16" s="6">
        <v>0.59499999999999997</v>
      </c>
      <c r="F16" s="6">
        <v>0.99299999999999999</v>
      </c>
      <c r="G16" s="6">
        <v>-0.53900000000000003</v>
      </c>
      <c r="H16" s="6">
        <v>-2.96</v>
      </c>
      <c r="I16" s="6">
        <v>-0.71699999999999997</v>
      </c>
      <c r="J16" s="6">
        <v>1.363</v>
      </c>
      <c r="K16" s="6">
        <v>1.1160000000000001</v>
      </c>
      <c r="L16" s="6">
        <v>4.8680000000000003</v>
      </c>
      <c r="M16" s="6">
        <v>2.9260000000000002</v>
      </c>
      <c r="N16" s="6">
        <v>3.18</v>
      </c>
      <c r="O16" s="5">
        <v>3.6619999999999999</v>
      </c>
      <c r="P16" s="5">
        <v>3.0609999999999999</v>
      </c>
      <c r="Q16" s="5">
        <v>1.67</v>
      </c>
      <c r="R16" s="5">
        <v>3.274</v>
      </c>
    </row>
    <row r="17" spans="2:24" s="5" customFormat="1" x14ac:dyDescent="0.2">
      <c r="B17" s="5" t="s">
        <v>29</v>
      </c>
      <c r="C17" s="6"/>
      <c r="D17" s="6"/>
      <c r="E17" s="6">
        <f t="shared" ref="E17:R17" si="13">+E15-E16</f>
        <v>-15.149999999999997</v>
      </c>
      <c r="F17" s="6">
        <f t="shared" si="13"/>
        <v>-16.159999999999986</v>
      </c>
      <c r="G17" s="6">
        <f t="shared" si="13"/>
        <v>-11.989999999999986</v>
      </c>
      <c r="H17" s="6">
        <f t="shared" si="13"/>
        <v>-6.6979999999999675</v>
      </c>
      <c r="I17" s="6">
        <f t="shared" si="13"/>
        <v>-4.0500000000000105</v>
      </c>
      <c r="J17" s="6">
        <f t="shared" si="13"/>
        <v>7.1689999999999845</v>
      </c>
      <c r="K17" s="6">
        <f t="shared" si="13"/>
        <v>9.7379999999999889</v>
      </c>
      <c r="L17" s="6">
        <f t="shared" si="13"/>
        <v>-4.8790000000000111</v>
      </c>
      <c r="M17" s="6">
        <f t="shared" si="13"/>
        <v>-25.141999999999932</v>
      </c>
      <c r="N17" s="6">
        <f t="shared" si="13"/>
        <v>-28.189999999999987</v>
      </c>
      <c r="O17" s="6">
        <f t="shared" si="13"/>
        <v>-24.08599999999997</v>
      </c>
      <c r="P17" s="6">
        <f t="shared" si="13"/>
        <v>-3.7890000000000228</v>
      </c>
      <c r="Q17" s="6">
        <f t="shared" si="13"/>
        <v>22.679999999999922</v>
      </c>
      <c r="R17" s="6">
        <f t="shared" si="13"/>
        <v>53.992999999999959</v>
      </c>
    </row>
    <row r="18" spans="2:24" s="1" customFormat="1" x14ac:dyDescent="0.2">
      <c r="B18" s="1" t="s">
        <v>30</v>
      </c>
      <c r="C18" s="7"/>
      <c r="D18" s="7"/>
      <c r="E18" s="7">
        <f t="shared" ref="E18:R18" si="14">+E17/E19</f>
        <v>-5.0073705850856368E-2</v>
      </c>
      <c r="F18" s="7">
        <f t="shared" si="14"/>
        <v>-5.3147929500060795E-2</v>
      </c>
      <c r="G18" s="7">
        <f t="shared" si="14"/>
        <v>-3.9178653352241861E-2</v>
      </c>
      <c r="H18" s="7">
        <f t="shared" si="14"/>
        <v>-2.1745411809011676E-2</v>
      </c>
      <c r="I18" s="7">
        <f t="shared" si="14"/>
        <v>-1.3054114947122809E-2</v>
      </c>
      <c r="J18" s="7">
        <f t="shared" si="14"/>
        <v>2.0727021455604115E-2</v>
      </c>
      <c r="K18" s="7">
        <f t="shared" si="14"/>
        <v>2.8171540321927365E-2</v>
      </c>
      <c r="L18" s="7">
        <f t="shared" si="14"/>
        <v>-1.5498975523753589E-2</v>
      </c>
      <c r="M18" s="7">
        <f t="shared" si="14"/>
        <v>-7.9565809044589805E-2</v>
      </c>
      <c r="N18" s="7">
        <f t="shared" si="14"/>
        <v>-8.8829928028536453E-2</v>
      </c>
      <c r="O18" s="7">
        <f t="shared" si="14"/>
        <v>-7.5437068960117162E-2</v>
      </c>
      <c r="P18" s="7">
        <f t="shared" si="14"/>
        <v>-1.1759229086169245E-2</v>
      </c>
      <c r="Q18" s="7">
        <f t="shared" si="14"/>
        <v>6.9665219915406279E-2</v>
      </c>
      <c r="R18" s="7">
        <f t="shared" si="14"/>
        <v>0.16416485504492304</v>
      </c>
    </row>
    <row r="19" spans="2:24" s="5" customFormat="1" x14ac:dyDescent="0.2">
      <c r="B19" s="5" t="s">
        <v>1</v>
      </c>
      <c r="C19" s="6"/>
      <c r="D19" s="6"/>
      <c r="E19" s="6">
        <v>302.55399999999997</v>
      </c>
      <c r="F19" s="6">
        <v>304.05700000000002</v>
      </c>
      <c r="G19" s="6">
        <v>306.03399999999999</v>
      </c>
      <c r="H19" s="6">
        <v>308.01900000000001</v>
      </c>
      <c r="I19" s="6">
        <v>310.24700000000001</v>
      </c>
      <c r="J19" s="6">
        <v>345.87700000000001</v>
      </c>
      <c r="K19" s="6">
        <v>345.66800000000001</v>
      </c>
      <c r="L19" s="6">
        <v>314.79500000000002</v>
      </c>
      <c r="M19" s="6">
        <v>315.99</v>
      </c>
      <c r="N19" s="6">
        <v>317.34800000000001</v>
      </c>
      <c r="O19" s="5">
        <v>319.286</v>
      </c>
      <c r="P19" s="5">
        <v>322.21499999999997</v>
      </c>
      <c r="Q19" s="5">
        <v>325.55700000000002</v>
      </c>
      <c r="R19" s="5">
        <v>328.89499999999998</v>
      </c>
    </row>
    <row r="21" spans="2:24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>
        <f t="shared" ref="I21:K21" si="15">+I6/E6-1</f>
        <v>0.74875060610958455</v>
      </c>
      <c r="J21" s="10">
        <f t="shared" si="15"/>
        <v>0.83741431074009598</v>
      </c>
      <c r="K21" s="10">
        <f t="shared" si="15"/>
        <v>0.82841515192723181</v>
      </c>
      <c r="L21" s="10">
        <f t="shared" ref="L21:S21" si="16">+L6/H6-1</f>
        <v>0.73898411040081502</v>
      </c>
      <c r="M21" s="10">
        <f t="shared" si="16"/>
        <v>0.61387196474520134</v>
      </c>
      <c r="N21" s="10">
        <f t="shared" si="16"/>
        <v>0.43900023911857233</v>
      </c>
      <c r="O21" s="10">
        <f t="shared" si="16"/>
        <v>0.32692614935404807</v>
      </c>
      <c r="P21" s="10">
        <f t="shared" si="16"/>
        <v>0.25484441249033574</v>
      </c>
      <c r="Q21" s="10">
        <f t="shared" si="16"/>
        <v>0.25428318134024219</v>
      </c>
      <c r="R21" s="10">
        <f t="shared" si="16"/>
        <v>0.25617864545940661</v>
      </c>
      <c r="S21" s="10">
        <f t="shared" si="16"/>
        <v>0.22271721394852539</v>
      </c>
    </row>
    <row r="22" spans="2:24" x14ac:dyDescent="0.2">
      <c r="B22" s="5" t="s">
        <v>46</v>
      </c>
      <c r="E22" s="12">
        <f t="shared" ref="E22:H22" si="17">+E8/E6</f>
        <v>0.78028770001616288</v>
      </c>
      <c r="F22" s="12">
        <f t="shared" si="17"/>
        <v>0.76986554460911061</v>
      </c>
      <c r="G22" s="12">
        <f t="shared" si="17"/>
        <v>0.7649648197674126</v>
      </c>
      <c r="H22" s="12">
        <f t="shared" si="17"/>
        <v>0.75552025485015994</v>
      </c>
      <c r="I22" s="12">
        <f t="shared" ref="I22:K22" si="18">+I8/I6</f>
        <v>0.76586022300434775</v>
      </c>
      <c r="J22" s="12">
        <f t="shared" si="18"/>
        <v>0.79414649997854059</v>
      </c>
      <c r="K22" s="12">
        <f t="shared" si="18"/>
        <v>0.79488747486433631</v>
      </c>
      <c r="L22" s="12">
        <f>+L8/L6</f>
        <v>0.79828284967178642</v>
      </c>
      <c r="M22" s="12">
        <f t="shared" ref="M22:R22" si="19">+M8/M6</f>
        <v>0.78558551129009724</v>
      </c>
      <c r="N22" s="12">
        <f t="shared" si="19"/>
        <v>0.79387045988593929</v>
      </c>
      <c r="O22" s="12">
        <f t="shared" si="19"/>
        <v>0.79258647247121738</v>
      </c>
      <c r="P22" s="12">
        <f t="shared" si="19"/>
        <v>0.8001608978887057</v>
      </c>
      <c r="Q22" s="12">
        <f t="shared" si="19"/>
        <v>0.81130190526285029</v>
      </c>
      <c r="R22" s="12">
        <f t="shared" si="19"/>
        <v>0.82221796356815668</v>
      </c>
      <c r="U22" t="s">
        <v>71</v>
      </c>
      <c r="W22" t="s">
        <v>72</v>
      </c>
      <c r="X22" t="s">
        <v>73</v>
      </c>
    </row>
    <row r="23" spans="2:24" x14ac:dyDescent="0.2">
      <c r="U23" s="15" t="s">
        <v>62</v>
      </c>
      <c r="V23" s="23">
        <v>0.24</v>
      </c>
      <c r="W23" s="15" t="s">
        <v>62</v>
      </c>
      <c r="X23" s="23">
        <v>0.3</v>
      </c>
    </row>
    <row r="24" spans="2:24" s="5" customFormat="1" x14ac:dyDescent="0.2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>
        <f>271.686+1399.323+3.424</f>
        <v>1674.433</v>
      </c>
      <c r="L24" s="6">
        <f>238.859+1464.681+3.214</f>
        <v>1706.7539999999999</v>
      </c>
      <c r="M24" s="6"/>
      <c r="N24" s="6"/>
      <c r="U24" s="17" t="s">
        <v>61</v>
      </c>
      <c r="V24" s="16">
        <v>0.01</v>
      </c>
    </row>
    <row r="25" spans="2:24" s="5" customFormat="1" x14ac:dyDescent="0.2">
      <c r="B25" s="5" t="s">
        <v>33</v>
      </c>
      <c r="C25" s="6"/>
      <c r="D25" s="6"/>
      <c r="E25" s="6"/>
      <c r="F25" s="6"/>
      <c r="G25" s="6"/>
      <c r="H25" s="6"/>
      <c r="I25" s="6"/>
      <c r="J25" s="6"/>
      <c r="K25" s="6">
        <v>275.34199999999998</v>
      </c>
      <c r="L25" s="6">
        <v>305.50099999999998</v>
      </c>
      <c r="M25" s="6"/>
      <c r="N25" s="6"/>
      <c r="U25" s="17" t="s">
        <v>60</v>
      </c>
      <c r="V25" s="16">
        <v>0.1</v>
      </c>
    </row>
    <row r="26" spans="2:24" s="5" customFormat="1" x14ac:dyDescent="0.2"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>
        <f>24.688+42.753</f>
        <v>67.441000000000003</v>
      </c>
      <c r="L26" s="6">
        <f>27.345+46.84</f>
        <v>74.185000000000002</v>
      </c>
      <c r="M26" s="6"/>
      <c r="N26" s="6"/>
      <c r="U26" s="17" t="s">
        <v>63</v>
      </c>
      <c r="V26" s="18">
        <f>NPV(V25,V6:DC6)</f>
        <v>53169.98322190965</v>
      </c>
      <c r="W26" s="17" t="s">
        <v>63</v>
      </c>
      <c r="X26" s="26">
        <f>NPV($V$25,V7:DC7)</f>
        <v>65936.250330536161</v>
      </c>
    </row>
    <row r="27" spans="2:24" s="5" customFormat="1" x14ac:dyDescent="0.2">
      <c r="B27" s="5" t="s">
        <v>35</v>
      </c>
      <c r="C27" s="6"/>
      <c r="D27" s="6"/>
      <c r="E27" s="6"/>
      <c r="F27" s="6"/>
      <c r="G27" s="6"/>
      <c r="H27" s="6"/>
      <c r="I27" s="6"/>
      <c r="J27" s="6"/>
      <c r="K27" s="6">
        <v>32.631999999999998</v>
      </c>
      <c r="L27" s="6">
        <v>33.201999999999998</v>
      </c>
      <c r="M27" s="6"/>
      <c r="N27" s="6"/>
      <c r="U27" s="17" t="s">
        <v>1</v>
      </c>
      <c r="V27" s="21">
        <f>Main!$O$3</f>
        <v>328</v>
      </c>
      <c r="W27" s="17" t="s">
        <v>1</v>
      </c>
      <c r="X27" s="21">
        <f>Main!$O$3</f>
        <v>328</v>
      </c>
    </row>
    <row r="28" spans="2:24" s="5" customFormat="1" x14ac:dyDescent="0.2">
      <c r="B28" s="5" t="s">
        <v>36</v>
      </c>
      <c r="C28" s="6"/>
      <c r="D28" s="6"/>
      <c r="E28" s="6"/>
      <c r="F28" s="6"/>
      <c r="G28" s="6"/>
      <c r="H28" s="6"/>
      <c r="I28" s="6"/>
      <c r="J28" s="6"/>
      <c r="K28" s="6">
        <v>90.712999999999994</v>
      </c>
      <c r="L28" s="6">
        <v>97.790999999999997</v>
      </c>
      <c r="M28" s="6"/>
      <c r="N28" s="6"/>
      <c r="U28" s="17" t="s">
        <v>64</v>
      </c>
      <c r="V28" s="19">
        <f>V26/V27</f>
        <v>162.10360738387089</v>
      </c>
      <c r="W28" s="17" t="s">
        <v>64</v>
      </c>
      <c r="X28" s="19">
        <f>X26/X27</f>
        <v>201.02515344675658</v>
      </c>
    </row>
    <row r="29" spans="2:24" s="5" customFormat="1" x14ac:dyDescent="0.2">
      <c r="B29" s="5" t="s">
        <v>37</v>
      </c>
      <c r="C29" s="6"/>
      <c r="D29" s="6"/>
      <c r="E29" s="6"/>
      <c r="F29" s="6"/>
      <c r="G29" s="6"/>
      <c r="H29" s="6"/>
      <c r="I29" s="6"/>
      <c r="J29" s="6"/>
      <c r="K29" s="6">
        <v>61.920999999999999</v>
      </c>
      <c r="L29" s="6">
        <v>64.016000000000005</v>
      </c>
      <c r="M29" s="6"/>
      <c r="N29" s="6"/>
      <c r="U29" s="17" t="s">
        <v>65</v>
      </c>
      <c r="V29" s="20">
        <f>(V28-Main!$O$2)/Main!$O$2</f>
        <v>0.24944972548073749</v>
      </c>
      <c r="W29" s="17" t="s">
        <v>65</v>
      </c>
      <c r="X29" s="20">
        <f>(X28-Main!$O$2)/Main!$O$2</f>
        <v>0.549446226659138</v>
      </c>
    </row>
    <row r="30" spans="2:24" s="5" customFormat="1" x14ac:dyDescent="0.2">
      <c r="B30" s="5" t="s">
        <v>38</v>
      </c>
      <c r="C30" s="6"/>
      <c r="D30" s="6"/>
      <c r="E30" s="6"/>
      <c r="F30" s="6"/>
      <c r="G30" s="6"/>
      <c r="H30" s="6"/>
      <c r="I30" s="6"/>
      <c r="J30" s="6"/>
      <c r="K30" s="6">
        <f>292.032+14.088</f>
        <v>306.12</v>
      </c>
      <c r="L30" s="6">
        <f>334.687+17.96</f>
        <v>352.64699999999999</v>
      </c>
      <c r="M30" s="6"/>
      <c r="N30" s="6"/>
      <c r="U30" s="17" t="s">
        <v>66</v>
      </c>
      <c r="V30" s="18">
        <f>V27*V28</f>
        <v>53169.983221909657</v>
      </c>
      <c r="W30" s="17" t="s">
        <v>66</v>
      </c>
      <c r="X30" s="18">
        <f>X27*X28</f>
        <v>65936.250330536161</v>
      </c>
    </row>
    <row r="31" spans="2:24" s="5" customFormat="1" x14ac:dyDescent="0.2">
      <c r="B31" s="5" t="s">
        <v>39</v>
      </c>
      <c r="C31" s="6"/>
      <c r="D31" s="6"/>
      <c r="E31" s="6"/>
      <c r="F31" s="6"/>
      <c r="G31" s="6"/>
      <c r="H31" s="6"/>
      <c r="I31" s="6"/>
      <c r="J31" s="6"/>
      <c r="K31" s="6">
        <v>20.413</v>
      </c>
      <c r="L31" s="6">
        <v>20.390999999999998</v>
      </c>
      <c r="M31" s="6"/>
      <c r="N31" s="6"/>
    </row>
    <row r="32" spans="2:24" s="5" customFormat="1" x14ac:dyDescent="0.2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>
        <f>SUM(K24:K31)</f>
        <v>2529.0149999999999</v>
      </c>
      <c r="L32" s="6">
        <f>SUM(L24:L31)</f>
        <v>2654.4870000000001</v>
      </c>
      <c r="M32" s="6"/>
      <c r="N32" s="6"/>
    </row>
    <row r="34" spans="2:14" s="5" customFormat="1" x14ac:dyDescent="0.2">
      <c r="B34" s="5" t="s">
        <v>40</v>
      </c>
      <c r="C34" s="6"/>
      <c r="D34" s="6"/>
      <c r="E34" s="6"/>
      <c r="F34" s="6"/>
      <c r="G34" s="6"/>
      <c r="H34" s="6"/>
      <c r="I34" s="6"/>
      <c r="J34" s="6"/>
      <c r="K34" s="6">
        <v>18.629000000000001</v>
      </c>
      <c r="L34" s="6">
        <v>47.65</v>
      </c>
      <c r="M34" s="6"/>
      <c r="N34" s="6"/>
    </row>
    <row r="35" spans="2:14" s="5" customFormat="1" x14ac:dyDescent="0.2">
      <c r="B35" s="5" t="s">
        <v>41</v>
      </c>
      <c r="C35" s="6"/>
      <c r="D35" s="6"/>
      <c r="E35" s="6"/>
      <c r="F35" s="6"/>
      <c r="G35" s="6"/>
      <c r="H35" s="6"/>
      <c r="I35" s="6"/>
      <c r="J35" s="6"/>
      <c r="K35" s="6">
        <v>108.211</v>
      </c>
      <c r="L35" s="6">
        <v>111.622</v>
      </c>
      <c r="M35" s="6"/>
      <c r="N35" s="6"/>
    </row>
    <row r="36" spans="2:14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f>20.32+51.817</f>
        <v>72.137</v>
      </c>
      <c r="L36" s="6">
        <f>22.357+51.771</f>
        <v>74.128</v>
      </c>
      <c r="M36" s="6"/>
      <c r="N36" s="6"/>
    </row>
    <row r="37" spans="2:14" s="5" customFormat="1" x14ac:dyDescent="0.2">
      <c r="B37" s="5" t="s">
        <v>42</v>
      </c>
      <c r="C37" s="6"/>
      <c r="D37" s="6"/>
      <c r="E37" s="6"/>
      <c r="F37" s="6"/>
      <c r="G37" s="6"/>
      <c r="H37" s="6"/>
      <c r="I37" s="6"/>
      <c r="J37" s="6"/>
      <c r="K37" s="6">
        <f>454.812+12.798</f>
        <v>467.61</v>
      </c>
      <c r="L37" s="6">
        <f>444.247+14.526</f>
        <v>458.77300000000002</v>
      </c>
      <c r="M37" s="6"/>
      <c r="N37" s="6"/>
    </row>
    <row r="38" spans="2:14" s="5" customFormat="1" x14ac:dyDescent="0.2"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>
        <v>736.31799999999998</v>
      </c>
      <c r="L38" s="6">
        <v>737.16</v>
      </c>
      <c r="M38" s="6"/>
      <c r="N38" s="6"/>
    </row>
    <row r="39" spans="2:14" s="5" customFormat="1" x14ac:dyDescent="0.2">
      <c r="B39" s="5" t="s">
        <v>39</v>
      </c>
      <c r="C39" s="6"/>
      <c r="D39" s="6"/>
      <c r="E39" s="6"/>
      <c r="F39" s="6"/>
      <c r="G39" s="6"/>
      <c r="H39" s="6"/>
      <c r="I39" s="6"/>
      <c r="J39" s="6"/>
      <c r="K39" s="6">
        <v>9.2530000000000001</v>
      </c>
      <c r="L39" s="6">
        <v>10.034000000000001</v>
      </c>
      <c r="M39" s="6"/>
      <c r="N39" s="6"/>
    </row>
    <row r="40" spans="2:14" s="5" customFormat="1" x14ac:dyDescent="0.2">
      <c r="B40" s="5" t="s">
        <v>43</v>
      </c>
      <c r="C40" s="6"/>
      <c r="D40" s="6"/>
      <c r="E40" s="6"/>
      <c r="F40" s="6"/>
      <c r="G40" s="6"/>
      <c r="H40" s="6"/>
      <c r="I40" s="6"/>
      <c r="J40" s="6"/>
      <c r="K40" s="6">
        <v>1116.857</v>
      </c>
      <c r="L40" s="6">
        <v>1215.1199999999999</v>
      </c>
      <c r="M40" s="6"/>
      <c r="N40" s="6"/>
    </row>
    <row r="41" spans="2:14" s="5" customFormat="1" x14ac:dyDescent="0.2"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>
        <f>SUM(K34:K40)</f>
        <v>2529.0149999999999</v>
      </c>
      <c r="L41" s="6">
        <f>SUM(L34:L40)</f>
        <v>2654.4870000000001</v>
      </c>
      <c r="M41" s="6"/>
      <c r="N41" s="6"/>
    </row>
    <row r="43" spans="2:14" s="5" customFormat="1" x14ac:dyDescent="0.2">
      <c r="B43" s="5" t="s">
        <v>48</v>
      </c>
      <c r="C43" s="6"/>
      <c r="D43" s="6"/>
      <c r="E43" s="6"/>
      <c r="F43" s="6"/>
      <c r="G43" s="6"/>
      <c r="H43" s="6"/>
      <c r="I43" s="6"/>
      <c r="J43" s="6"/>
      <c r="K43" s="6">
        <f>+K17</f>
        <v>9.7379999999999889</v>
      </c>
      <c r="L43" s="6"/>
      <c r="M43" s="6"/>
      <c r="N43" s="6"/>
    </row>
    <row r="44" spans="2:14" s="5" customFormat="1" x14ac:dyDescent="0.2">
      <c r="B44" s="5" t="s">
        <v>49</v>
      </c>
      <c r="C44" s="6"/>
      <c r="D44" s="6"/>
      <c r="E44" s="6"/>
      <c r="F44" s="6"/>
      <c r="G44" s="6"/>
      <c r="H44" s="6"/>
      <c r="I44" s="6"/>
      <c r="J44" s="6"/>
      <c r="K44" s="6">
        <v>9.7379999999999995</v>
      </c>
      <c r="L44" s="6"/>
      <c r="M44" s="6"/>
      <c r="N44" s="6"/>
    </row>
    <row r="45" spans="2:14" s="5" customFormat="1" x14ac:dyDescent="0.2">
      <c r="B45" s="5" t="s">
        <v>50</v>
      </c>
      <c r="C45" s="6"/>
      <c r="D45" s="6"/>
      <c r="E45" s="6"/>
      <c r="F45" s="6"/>
      <c r="G45" s="6"/>
      <c r="H45" s="6"/>
      <c r="I45" s="6"/>
      <c r="J45" s="6"/>
      <c r="K45" s="6">
        <v>7.3940000000000001</v>
      </c>
      <c r="L45" s="6"/>
      <c r="M45" s="6"/>
      <c r="N45" s="6"/>
    </row>
    <row r="46" spans="2:14" s="5" customFormat="1" x14ac:dyDescent="0.2">
      <c r="B46" s="5" t="s">
        <v>51</v>
      </c>
      <c r="C46" s="6"/>
      <c r="D46" s="6"/>
      <c r="E46" s="6"/>
      <c r="F46" s="6"/>
      <c r="G46" s="6"/>
      <c r="H46" s="6"/>
      <c r="I46" s="6"/>
      <c r="J46" s="6"/>
      <c r="K46" s="6">
        <v>3.9590000000000001</v>
      </c>
      <c r="L46" s="6"/>
      <c r="M46" s="6"/>
      <c r="N46" s="6"/>
    </row>
    <row r="47" spans="2:14" s="5" customFormat="1" x14ac:dyDescent="0.2">
      <c r="B47" s="5" t="s">
        <v>52</v>
      </c>
      <c r="C47" s="6"/>
      <c r="D47" s="6"/>
      <c r="E47" s="6"/>
      <c r="F47" s="6"/>
      <c r="G47" s="6"/>
      <c r="H47" s="6"/>
      <c r="I47" s="6"/>
      <c r="J47" s="6"/>
      <c r="K47" s="6">
        <v>0.84</v>
      </c>
      <c r="L47" s="6"/>
      <c r="M47" s="6"/>
      <c r="N47" s="6"/>
    </row>
    <row r="48" spans="2:14" s="5" customFormat="1" x14ac:dyDescent="0.2">
      <c r="B48" s="5" t="s">
        <v>53</v>
      </c>
      <c r="C48" s="6"/>
      <c r="D48" s="6"/>
      <c r="E48" s="6"/>
      <c r="F48" s="6"/>
      <c r="G48" s="6"/>
      <c r="H48" s="6"/>
      <c r="I48" s="6"/>
      <c r="J48" s="6"/>
      <c r="K48" s="6">
        <v>6.0220000000000002</v>
      </c>
      <c r="L48" s="6"/>
      <c r="M48" s="6"/>
      <c r="N48" s="6"/>
    </row>
    <row r="49" spans="2:14" s="5" customFormat="1" x14ac:dyDescent="0.2">
      <c r="B49" s="5" t="s">
        <v>54</v>
      </c>
      <c r="C49" s="6"/>
      <c r="D49" s="6"/>
      <c r="E49" s="6"/>
      <c r="F49" s="6"/>
      <c r="G49" s="6"/>
      <c r="H49" s="6"/>
      <c r="I49" s="6"/>
      <c r="J49" s="6"/>
      <c r="K49" s="6">
        <v>66.884</v>
      </c>
      <c r="L49" s="6"/>
      <c r="M49" s="6"/>
      <c r="N49" s="6"/>
    </row>
    <row r="50" spans="2:14" s="5" customFormat="1" x14ac:dyDescent="0.2">
      <c r="B50" s="5" t="s">
        <v>37</v>
      </c>
      <c r="C50" s="6"/>
      <c r="D50" s="6"/>
      <c r="E50" s="6"/>
      <c r="F50" s="6"/>
      <c r="G50" s="6"/>
      <c r="H50" s="6"/>
      <c r="I50" s="6"/>
      <c r="J50" s="6"/>
      <c r="K50" s="6">
        <v>4.4109999999999996</v>
      </c>
      <c r="L50" s="6"/>
      <c r="M50" s="6"/>
      <c r="N50" s="6"/>
    </row>
    <row r="51" spans="2:14" s="5" customFormat="1" x14ac:dyDescent="0.2">
      <c r="B51" s="5" t="s">
        <v>33</v>
      </c>
      <c r="C51" s="6"/>
      <c r="D51" s="6"/>
      <c r="E51" s="6"/>
      <c r="F51" s="6"/>
      <c r="G51" s="6"/>
      <c r="H51" s="6"/>
      <c r="I51" s="6"/>
      <c r="J51" s="6"/>
      <c r="K51" s="6">
        <v>0.79800000000000004</v>
      </c>
      <c r="L51" s="6"/>
      <c r="M51" s="6"/>
      <c r="N51" s="6"/>
    </row>
    <row r="52" spans="2:14" s="5" customFormat="1" x14ac:dyDescent="0.2">
      <c r="B52" s="5" t="s">
        <v>55</v>
      </c>
      <c r="C52" s="6"/>
      <c r="D52" s="6"/>
      <c r="E52" s="6"/>
      <c r="F52" s="6"/>
      <c r="G52" s="6"/>
      <c r="H52" s="6"/>
      <c r="I52" s="6"/>
      <c r="J52" s="6"/>
      <c r="K52" s="6">
        <v>0.82299999999999995</v>
      </c>
      <c r="L52" s="6"/>
      <c r="M52" s="6"/>
      <c r="N52" s="6"/>
    </row>
    <row r="53" spans="2:14" s="5" customFormat="1" x14ac:dyDescent="0.2">
      <c r="B53" s="5" t="s">
        <v>56</v>
      </c>
      <c r="C53" s="6"/>
      <c r="D53" s="6"/>
      <c r="E53" s="6"/>
      <c r="F53" s="6"/>
      <c r="G53" s="6"/>
      <c r="H53" s="6"/>
      <c r="I53" s="6"/>
      <c r="J53" s="6"/>
      <c r="K53" s="6">
        <f>-7.319-8.166-8.391-0.805-7.624-2.911+81.735</f>
        <v>46.518999999999998</v>
      </c>
      <c r="L53" s="6"/>
      <c r="M53" s="6"/>
      <c r="N53" s="6"/>
    </row>
    <row r="54" spans="2:14" s="5" customFormat="1" x14ac:dyDescent="0.2">
      <c r="B54" s="5" t="s">
        <v>57</v>
      </c>
      <c r="C54" s="6"/>
      <c r="D54" s="6"/>
      <c r="E54" s="6"/>
      <c r="F54" s="6"/>
      <c r="G54" s="6"/>
      <c r="H54" s="6"/>
      <c r="I54" s="6"/>
      <c r="J54" s="6"/>
      <c r="K54" s="6">
        <f>SUM(K44:K53)</f>
        <v>147.38799999999998</v>
      </c>
      <c r="L54" s="6"/>
      <c r="M54" s="6"/>
      <c r="N54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2022-09-02T02:52:19Z</dcterms:created>
  <dcterms:modified xsi:type="dcterms:W3CDTF">2024-02-29T06:11:34Z</dcterms:modified>
</cp:coreProperties>
</file>