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AB3C6A0C-8B2F-4F2E-A60C-700328B73B59}" xr6:coauthVersionLast="47" xr6:coauthVersionMax="47" xr10:uidLastSave="{00000000-0000-0000-0000-000000000000}"/>
  <bookViews>
    <workbookView xWindow="14235" yWindow="90" windowWidth="26190" windowHeight="20805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2" l="1"/>
  <c r="V23" i="2"/>
  <c r="W22" i="2"/>
  <c r="V22" i="2"/>
  <c r="V18" i="2"/>
  <c r="V17" i="2"/>
  <c r="V16" i="2"/>
  <c r="V15" i="2"/>
  <c r="V14" i="2"/>
  <c r="V13" i="2"/>
  <c r="V12" i="2"/>
  <c r="V11" i="2"/>
  <c r="V10" i="2"/>
  <c r="AF6" i="2"/>
  <c r="AG6" i="2" s="1"/>
  <c r="V21" i="2"/>
  <c r="W21" i="2"/>
  <c r="W6" i="2"/>
  <c r="U23" i="2"/>
  <c r="U22" i="2"/>
  <c r="U21" i="2"/>
  <c r="U18" i="2"/>
  <c r="U17" i="2"/>
  <c r="U15" i="2"/>
  <c r="U13" i="2"/>
  <c r="U12" i="2"/>
  <c r="T23" i="2"/>
  <c r="T12" i="2"/>
  <c r="T13" i="2" s="1"/>
  <c r="T15" i="2" s="1"/>
  <c r="T17" i="2" s="1"/>
  <c r="T18" i="2" s="1"/>
  <c r="AE6" i="2"/>
  <c r="S16" i="2"/>
  <c r="S12" i="2"/>
  <c r="S8" i="2"/>
  <c r="S23" i="2" s="1"/>
  <c r="T22" i="2"/>
  <c r="T21" i="2"/>
  <c r="AD7" i="2"/>
  <c r="S22" i="2"/>
  <c r="S21" i="2"/>
  <c r="AD6" i="2"/>
  <c r="AC6" i="2"/>
  <c r="R16" i="2"/>
  <c r="R14" i="2"/>
  <c r="R12" i="2"/>
  <c r="J16" i="2"/>
  <c r="J11" i="2"/>
  <c r="J10" i="2"/>
  <c r="J9" i="2"/>
  <c r="J7" i="2"/>
  <c r="R22" i="2"/>
  <c r="Q22" i="2"/>
  <c r="P22" i="2"/>
  <c r="O22" i="2"/>
  <c r="N22" i="2"/>
  <c r="M22" i="2"/>
  <c r="L22" i="2"/>
  <c r="I22" i="2"/>
  <c r="H22" i="2"/>
  <c r="J6" i="2"/>
  <c r="K22" i="2" s="1"/>
  <c r="G14" i="2"/>
  <c r="H14" i="2"/>
  <c r="I14" i="2"/>
  <c r="N16" i="2"/>
  <c r="K14" i="2"/>
  <c r="L14" i="2"/>
  <c r="P14" i="2"/>
  <c r="O14" i="2"/>
  <c r="Q14" i="2"/>
  <c r="M14" i="2"/>
  <c r="N11" i="2"/>
  <c r="N10" i="2"/>
  <c r="R8" i="2"/>
  <c r="R23" i="2" s="1"/>
  <c r="AC28" i="2"/>
  <c r="AA28" i="2"/>
  <c r="J14" i="2" l="1"/>
  <c r="S13" i="2"/>
  <c r="S15" i="2" s="1"/>
  <c r="S17" i="2" s="1"/>
  <c r="S18" i="2" s="1"/>
  <c r="AB6" i="2"/>
  <c r="AB5" i="2" s="1"/>
  <c r="J22" i="2"/>
  <c r="R13" i="2"/>
  <c r="R15" i="2" s="1"/>
  <c r="R17" i="2" s="1"/>
  <c r="R18" i="2" s="1"/>
  <c r="AE7" i="2"/>
  <c r="AF7" i="2" s="1"/>
  <c r="AG7" i="2" s="1"/>
  <c r="AH7" i="2" s="1"/>
  <c r="AI7" i="2" s="1"/>
  <c r="AJ7" i="2" s="1"/>
  <c r="AK7" i="2" s="1"/>
  <c r="AL7" i="2" s="1"/>
  <c r="AL8" i="2" s="1"/>
  <c r="Q21" i="2"/>
  <c r="Q12" i="2"/>
  <c r="Q8" i="2"/>
  <c r="P21" i="2"/>
  <c r="AC7" i="2"/>
  <c r="AD5" i="2"/>
  <c r="P12" i="2"/>
  <c r="P8" i="2"/>
  <c r="P23" i="2" s="1"/>
  <c r="AD8" i="2" l="1"/>
  <c r="AI8" i="2"/>
  <c r="AG8" i="2"/>
  <c r="AF8" i="2"/>
  <c r="Q13" i="2"/>
  <c r="Q15" i="2" s="1"/>
  <c r="Q17" i="2" s="1"/>
  <c r="Q18" i="2" s="1"/>
  <c r="Q23" i="2"/>
  <c r="AC5" i="2"/>
  <c r="AK8" i="2"/>
  <c r="AJ8" i="2"/>
  <c r="AH8" i="2"/>
  <c r="AM7" i="2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AE8" i="2"/>
  <c r="R21" i="2"/>
  <c r="P13" i="2"/>
  <c r="P15" i="2" s="1"/>
  <c r="P17" i="2" s="1"/>
  <c r="P18" i="2" s="1"/>
  <c r="AC27" i="2" l="1"/>
  <c r="AC29" i="2" s="1"/>
  <c r="AC30" i="2" s="1"/>
  <c r="AE5" i="2"/>
  <c r="O12" i="2"/>
  <c r="O8" i="2"/>
  <c r="O23" i="2" s="1"/>
  <c r="N12" i="2"/>
  <c r="N8" i="2"/>
  <c r="N23" i="2" s="1"/>
  <c r="M12" i="2"/>
  <c r="M8" i="2"/>
  <c r="M23" i="2" s="1"/>
  <c r="O21" i="2"/>
  <c r="K54" i="2"/>
  <c r="K55" i="2" s="1"/>
  <c r="K37" i="2"/>
  <c r="K38" i="2"/>
  <c r="K25" i="2"/>
  <c r="K27" i="2"/>
  <c r="K31" i="2"/>
  <c r="N21" i="2"/>
  <c r="M21" i="2"/>
  <c r="AB2" i="2"/>
  <c r="AC2" i="2" s="1"/>
  <c r="AD2" i="2" s="1"/>
  <c r="AE2" i="2" s="1"/>
  <c r="K21" i="2"/>
  <c r="L21" i="2"/>
  <c r="E12" i="2"/>
  <c r="E8" i="2"/>
  <c r="E23" i="2" s="1"/>
  <c r="I12" i="2"/>
  <c r="I8" i="2"/>
  <c r="I23" i="2" s="1"/>
  <c r="F12" i="2"/>
  <c r="F8" i="2"/>
  <c r="F23" i="2" s="1"/>
  <c r="J12" i="2"/>
  <c r="J8" i="2"/>
  <c r="J23" i="2" s="1"/>
  <c r="G12" i="2"/>
  <c r="G8" i="2"/>
  <c r="G23" i="2" s="1"/>
  <c r="K12" i="2"/>
  <c r="K8" i="2"/>
  <c r="K23" i="2" s="1"/>
  <c r="AC31" i="2" l="1"/>
  <c r="M13" i="2"/>
  <c r="M15" i="2" s="1"/>
  <c r="M17" i="2" s="1"/>
  <c r="M18" i="2" s="1"/>
  <c r="AF5" i="2"/>
  <c r="N13" i="2"/>
  <c r="N15" i="2" s="1"/>
  <c r="N17" i="2" s="1"/>
  <c r="N18" i="2" s="1"/>
  <c r="O13" i="2"/>
  <c r="O15" i="2" s="1"/>
  <c r="O17" i="2" s="1"/>
  <c r="O18" i="2" s="1"/>
  <c r="K33" i="2"/>
  <c r="K42" i="2"/>
  <c r="G13" i="2"/>
  <c r="G15" i="2" s="1"/>
  <c r="G17" i="2" s="1"/>
  <c r="G18" i="2" s="1"/>
  <c r="E13" i="2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E15" i="2" l="1"/>
  <c r="E17" i="2" s="1"/>
  <c r="E18" i="2" s="1"/>
  <c r="AH6" i="2"/>
  <c r="AG5" i="2"/>
  <c r="K18" i="2"/>
  <c r="K44" i="2"/>
  <c r="O4" i="1"/>
  <c r="O7" i="1" s="1"/>
  <c r="L37" i="2"/>
  <c r="L38" i="2"/>
  <c r="L25" i="2"/>
  <c r="L27" i="2"/>
  <c r="L31" i="2"/>
  <c r="H12" i="2"/>
  <c r="L12" i="2"/>
  <c r="L8" i="2"/>
  <c r="H8" i="2"/>
  <c r="H23" i="2" s="1"/>
  <c r="AI6" i="2" l="1"/>
  <c r="AH5" i="2"/>
  <c r="L23" i="2"/>
  <c r="L13" i="2"/>
  <c r="L15" i="2" s="1"/>
  <c r="L17" i="2" s="1"/>
  <c r="L18" i="2" s="1"/>
  <c r="L33" i="2"/>
  <c r="L42" i="2"/>
  <c r="H13" i="2"/>
  <c r="H15" i="2" s="1"/>
  <c r="H17" i="2" s="1"/>
  <c r="H18" i="2" s="1"/>
  <c r="AJ6" i="2" l="1"/>
  <c r="AI5" i="2"/>
  <c r="AK6" i="2" l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AJ5" i="2"/>
  <c r="AK5" i="2" l="1"/>
  <c r="AA27" i="2" l="1"/>
  <c r="AA29" i="2" s="1"/>
  <c r="AA30" i="2" s="1"/>
  <c r="AL5" i="2"/>
  <c r="AA31" i="2" l="1"/>
</calcChain>
</file>

<file path=xl/sharedStrings.xml><?xml version="1.0" encoding="utf-8"?>
<sst xmlns="http://schemas.openxmlformats.org/spreadsheetml/2006/main" count="95" uniqueCount="81">
  <si>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</si>
  <si>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</si>
  <si>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</si>
  <si>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</si>
  <si>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</si>
  <si>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</si>
  <si>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</si>
  <si>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</si>
  <si>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</si>
  <si>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</si>
  <si>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</si>
  <si>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</si>
  <si>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</si>
  <si>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</si>
  <si>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</si>
  <si>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</si>
  <si>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</si>
  <si>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</si>
  <si>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</si>
  <si>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</si>
  <si>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</si>
  <si>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</si>
  <si>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</si>
  <si>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</si>
  <si>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</si>
  <si>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</si>
  <si>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</si>
  <si>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</si>
  <si>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</si>
  <si>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</si>
  <si>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</si>
  <si>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</si>
  <si>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</si>
  <si>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</si>
  <si>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</si>
  <si>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</si>
  <si>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</si>
  <si>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</si>
  <si>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</si>
  <si>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</si>
  <si>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</si>
  <si>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</si>
  <si>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</si>
  <si>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</si>
  <si>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</si>
  <si>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</si>
  <si>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</si>
  <si>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</si>
  <si>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</si>
  <si>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</si>
  <si>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</si>
  <si>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</si>
  <si>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</si>
  <si>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</si>
  <si>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</si>
  <si>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</si>
  <si>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</si>
  <si>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</si>
  <si>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</si>
  <si>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</si>
  <si>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</si>
  <si>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</si>
  <si>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</si>
  <si>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</si>
  <si>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</si>
  <si>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</si>
  <si>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</si>
  <si>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</si>
  <si>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</si>
  <si>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</si>
  <si>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</si>
  <si>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</si>
  <si>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</si>
  <si>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Seq Rev %</t>
  </si>
  <si>
    <t>Target</t>
  </si>
  <si>
    <t>Current</t>
  </si>
  <si>
    <t>Q124</t>
  </si>
  <si>
    <t>Q224</t>
  </si>
  <si>
    <t>Q324</t>
  </si>
  <si>
    <t>Q424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</si>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</sst>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  <xf numFmtId="9" fontId="1" fillId="0" borderId="0" xfId="4" applyFont="1" applyAlignment="1">
      <alignment horizontal="right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D1" workbookViewId="0">
      <selection activeCell="O3" sqref="O3"/>
    </sheetView>
  </sheetViews>
  <sheetFormatPr defaultRowHeight="12.75" x14ac:dyDescent="0.2"/>
  <sheetData>
    <row r="2" spans="14:16" x14ac:dyDescent="0.2">
      <c r="N2" t="s">
        <v>0</v>
      </c>
      <c r="O2" s="1">
        <v>166.66</v>
      </c>
    </row>
    <row r="3" spans="14:16" x14ac:dyDescent="0.2">
      <c r="N3" t="s">
        <v>1</v>
      </c>
      <c r="O3" s="5">
        <v>338.58300000000003</v>
      </c>
      <c r="P3" s="2"/>
    </row>
    <row r="4" spans="14:16" x14ac:dyDescent="0.2">
      <c r="N4" t="s">
        <v>2</v>
      </c>
      <c r="O4" s="5">
        <f>+O2*O3</f>
        <v>56428.24278</v>
      </c>
    </row>
    <row r="5" spans="14:16" x14ac:dyDescent="0.2">
      <c r="N5" t="s">
        <v>3</v>
      </c>
      <c r="O5" s="5">
        <v>1716.2</v>
      </c>
      <c r="P5" s="2"/>
    </row>
    <row r="6" spans="14:16" x14ac:dyDescent="0.2">
      <c r="N6" t="s">
        <v>4</v>
      </c>
      <c r="O6" s="5">
        <v>1440</v>
      </c>
      <c r="P6" s="2"/>
    </row>
    <row r="7" spans="14:16" x14ac:dyDescent="0.2">
      <c r="N7" t="s">
        <v>5</v>
      </c>
      <c r="O7" s="5">
        <f>+O4-O5+O6</f>
        <v>56152.042780000003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G55"/>
  <sheetViews>
    <sheetView tabSelected="1" zoomScale="130" zoomScaleNormal="13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C24" sqref="AC24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25" max="25" width="12.7109375" bestFit="1" customWidth="1"/>
    <col min="26" max="27" width="11.28515625" bestFit="1" customWidth="1"/>
    <col min="28" max="28" width="14.28515625" customWidth="1"/>
    <col min="29" max="29" width="11.28515625" bestFit="1" customWidth="1"/>
  </cols>
  <sheetData>
    <row r="1" spans="1:111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S1" s="14">
        <v>45382</v>
      </c>
      <c r="T1" s="14">
        <v>45473</v>
      </c>
      <c r="Z1" t="s">
        <v>67</v>
      </c>
    </row>
    <row r="2" spans="1:111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/>
      <c r="Z2" s="2"/>
      <c r="AA2">
        <v>2020</v>
      </c>
      <c r="AB2">
        <f>+AA2+1</f>
        <v>2021</v>
      </c>
      <c r="AC2">
        <f t="shared" ref="AC2:AE2" si="0">+AB2+1</f>
        <v>2022</v>
      </c>
      <c r="AD2">
        <f t="shared" si="0"/>
        <v>2023</v>
      </c>
      <c r="AE2">
        <f t="shared" si="0"/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</row>
    <row r="3" spans="1:111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4" spans="1:111" x14ac:dyDescent="0.2">
      <c r="AD4" s="25"/>
    </row>
    <row r="5" spans="1:111" x14ac:dyDescent="0.2">
      <c r="Z5" t="s">
        <v>69</v>
      </c>
      <c r="AA5" s="22"/>
      <c r="AB5" s="22">
        <f t="shared" ref="AB5:AL5" si="1">(AB6-AA6)/AA6</f>
        <v>0.52282170190159583</v>
      </c>
      <c r="AC5" s="22">
        <f t="shared" si="1"/>
        <v>0.48574858399880538</v>
      </c>
      <c r="AD5" s="24">
        <f t="shared" si="1"/>
        <v>0.32960450494420124</v>
      </c>
      <c r="AE5" s="24">
        <f t="shared" si="1"/>
        <v>0.27241964862709755</v>
      </c>
      <c r="AF5" s="24">
        <f t="shared" si="1"/>
        <v>0.26787878787878788</v>
      </c>
      <c r="AG5" s="24">
        <f t="shared" si="1"/>
        <v>0.27000000000000007</v>
      </c>
      <c r="AH5" s="24">
        <f t="shared" si="1"/>
        <v>0.27000000000000007</v>
      </c>
      <c r="AI5" s="24">
        <f t="shared" si="1"/>
        <v>0.26999999999999996</v>
      </c>
      <c r="AJ5" s="24">
        <f t="shared" si="1"/>
        <v>0.27000000000000007</v>
      </c>
      <c r="AK5" s="24">
        <f t="shared" si="1"/>
        <v>0.27000000000000007</v>
      </c>
      <c r="AL5" s="24">
        <f t="shared" si="1"/>
        <v>9.9999999999999672E-3</v>
      </c>
    </row>
    <row r="6" spans="1:111" s="3" customFormat="1" x14ac:dyDescent="0.2">
      <c r="B6" s="3" t="s">
        <v>7</v>
      </c>
      <c r="C6" s="4"/>
      <c r="D6" s="4"/>
      <c r="E6" s="4"/>
      <c r="F6" s="4"/>
      <c r="G6" s="4">
        <v>138.05500000000001</v>
      </c>
      <c r="H6" s="4">
        <v>152.428</v>
      </c>
      <c r="I6" s="4">
        <v>172.34700000000001</v>
      </c>
      <c r="J6" s="4">
        <f>656.426-SUM(G6:I6)</f>
        <v>193.596</v>
      </c>
      <c r="K6" s="4">
        <v>212.167</v>
      </c>
      <c r="L6" s="4">
        <v>234.517</v>
      </c>
      <c r="M6" s="4">
        <v>253.9</v>
      </c>
      <c r="N6" s="4">
        <v>274.7</v>
      </c>
      <c r="O6" s="3">
        <v>290.17500000000001</v>
      </c>
      <c r="P6" s="3">
        <v>308.49400000000003</v>
      </c>
      <c r="Q6" s="3">
        <v>335.6</v>
      </c>
      <c r="R6" s="3">
        <v>362.47300000000001</v>
      </c>
      <c r="S6" s="3">
        <v>378.6</v>
      </c>
      <c r="T6" s="3">
        <v>400.99599999999998</v>
      </c>
      <c r="U6" s="3">
        <v>430.08199999999999</v>
      </c>
      <c r="V6" s="3">
        <v>459.9</v>
      </c>
      <c r="W6" s="3">
        <f>(468+469)/2</f>
        <v>468.5</v>
      </c>
      <c r="Z6" s="3" t="s">
        <v>74</v>
      </c>
      <c r="AA6" s="3">
        <v>431.05900000000003</v>
      </c>
      <c r="AB6" s="3">
        <f>SUM(G6:J6)</f>
        <v>656.42600000000004</v>
      </c>
      <c r="AC6" s="3">
        <f>SUM($K$6:$N$6)</f>
        <v>975.28399999999988</v>
      </c>
      <c r="AD6" s="3">
        <f>SUM(O6:R6)</f>
        <v>1296.7420000000002</v>
      </c>
      <c r="AE6" s="3">
        <f>(1648+1652)/2</f>
        <v>1650</v>
      </c>
      <c r="AF6" s="3">
        <f>(2090+2094)/2</f>
        <v>2092</v>
      </c>
      <c r="AG6" s="3">
        <f>AF6*(1+$AA$24)</f>
        <v>2656.84</v>
      </c>
      <c r="AH6" s="3">
        <f>AG6*(1+$AA$24)</f>
        <v>3374.1868000000004</v>
      </c>
      <c r="AI6" s="3">
        <f>AH6*(1+$AA$24)</f>
        <v>4285.2172360000004</v>
      </c>
      <c r="AJ6" s="3">
        <f>AI6*(1+$AA$24)</f>
        <v>5442.2258897200009</v>
      </c>
      <c r="AK6" s="3">
        <f>AJ6*(1+$AA$24)</f>
        <v>6911.6268799444015</v>
      </c>
      <c r="AL6" s="3">
        <f>AK6*(1+$AA$25)</f>
        <v>6980.7431487438453</v>
      </c>
      <c r="AM6" s="3">
        <f>AL6*(1+$AA$25)</f>
        <v>7050.5505802312837</v>
      </c>
      <c r="AN6" s="3">
        <f>AM6*(1+$AA$25)</f>
        <v>7121.0560860335963</v>
      </c>
      <c r="AO6" s="3">
        <f>AN6*(1+$AA$25)</f>
        <v>7192.2666468939324</v>
      </c>
      <c r="AP6" s="3">
        <f>AO6*(1+$AA$25)</f>
        <v>7264.1893133628719</v>
      </c>
      <c r="AQ6" s="3">
        <f>AP6*(1+$AA$25)</f>
        <v>7336.8312064965003</v>
      </c>
      <c r="AR6" s="3">
        <f>AQ6*(1+$AA$25)</f>
        <v>7410.1995185614651</v>
      </c>
      <c r="AS6" s="3">
        <f>AR6*(1+$AA$25)</f>
        <v>7484.3015137470802</v>
      </c>
      <c r="AT6" s="3">
        <f>AS6*(1+$AA$25)</f>
        <v>7559.1445288845507</v>
      </c>
      <c r="AU6" s="3">
        <f>AT6*(1+$AA$25)</f>
        <v>7634.7359741733962</v>
      </c>
      <c r="AV6" s="3">
        <f>AU6*(1+$AA$25)</f>
        <v>7711.0833339151304</v>
      </c>
      <c r="AW6" s="3">
        <f>AV6*(1+$AA$25)</f>
        <v>7788.1941672542816</v>
      </c>
      <c r="AX6" s="3">
        <f>AW6*(1+$AA$25)</f>
        <v>7866.0761089268244</v>
      </c>
      <c r="AY6" s="3">
        <f>AX6*(1+$AA$25)</f>
        <v>7944.7368700160923</v>
      </c>
      <c r="AZ6" s="3">
        <f>AY6*(1+$AA$25)</f>
        <v>8024.1842387162533</v>
      </c>
      <c r="BA6" s="3">
        <f>AZ6*(1+$AA$25)</f>
        <v>8104.4260811034155</v>
      </c>
      <c r="BB6" s="3">
        <f>BA6*(1+$AA$25)</f>
        <v>8185.4703419144498</v>
      </c>
      <c r="BC6" s="3">
        <f>BB6*(1+$AA$25)</f>
        <v>8267.325045333595</v>
      </c>
      <c r="BD6" s="3">
        <f>BC6*(1+$AA$25)</f>
        <v>8349.9982957869306</v>
      </c>
      <c r="BE6" s="3">
        <f>BD6*(1+$AA$25)</f>
        <v>8433.4982787448007</v>
      </c>
      <c r="BF6" s="3">
        <f>BE6*(1+$AA$25)</f>
        <v>8517.8332615322488</v>
      </c>
      <c r="BG6" s="3">
        <f>BF6*(1+$AA$25)</f>
        <v>8603.0115941475706</v>
      </c>
      <c r="BH6" s="3">
        <f>BG6*(1+$AA$25)</f>
        <v>8689.0417100890463</v>
      </c>
      <c r="BI6" s="3">
        <f>BH6*(1+$AA$25)</f>
        <v>8775.9321271899371</v>
      </c>
      <c r="BJ6" s="3">
        <f>BI6*(1+$AA$25)</f>
        <v>8863.6914484618374</v>
      </c>
      <c r="BK6" s="3">
        <f>BJ6*(1+$AA$25)</f>
        <v>8952.3283629464549</v>
      </c>
      <c r="BL6" s="3">
        <f>BK6*(1+$AA$25)</f>
        <v>9041.8516465759203</v>
      </c>
      <c r="BM6" s="3">
        <f>BL6*(1+$AA$25)</f>
        <v>9132.2701630416796</v>
      </c>
      <c r="BN6" s="3">
        <f>BM6*(1+$AA$25)</f>
        <v>9223.5928646720968</v>
      </c>
      <c r="BO6" s="3">
        <f>BN6*(1+$AA$25)</f>
        <v>9315.8287933188185</v>
      </c>
      <c r="BP6" s="3">
        <f>BO6*(1+$AA$25)</f>
        <v>9408.9870812520076</v>
      </c>
      <c r="BQ6" s="3">
        <f>BP6*(1+$AA$25)</f>
        <v>9503.0769520645281</v>
      </c>
      <c r="BR6" s="3">
        <f>BQ6*(1+$AA$25)</f>
        <v>9598.1077215851728</v>
      </c>
      <c r="BS6" s="3">
        <f>BR6*(1+$AA$25)</f>
        <v>9694.0887988010254</v>
      </c>
      <c r="BT6" s="3">
        <f>BS6*(1+$AA$25)</f>
        <v>9791.0296867890356</v>
      </c>
      <c r="BU6" s="3">
        <f>BT6*(1+$AA$25)</f>
        <v>9888.9399836569264</v>
      </c>
      <c r="BV6" s="3">
        <f>BU6*(1+$AA$25)</f>
        <v>9987.8293834934957</v>
      </c>
      <c r="BW6" s="3">
        <f>BV6*(1+$AA$25)</f>
        <v>10087.707677328432</v>
      </c>
      <c r="BX6" s="3">
        <f>BW6*(1+$AA$25)</f>
        <v>10188.584754101716</v>
      </c>
      <c r="BY6" s="3">
        <f>BX6*(1+$AA$25)</f>
        <v>10290.470601642734</v>
      </c>
      <c r="BZ6" s="3">
        <f>BY6*(1+$AA$25)</f>
        <v>10393.37530765916</v>
      </c>
      <c r="CA6" s="3">
        <f>BZ6*(1+$AA$25)</f>
        <v>10497.309060735752</v>
      </c>
      <c r="CB6" s="3">
        <f>CA6*(1+$AA$25)</f>
        <v>10602.28215134311</v>
      </c>
      <c r="CC6" s="3">
        <f>CB6*(1+$AA$25)</f>
        <v>10708.304972856542</v>
      </c>
      <c r="CD6" s="3">
        <f>CC6*(1+$AA$25)</f>
        <v>10815.388022585108</v>
      </c>
      <c r="CE6" s="3">
        <f>CD6*(1+$AA$25)</f>
        <v>10923.541902810959</v>
      </c>
      <c r="CF6" s="3">
        <f>CE6*(1+$AA$25)</f>
        <v>11032.777321839068</v>
      </c>
      <c r="CG6" s="3">
        <f>CF6*(1+$AA$25)</f>
        <v>11143.105095057459</v>
      </c>
      <c r="CH6" s="3">
        <f>CG6*(1+$AA$25)</f>
        <v>11254.536146008033</v>
      </c>
      <c r="CI6" s="3">
        <f>CH6*(1+$AA$25)</f>
        <v>11367.081507468114</v>
      </c>
      <c r="CJ6" s="3">
        <f>CI6*(1+$AA$25)</f>
        <v>11480.752322542796</v>
      </c>
      <c r="CK6" s="3">
        <f>CJ6*(1+$AA$25)</f>
        <v>11595.559845768224</v>
      </c>
      <c r="CL6" s="3">
        <f>CK6*(1+$AA$25)</f>
        <v>11711.515444225906</v>
      </c>
      <c r="CM6" s="3">
        <f>CL6*(1+$AA$25)</f>
        <v>11828.630598668165</v>
      </c>
      <c r="CN6" s="3">
        <f>CM6*(1+$AA$25)</f>
        <v>11946.916904654847</v>
      </c>
      <c r="CO6" s="3">
        <f>CN6*(1+$AA$25)</f>
        <v>12066.386073701395</v>
      </c>
      <c r="CP6" s="3">
        <f>CO6*(1+$AA$25)</f>
        <v>12187.049934438408</v>
      </c>
      <c r="CQ6" s="3">
        <f>CP6*(1+$AA$25)</f>
        <v>12308.920433782792</v>
      </c>
      <c r="CR6" s="3">
        <f>CQ6*(1+$AA$25)</f>
        <v>12432.00963812062</v>
      </c>
      <c r="CS6" s="3">
        <f>CR6*(1+$AA$25)</f>
        <v>12556.329734501827</v>
      </c>
      <c r="CT6" s="3">
        <f>CS6*(1+$AA$25)</f>
        <v>12681.893031846846</v>
      </c>
      <c r="CU6" s="3">
        <f>CT6*(1+$AA$25)</f>
        <v>12808.711962165315</v>
      </c>
      <c r="CV6" s="3">
        <f>CU6*(1+$AA$25)</f>
        <v>12936.799081786969</v>
      </c>
      <c r="CW6" s="3">
        <f>CV6*(1+$AA$25)</f>
        <v>13066.167072604838</v>
      </c>
      <c r="CX6" s="3">
        <f>CW6*(1+$AA$25)</f>
        <v>13196.828743330887</v>
      </c>
      <c r="CY6" s="3">
        <f>CX6*(1+$AA$25)</f>
        <v>13328.797030764195</v>
      </c>
      <c r="CZ6" s="3">
        <f>CY6*(1+$AA$25)</f>
        <v>13462.085001071837</v>
      </c>
      <c r="DA6" s="3">
        <f>CZ6*(1+$AA$25)</f>
        <v>13596.705851082555</v>
      </c>
      <c r="DB6" s="3">
        <f>DA6*(1+$AA$25)</f>
        <v>13732.672909593381</v>
      </c>
      <c r="DC6" s="3">
        <f>DB6*(1+$AA$25)</f>
        <v>13869.999638689314</v>
      </c>
      <c r="DD6" s="3">
        <f>DC6*(1+$AA$25)</f>
        <v>14008.699635076207</v>
      </c>
      <c r="DE6" s="3">
        <f>DD6*(1+$AA$25)</f>
        <v>14148.78663142697</v>
      </c>
      <c r="DF6" s="3">
        <f>DE6*(1+$AA$25)</f>
        <v>14290.27449774124</v>
      </c>
      <c r="DG6" s="3">
        <f>DF6*(1+$AA$25)</f>
        <v>14433.177242718653</v>
      </c>
    </row>
    <row r="7" spans="1:111" s="5" customFormat="1" x14ac:dyDescent="0.2">
      <c r="B7" s="5" t="s">
        <v>20</v>
      </c>
      <c r="C7" s="6"/>
      <c r="D7" s="6"/>
      <c r="E7" s="6"/>
      <c r="F7" s="6"/>
      <c r="G7" s="6">
        <v>32.084000000000003</v>
      </c>
      <c r="H7" s="6">
        <v>35.029000000000003</v>
      </c>
      <c r="I7" s="6">
        <v>37.524999999999999</v>
      </c>
      <c r="J7" s="6">
        <f>147.134-SUM(G7:I7)</f>
        <v>42.495999999999981</v>
      </c>
      <c r="K7" s="6">
        <v>47.051000000000002</v>
      </c>
      <c r="L7" s="6">
        <v>55.804000000000002</v>
      </c>
      <c r="M7" s="6">
        <v>61.966999999999999</v>
      </c>
      <c r="N7" s="6">
        <v>67.8</v>
      </c>
      <c r="O7" s="5">
        <v>70.432000000000002</v>
      </c>
      <c r="P7" s="5">
        <v>75.221000000000004</v>
      </c>
      <c r="Q7" s="5">
        <v>78.099999999999994</v>
      </c>
      <c r="R7" s="5">
        <v>83.283000000000001</v>
      </c>
      <c r="S7" s="5">
        <v>85.037999999999997</v>
      </c>
      <c r="T7" s="5">
        <v>89.010999999999996</v>
      </c>
      <c r="U7" s="5">
        <v>95.966999999999999</v>
      </c>
      <c r="V7" s="5">
        <v>108.68600000000001</v>
      </c>
      <c r="Z7" s="5" t="s">
        <v>75</v>
      </c>
      <c r="AA7" s="3">
        <v>603.46600000000001</v>
      </c>
      <c r="AB7" s="3">
        <v>1028.7840000000001</v>
      </c>
      <c r="AC7" s="3">
        <f>SUM($K$6:$N$6)</f>
        <v>975.28399999999988</v>
      </c>
      <c r="AD7" s="5">
        <f>SUM(O6:R6)</f>
        <v>1296.7420000000002</v>
      </c>
      <c r="AE7" s="3">
        <f>AD7*(1+$AC$24)</f>
        <v>1659.8297600000003</v>
      </c>
      <c r="AF7" s="3">
        <f>AE7*(1+$AC$24)</f>
        <v>2124.5820928000003</v>
      </c>
      <c r="AG7" s="3">
        <f>AF7*(1+$AC$24)</f>
        <v>2719.4650787840005</v>
      </c>
      <c r="AH7" s="3">
        <f>AG7*(1+$AC$24)</f>
        <v>3480.9153008435205</v>
      </c>
      <c r="AI7" s="3">
        <f>AH7*(1+$AC$24)</f>
        <v>4455.571585079706</v>
      </c>
      <c r="AJ7" s="3">
        <f>AI7*(1+$AC$24)</f>
        <v>5703.1316289020242</v>
      </c>
      <c r="AK7" s="3">
        <f>AJ7*(1+$AC$24)</f>
        <v>7300.0084849945915</v>
      </c>
      <c r="AL7" s="3">
        <f>AK7*(1+$AA$25)</f>
        <v>7373.0085698445373</v>
      </c>
      <c r="AM7" s="3">
        <f>AL7*(1+$AA$25)</f>
        <v>7446.738655542983</v>
      </c>
      <c r="AN7" s="3">
        <f>AM7*(1+$AA$25)</f>
        <v>7521.2060420984126</v>
      </c>
      <c r="AO7" s="3">
        <f>AN7*(1+$AA$25)</f>
        <v>7596.4181025193966</v>
      </c>
      <c r="AP7" s="3">
        <f>AO7*(1+$AA$25)</f>
        <v>7672.3822835445908</v>
      </c>
      <c r="AQ7" s="3">
        <f>AP7*(1+$AA$25)</f>
        <v>7749.1061063800371</v>
      </c>
      <c r="AR7" s="3">
        <f>AQ7*(1+$AA$25)</f>
        <v>7826.5971674438379</v>
      </c>
      <c r="AS7" s="3">
        <f>AR7*(1+$AA$25)</f>
        <v>7904.8631391182762</v>
      </c>
      <c r="AT7" s="3">
        <f>AS7*(1+$AA$25)</f>
        <v>7983.9117705094586</v>
      </c>
      <c r="AU7" s="3">
        <f>AT7*(1+$AA$25)</f>
        <v>8063.750888214553</v>
      </c>
      <c r="AV7" s="3">
        <f>AU7*(1+$AA$25)</f>
        <v>8144.388397096699</v>
      </c>
      <c r="AW7" s="3">
        <f>AV7*(1+$AA$25)</f>
        <v>8225.8322810676655</v>
      </c>
      <c r="AX7" s="3">
        <f>AW7*(1+$AA$25)</f>
        <v>8308.0906038783414</v>
      </c>
      <c r="AY7" s="3">
        <f>AX7*(1+$AA$25)</f>
        <v>8391.1715099171251</v>
      </c>
      <c r="AZ7" s="3">
        <f>AY7*(1+$AA$25)</f>
        <v>8475.0832250162966</v>
      </c>
      <c r="BA7" s="3">
        <f>AZ7*(1+$AA$25)</f>
        <v>8559.8340572664601</v>
      </c>
      <c r="BB7" s="3">
        <f>BA7*(1+$AA$25)</f>
        <v>8645.432397839124</v>
      </c>
      <c r="BC7" s="3">
        <f>BB7*(1+$AA$25)</f>
        <v>8731.8867218175146</v>
      </c>
      <c r="BD7" s="3">
        <f>BC7*(1+$AA$25)</f>
        <v>8819.2055890356896</v>
      </c>
      <c r="BE7" s="3">
        <f>BD7*(1+$AA$25)</f>
        <v>8907.3976449260463</v>
      </c>
      <c r="BF7" s="3">
        <f>BE7*(1+$AA$25)</f>
        <v>8996.4716213753072</v>
      </c>
      <c r="BG7" s="3">
        <f>BF7*(1+$AA$25)</f>
        <v>9086.4363375890607</v>
      </c>
      <c r="BH7" s="3">
        <f>BG7*(1+$AA$25)</f>
        <v>9177.3007009649518</v>
      </c>
      <c r="BI7" s="3">
        <f>BH7*(1+$AA$25)</f>
        <v>9269.0737079746013</v>
      </c>
      <c r="BJ7" s="3">
        <f>BI7*(1+$AA$25)</f>
        <v>9361.7644450543467</v>
      </c>
      <c r="BK7" s="3">
        <f>BJ7*(1+$AA$25)</f>
        <v>9455.3820895048902</v>
      </c>
      <c r="BL7" s="3">
        <f>BK7*(1+$AA$25)</f>
        <v>9549.9359103999395</v>
      </c>
      <c r="BM7" s="3">
        <f>BL7*(1+$AA$25)</f>
        <v>9645.4352695039397</v>
      </c>
      <c r="BN7" s="3">
        <f>BM7*(1+$AA$25)</f>
        <v>9741.8896221989799</v>
      </c>
      <c r="BO7" s="3">
        <f>BN7*(1+$AA$25)</f>
        <v>9839.3085184209704</v>
      </c>
      <c r="BP7" s="3">
        <f>BO7*(1+$AA$25)</f>
        <v>9937.7016036051809</v>
      </c>
      <c r="BQ7" s="3">
        <f>BP7*(1+$AA$25)</f>
        <v>10037.078619641234</v>
      </c>
      <c r="BR7" s="3">
        <f>BQ7*(1+$AA$25)</f>
        <v>10137.449405837646</v>
      </c>
      <c r="BS7" s="3">
        <f>BR7*(1+$AA$25)</f>
        <v>10238.823899896022</v>
      </c>
      <c r="BT7" s="3">
        <f>BS7*(1+$AA$25)</f>
        <v>10341.212138894982</v>
      </c>
      <c r="BU7" s="3">
        <f>BT7*(1+$AA$25)</f>
        <v>10444.624260283932</v>
      </c>
      <c r="BV7" s="3">
        <f>BU7*(1+$AA$25)</f>
        <v>10549.070502886771</v>
      </c>
      <c r="BW7" s="3">
        <f>BV7*(1+$AA$25)</f>
        <v>10654.561207915638</v>
      </c>
      <c r="BX7" s="3">
        <f>BW7*(1+$AA$25)</f>
        <v>10761.106819994795</v>
      </c>
      <c r="BY7" s="3">
        <f>BX7*(1+$AA$25)</f>
        <v>10868.717888194744</v>
      </c>
      <c r="BZ7" s="3">
        <f>BY7*(1+$AA$25)</f>
        <v>10977.405067076692</v>
      </c>
      <c r="CA7" s="3">
        <f>BZ7*(1+$AA$25)</f>
        <v>11087.179117747459</v>
      </c>
      <c r="CB7" s="3">
        <f>CA7*(1+$AA$25)</f>
        <v>11198.050908924934</v>
      </c>
      <c r="CC7" s="3">
        <f>CB7*(1+$AA$25)</f>
        <v>11310.031418014183</v>
      </c>
      <c r="CD7" s="3">
        <f>CC7*(1+$AA$25)</f>
        <v>11423.131732194324</v>
      </c>
      <c r="CE7" s="3">
        <f>CD7*(1+$AA$25)</f>
        <v>11537.363049516267</v>
      </c>
      <c r="CF7" s="3">
        <f>CE7*(1+$AA$25)</f>
        <v>11652.736680011431</v>
      </c>
      <c r="CG7" s="3">
        <f>CF7*(1+$AA$25)</f>
        <v>11769.264046811544</v>
      </c>
      <c r="CH7" s="3">
        <f>CG7*(1+$AA$25)</f>
        <v>11886.95668727966</v>
      </c>
      <c r="CI7" s="3">
        <f>CH7*(1+$AA$25)</f>
        <v>12005.826254152456</v>
      </c>
      <c r="CJ7" s="3">
        <f>CI7*(1+$AA$25)</f>
        <v>12125.884516693981</v>
      </c>
      <c r="CK7" s="3">
        <f>CJ7*(1+$AA$25)</f>
        <v>12247.143361860921</v>
      </c>
      <c r="CL7" s="3">
        <f>CK7*(1+$AA$25)</f>
        <v>12369.614795479531</v>
      </c>
      <c r="CM7" s="3">
        <f>CL7*(1+$AA$25)</f>
        <v>12493.310943434326</v>
      </c>
      <c r="CN7" s="3">
        <f>CM7*(1+$AA$25)</f>
        <v>12618.244052868669</v>
      </c>
      <c r="CO7" s="3">
        <f>CN7*(1+$AA$25)</f>
        <v>12744.426493397355</v>
      </c>
      <c r="CP7" s="3">
        <f>CO7*(1+$AA$25)</f>
        <v>12871.87075833133</v>
      </c>
      <c r="CQ7" s="3">
        <f>CP7*(1+$AA$25)</f>
        <v>13000.589465914643</v>
      </c>
      <c r="CR7" s="3">
        <f>CQ7*(1+$AA$25)</f>
        <v>13130.59536057379</v>
      </c>
      <c r="CS7" s="3">
        <f>CR7*(1+$AA$25)</f>
        <v>13261.901314179528</v>
      </c>
      <c r="CT7" s="3">
        <f>CS7*(1+$AA$25)</f>
        <v>13394.520327321323</v>
      </c>
      <c r="CU7" s="3">
        <f>CT7*(1+$AA$25)</f>
        <v>13528.465530594536</v>
      </c>
      <c r="CV7" s="3">
        <f>CU7*(1+$AA$25)</f>
        <v>13663.750185900482</v>
      </c>
      <c r="CW7" s="3">
        <f>CV7*(1+$AA$25)</f>
        <v>13800.387687759487</v>
      </c>
      <c r="CX7" s="3">
        <f>CW7*(1+$AA$25)</f>
        <v>13938.391564637082</v>
      </c>
      <c r="CY7" s="3">
        <f>CX7*(1+$AA$25)</f>
        <v>14077.775480283453</v>
      </c>
      <c r="CZ7" s="3">
        <f>CY7*(1+$AA$25)</f>
        <v>14218.553235086289</v>
      </c>
      <c r="DA7" s="3">
        <f>CZ7*(1+$AA$25)</f>
        <v>14360.738767437151</v>
      </c>
      <c r="DB7" s="3">
        <f>DA7*(1+$AA$25)</f>
        <v>14504.346155111523</v>
      </c>
      <c r="DC7" s="3">
        <f>DB7*(1+$AA$25)</f>
        <v>14649.389616662638</v>
      </c>
      <c r="DD7" s="3">
        <f>DC7*(1+$AA$25)</f>
        <v>14795.883512829265</v>
      </c>
      <c r="DE7" s="3">
        <f>DD7*(1+$AA$25)</f>
        <v>14943.842347957558</v>
      </c>
      <c r="DF7" s="3">
        <f>DE7*(1+$AA$25)</f>
        <v>15093.280771437134</v>
      </c>
      <c r="DG7" s="3">
        <f>DF7*(1+$AA$25)</f>
        <v>15244.213579151505</v>
      </c>
    </row>
    <row r="8" spans="1:111" s="5" customFormat="1" x14ac:dyDescent="0.2">
      <c r="B8" s="5" t="s">
        <v>21</v>
      </c>
      <c r="C8" s="6"/>
      <c r="D8" s="6"/>
      <c r="E8" s="6">
        <f t="shared" ref="E8:S8" si="2">+E6-E7</f>
        <v>0</v>
      </c>
      <c r="F8" s="6">
        <f t="shared" si="2"/>
        <v>0</v>
      </c>
      <c r="G8" s="6">
        <f t="shared" si="2"/>
        <v>105.971</v>
      </c>
      <c r="H8" s="6">
        <f t="shared" si="2"/>
        <v>117.399</v>
      </c>
      <c r="I8" s="6">
        <f t="shared" si="2"/>
        <v>134.822</v>
      </c>
      <c r="J8" s="6">
        <f t="shared" si="2"/>
        <v>151.10000000000002</v>
      </c>
      <c r="K8" s="6">
        <f t="shared" si="2"/>
        <v>165.11599999999999</v>
      </c>
      <c r="L8" s="6">
        <f t="shared" si="2"/>
        <v>178.71299999999999</v>
      </c>
      <c r="M8" s="6">
        <f t="shared" si="2"/>
        <v>191.93299999999999</v>
      </c>
      <c r="N8" s="6">
        <f t="shared" si="2"/>
        <v>206.89999999999998</v>
      </c>
      <c r="O8" s="6">
        <f t="shared" si="2"/>
        <v>219.74299999999999</v>
      </c>
      <c r="P8" s="6">
        <f t="shared" si="2"/>
        <v>233.27300000000002</v>
      </c>
      <c r="Q8" s="6">
        <f t="shared" si="2"/>
        <v>257.5</v>
      </c>
      <c r="R8" s="6">
        <f t="shared" si="2"/>
        <v>279.19</v>
      </c>
      <c r="S8" s="6">
        <f t="shared" si="2"/>
        <v>293.56200000000001</v>
      </c>
      <c r="T8" s="5">
        <v>311.98500000000001</v>
      </c>
      <c r="U8" s="5">
        <v>334.11500000000001</v>
      </c>
      <c r="V8" s="5">
        <v>351.26</v>
      </c>
      <c r="AD8" s="24">
        <f t="shared" ref="AD8:AL8" si="3">(AD7-AC7)/AC7</f>
        <v>0.32960450494420124</v>
      </c>
      <c r="AE8" s="22">
        <f t="shared" si="3"/>
        <v>0.28000000000000003</v>
      </c>
      <c r="AF8" s="22">
        <f t="shared" si="3"/>
        <v>0.27999999999999992</v>
      </c>
      <c r="AG8" s="22">
        <f t="shared" si="3"/>
        <v>0.28000000000000008</v>
      </c>
      <c r="AH8" s="22">
        <f t="shared" si="3"/>
        <v>0.27999999999999997</v>
      </c>
      <c r="AI8" s="22">
        <f t="shared" si="3"/>
        <v>0.27999999999999992</v>
      </c>
      <c r="AJ8" s="22">
        <f t="shared" si="3"/>
        <v>0.28000000000000014</v>
      </c>
      <c r="AK8" s="22">
        <f t="shared" si="3"/>
        <v>0.28000000000000008</v>
      </c>
      <c r="AL8" s="22">
        <f t="shared" si="3"/>
        <v>9.9999999999999811E-3</v>
      </c>
    </row>
    <row r="9" spans="1:111" s="5" customFormat="1" x14ac:dyDescent="0.2">
      <c r="B9" s="5" t="s">
        <v>23</v>
      </c>
      <c r="C9" s="6"/>
      <c r="D9" s="6"/>
      <c r="E9" s="6"/>
      <c r="F9" s="6"/>
      <c r="G9" s="6">
        <v>69.974000000000004</v>
      </c>
      <c r="H9" s="6">
        <v>75.995000000000005</v>
      </c>
      <c r="I9" s="6">
        <v>85.876999999999995</v>
      </c>
      <c r="J9" s="6">
        <f>328.065-SUM(G9:I9)</f>
        <v>96.218999999999994</v>
      </c>
      <c r="K9" s="6">
        <v>67.054000000000002</v>
      </c>
      <c r="L9" s="6">
        <v>75.114000000000004</v>
      </c>
      <c r="M9" s="6">
        <v>76.400000000000006</v>
      </c>
      <c r="N9" s="6">
        <v>79.7</v>
      </c>
      <c r="O9" s="5">
        <v>81.539000000000001</v>
      </c>
      <c r="P9" s="5">
        <v>89.61</v>
      </c>
      <c r="Q9" s="5">
        <v>90.6</v>
      </c>
      <c r="R9" s="5">
        <v>165.214</v>
      </c>
      <c r="S9" s="5">
        <v>194.102</v>
      </c>
      <c r="T9" s="5">
        <v>174.501</v>
      </c>
      <c r="U9" s="5">
        <v>185.221</v>
      </c>
      <c r="V9" s="5">
        <v>191.96700000000001</v>
      </c>
    </row>
    <row r="10" spans="1:111" s="5" customFormat="1" x14ac:dyDescent="0.2">
      <c r="B10" s="5" t="s">
        <v>22</v>
      </c>
      <c r="C10" s="6"/>
      <c r="D10" s="6"/>
      <c r="E10" s="6"/>
      <c r="F10" s="6"/>
      <c r="G10" s="6">
        <v>39.527000000000001</v>
      </c>
      <c r="H10" s="6">
        <v>41.348999999999997</v>
      </c>
      <c r="I10" s="6">
        <v>46.77</v>
      </c>
      <c r="J10" s="6">
        <f>189.408-SUM(G10:I10)</f>
        <v>61.761999999999972</v>
      </c>
      <c r="K10" s="6">
        <v>100.057</v>
      </c>
      <c r="L10" s="6">
        <v>117.622</v>
      </c>
      <c r="M10" s="6">
        <v>116.033</v>
      </c>
      <c r="N10" s="6">
        <f>465.762-SUM(K10:M10)</f>
        <v>132.05000000000001</v>
      </c>
      <c r="O10" s="5">
        <v>137.001</v>
      </c>
      <c r="P10" s="5">
        <v>146.68799999999999</v>
      </c>
      <c r="Q10" s="5">
        <v>150.19999999999999</v>
      </c>
      <c r="R10" s="5">
        <v>96.400999999999996</v>
      </c>
      <c r="S10" s="5">
        <v>87.703000000000003</v>
      </c>
      <c r="T10" s="5">
        <v>102.547</v>
      </c>
      <c r="U10" s="5">
        <v>110.911</v>
      </c>
      <c r="V10" s="5">
        <f>120.213</f>
        <v>120.21299999999999</v>
      </c>
    </row>
    <row r="11" spans="1:111" s="5" customFormat="1" x14ac:dyDescent="0.2">
      <c r="B11" s="5" t="s">
        <v>24</v>
      </c>
      <c r="C11" s="6"/>
      <c r="D11" s="6"/>
      <c r="E11" s="6"/>
      <c r="F11" s="6"/>
      <c r="G11" s="6">
        <v>27.724</v>
      </c>
      <c r="H11" s="6">
        <v>28.927</v>
      </c>
      <c r="I11" s="6">
        <v>28.669</v>
      </c>
      <c r="J11" s="6">
        <f>119.503-SUM(G11:I11)</f>
        <v>34.183000000000007</v>
      </c>
      <c r="K11" s="6">
        <v>38.029000000000003</v>
      </c>
      <c r="L11" s="6">
        <v>50.518000000000001</v>
      </c>
      <c r="M11" s="6">
        <v>45.4</v>
      </c>
      <c r="N11" s="6">
        <f>179.769-SUM(K11:M11)</f>
        <v>45.822000000000003</v>
      </c>
      <c r="O11" s="5">
        <v>48.475000000000001</v>
      </c>
      <c r="P11" s="5">
        <v>53.146999999999998</v>
      </c>
      <c r="Q11" s="5">
        <v>55.9</v>
      </c>
      <c r="R11" s="5">
        <v>60.404000000000003</v>
      </c>
      <c r="S11" s="5">
        <v>66.308999999999997</v>
      </c>
      <c r="T11" s="5">
        <v>69.635000000000005</v>
      </c>
      <c r="U11" s="5">
        <v>68.777000000000001</v>
      </c>
      <c r="V11" s="5">
        <f>73.799</f>
        <v>73.799000000000007</v>
      </c>
    </row>
    <row r="12" spans="1:111" s="5" customFormat="1" x14ac:dyDescent="0.2">
      <c r="B12" s="5" t="s">
        <v>25</v>
      </c>
      <c r="C12" s="6"/>
      <c r="D12" s="6"/>
      <c r="E12" s="6">
        <f t="shared" ref="E12:Q12" si="4">SUM(E9:E11)</f>
        <v>0</v>
      </c>
      <c r="F12" s="6">
        <f t="shared" si="4"/>
        <v>0</v>
      </c>
      <c r="G12" s="6">
        <f t="shared" si="4"/>
        <v>137.22499999999999</v>
      </c>
      <c r="H12" s="6">
        <f t="shared" si="4"/>
        <v>146.27099999999999</v>
      </c>
      <c r="I12" s="6">
        <f t="shared" si="4"/>
        <v>161.316</v>
      </c>
      <c r="J12" s="6">
        <f t="shared" si="4"/>
        <v>192.16399999999999</v>
      </c>
      <c r="K12" s="6">
        <f t="shared" si="4"/>
        <v>205.14</v>
      </c>
      <c r="L12" s="6">
        <f t="shared" si="4"/>
        <v>243.25399999999999</v>
      </c>
      <c r="M12" s="6">
        <f t="shared" si="4"/>
        <v>237.833</v>
      </c>
      <c r="N12" s="6">
        <f t="shared" si="4"/>
        <v>257.572</v>
      </c>
      <c r="O12" s="6">
        <f t="shared" si="4"/>
        <v>267.01500000000004</v>
      </c>
      <c r="P12" s="6">
        <f t="shared" si="4"/>
        <v>289.44499999999999</v>
      </c>
      <c r="Q12" s="6">
        <f t="shared" si="4"/>
        <v>296.7</v>
      </c>
      <c r="R12" s="6">
        <f>SUM(R9:R11)</f>
        <v>322.01900000000001</v>
      </c>
      <c r="S12" s="6">
        <f>SUM(S9:S11)</f>
        <v>348.11400000000003</v>
      </c>
      <c r="T12" s="6">
        <f>SUM(T9:T11)</f>
        <v>346.68299999999999</v>
      </c>
      <c r="U12" s="6">
        <f>SUM(U9:U11)</f>
        <v>364.90899999999999</v>
      </c>
      <c r="V12" s="6">
        <f>SUM(V9:V11)</f>
        <v>385.97900000000004</v>
      </c>
    </row>
    <row r="13" spans="1:111" s="5" customFormat="1" x14ac:dyDescent="0.2">
      <c r="B13" s="5" t="s">
        <v>26</v>
      </c>
      <c r="C13" s="6"/>
      <c r="D13" s="6"/>
      <c r="E13" s="6">
        <f t="shared" ref="E13:V13" si="5">E8-E12</f>
        <v>0</v>
      </c>
      <c r="F13" s="6">
        <f t="shared" si="5"/>
        <v>0</v>
      </c>
      <c r="G13" s="6">
        <f t="shared" si="5"/>
        <v>-31.253999999999991</v>
      </c>
      <c r="H13" s="6">
        <f t="shared" si="5"/>
        <v>-28.871999999999986</v>
      </c>
      <c r="I13" s="6">
        <f t="shared" si="5"/>
        <v>-26.494</v>
      </c>
      <c r="J13" s="6">
        <f t="shared" si="5"/>
        <v>-41.063999999999965</v>
      </c>
      <c r="K13" s="6">
        <f t="shared" si="5"/>
        <v>-40.024000000000001</v>
      </c>
      <c r="L13" s="6">
        <f>L8-L12</f>
        <v>-64.540999999999997</v>
      </c>
      <c r="M13" s="6">
        <f t="shared" si="5"/>
        <v>-45.900000000000006</v>
      </c>
      <c r="N13" s="6">
        <f t="shared" si="5"/>
        <v>-50.672000000000025</v>
      </c>
      <c r="O13" s="6">
        <f t="shared" si="5"/>
        <v>-47.272000000000048</v>
      </c>
      <c r="P13" s="6">
        <f t="shared" si="5"/>
        <v>-56.171999999999969</v>
      </c>
      <c r="Q13" s="6">
        <f t="shared" si="5"/>
        <v>-39.199999999999989</v>
      </c>
      <c r="R13" s="6">
        <f t="shared" si="5"/>
        <v>-42.829000000000008</v>
      </c>
      <c r="S13" s="6">
        <f t="shared" si="5"/>
        <v>-54.552000000000021</v>
      </c>
      <c r="T13" s="6">
        <f t="shared" si="5"/>
        <v>-34.697999999999979</v>
      </c>
      <c r="U13" s="6">
        <f t="shared" si="5"/>
        <v>-30.793999999999983</v>
      </c>
      <c r="V13" s="6">
        <f t="shared" si="5"/>
        <v>-34.719000000000051</v>
      </c>
    </row>
    <row r="14" spans="1:111" s="5" customFormat="1" x14ac:dyDescent="0.2">
      <c r="B14" s="5" t="s">
        <v>27</v>
      </c>
      <c r="C14" s="6"/>
      <c r="D14" s="6"/>
      <c r="E14" s="6"/>
      <c r="F14" s="6"/>
      <c r="G14" s="6">
        <f>0.544-10.234+0.148</f>
        <v>-9.5419999999999998</v>
      </c>
      <c r="H14" s="6">
        <f>0.373-10.444-0.877</f>
        <v>-10.948000000000002</v>
      </c>
      <c r="I14" s="6">
        <f>0.385-12.448-72.234+0.361</f>
        <v>-83.935999999999993</v>
      </c>
      <c r="J14" s="6">
        <f>(1.97-49.234-72.234-0.794)-SUM(G14:I14)</f>
        <v>-15.866</v>
      </c>
      <c r="K14" s="6">
        <f>1.061-1.557-0.487</f>
        <v>-0.98299999999999998</v>
      </c>
      <c r="L14" s="6">
        <f>1.641-1.04+0.233</f>
        <v>0.83399999999999996</v>
      </c>
      <c r="M14" s="6">
        <f>3.825-1.512+2.433</f>
        <v>4.7460000000000004</v>
      </c>
      <c r="N14" s="6">
        <v>7.4</v>
      </c>
      <c r="O14" s="5">
        <f>13.487-2.126-0.857</f>
        <v>10.504000000000001</v>
      </c>
      <c r="P14" s="5">
        <f>16.536-1.539-50.3-1.527</f>
        <v>-36.83</v>
      </c>
      <c r="Q14" s="5">
        <f>17.952-1.138+0.115</f>
        <v>16.928999999999998</v>
      </c>
      <c r="R14" s="5">
        <f>20.19-1.069</f>
        <v>19.121000000000002</v>
      </c>
      <c r="S14" s="5">
        <v>21.251999999999999</v>
      </c>
      <c r="T14" s="5">
        <v>21.715</v>
      </c>
      <c r="U14" s="5">
        <v>22.471</v>
      </c>
      <c r="V14" s="5">
        <f>21.988</f>
        <v>21.988</v>
      </c>
    </row>
    <row r="15" spans="1:111" s="5" customFormat="1" x14ac:dyDescent="0.2">
      <c r="B15" s="5" t="s">
        <v>28</v>
      </c>
      <c r="C15" s="6"/>
      <c r="D15" s="6"/>
      <c r="E15" s="6">
        <f t="shared" ref="E15:V15" si="6">+E13+E14</f>
        <v>0</v>
      </c>
      <c r="F15" s="6">
        <f t="shared" si="6"/>
        <v>0</v>
      </c>
      <c r="G15" s="6">
        <f t="shared" si="6"/>
        <v>-40.795999999999992</v>
      </c>
      <c r="H15" s="6">
        <f t="shared" si="6"/>
        <v>-39.819999999999986</v>
      </c>
      <c r="I15" s="6">
        <f t="shared" si="6"/>
        <v>-110.42999999999999</v>
      </c>
      <c r="J15" s="6">
        <f t="shared" si="6"/>
        <v>-56.929999999999964</v>
      </c>
      <c r="K15" s="6">
        <f t="shared" si="6"/>
        <v>-41.006999999999998</v>
      </c>
      <c r="L15" s="6">
        <f t="shared" si="6"/>
        <v>-63.706999999999994</v>
      </c>
      <c r="M15" s="6">
        <f t="shared" si="6"/>
        <v>-41.154000000000003</v>
      </c>
      <c r="N15" s="6">
        <f t="shared" si="6"/>
        <v>-43.272000000000027</v>
      </c>
      <c r="O15" s="6">
        <f t="shared" si="6"/>
        <v>-36.768000000000043</v>
      </c>
      <c r="P15" s="6">
        <f t="shared" si="6"/>
        <v>-93.001999999999967</v>
      </c>
      <c r="Q15" s="6">
        <f t="shared" si="6"/>
        <v>-22.27099999999999</v>
      </c>
      <c r="R15" s="6">
        <f t="shared" si="6"/>
        <v>-23.708000000000006</v>
      </c>
      <c r="S15" s="6">
        <f t="shared" si="6"/>
        <v>-33.300000000000026</v>
      </c>
      <c r="T15" s="6">
        <f t="shared" si="6"/>
        <v>-12.982999999999979</v>
      </c>
      <c r="U15" s="6">
        <f t="shared" si="6"/>
        <v>-8.3229999999999826</v>
      </c>
      <c r="V15" s="6">
        <f t="shared" si="6"/>
        <v>-12.731000000000051</v>
      </c>
    </row>
    <row r="16" spans="1:111" s="5" customFormat="1" x14ac:dyDescent="0.2">
      <c r="B16" s="5" t="s">
        <v>31</v>
      </c>
      <c r="C16" s="6"/>
      <c r="D16" s="6"/>
      <c r="E16" s="6"/>
      <c r="F16" s="6"/>
      <c r="G16" s="6">
        <v>-0.83299999999999996</v>
      </c>
      <c r="H16" s="6">
        <v>-4.3099999999999996</v>
      </c>
      <c r="I16" s="6">
        <v>-3.0950000000000002</v>
      </c>
      <c r="J16" s="6">
        <f>12.333+SUM(G16:I16)</f>
        <v>4.0950000000000006</v>
      </c>
      <c r="K16" s="6">
        <v>0.374</v>
      </c>
      <c r="L16" s="6">
        <v>-0.17</v>
      </c>
      <c r="M16" s="6">
        <v>1.3720000000000001</v>
      </c>
      <c r="N16" s="6">
        <f>2.648-SUM(K16:M16)</f>
        <v>1.0720000000000001</v>
      </c>
      <c r="O16" s="5">
        <v>1.3140000000000001</v>
      </c>
      <c r="P16" s="5">
        <v>1.4650000000000001</v>
      </c>
      <c r="Q16" s="5">
        <v>1.254</v>
      </c>
      <c r="R16" s="5">
        <f>2.054</f>
        <v>2.0539999999999998</v>
      </c>
      <c r="S16" s="5">
        <f>2.269</f>
        <v>2.2690000000000001</v>
      </c>
      <c r="T16" s="5">
        <v>1.1459999999999999</v>
      </c>
      <c r="U16" s="5">
        <v>2.5089999999999999</v>
      </c>
      <c r="V16" s="5">
        <f>2.005</f>
        <v>2.0049999999999999</v>
      </c>
    </row>
    <row r="17" spans="2:29" s="5" customFormat="1" x14ac:dyDescent="0.2">
      <c r="B17" s="5" t="s">
        <v>29</v>
      </c>
      <c r="C17" s="6"/>
      <c r="D17" s="6"/>
      <c r="E17" s="6">
        <f t="shared" ref="E17:V17" si="7">+E15-E16</f>
        <v>0</v>
      </c>
      <c r="F17" s="6">
        <f t="shared" si="7"/>
        <v>0</v>
      </c>
      <c r="G17" s="6">
        <f t="shared" si="7"/>
        <v>-39.962999999999994</v>
      </c>
      <c r="H17" s="6">
        <f t="shared" si="7"/>
        <v>-35.509999999999984</v>
      </c>
      <c r="I17" s="6">
        <f t="shared" si="7"/>
        <v>-107.33499999999999</v>
      </c>
      <c r="J17" s="6">
        <f t="shared" si="7"/>
        <v>-61.024999999999963</v>
      </c>
      <c r="K17" s="6">
        <f t="shared" si="7"/>
        <v>-41.381</v>
      </c>
      <c r="L17" s="6">
        <f t="shared" si="7"/>
        <v>-63.536999999999992</v>
      </c>
      <c r="M17" s="6">
        <f t="shared" si="7"/>
        <v>-42.526000000000003</v>
      </c>
      <c r="N17" s="6">
        <f t="shared" si="7"/>
        <v>-44.34400000000003</v>
      </c>
      <c r="O17" s="6">
        <f t="shared" si="7"/>
        <v>-38.082000000000043</v>
      </c>
      <c r="P17" s="6">
        <f t="shared" si="7"/>
        <v>-94.46699999999997</v>
      </c>
      <c r="Q17" s="6">
        <f t="shared" si="7"/>
        <v>-23.524999999999991</v>
      </c>
      <c r="R17" s="6">
        <f t="shared" si="7"/>
        <v>-25.762000000000004</v>
      </c>
      <c r="S17" s="6">
        <f t="shared" si="7"/>
        <v>-35.569000000000024</v>
      </c>
      <c r="T17" s="6">
        <f t="shared" si="7"/>
        <v>-14.12899999999998</v>
      </c>
      <c r="U17" s="6">
        <f t="shared" si="7"/>
        <v>-10.831999999999983</v>
      </c>
      <c r="V17" s="6">
        <f t="shared" si="7"/>
        <v>-14.73600000000005</v>
      </c>
    </row>
    <row r="18" spans="2:29" s="1" customFormat="1" x14ac:dyDescent="0.2">
      <c r="B18" s="1" t="s">
        <v>30</v>
      </c>
      <c r="C18" s="7"/>
      <c r="D18" s="7"/>
      <c r="E18" s="7" t="e">
        <f t="shared" ref="E18:V18" si="8">+E17/E19</f>
        <v>#DIV/0!</v>
      </c>
      <c r="F18" s="7" t="e">
        <f t="shared" si="8"/>
        <v>#DIV/0!</v>
      </c>
      <c r="G18" s="7">
        <f t="shared" si="8"/>
        <v>-0.13066337090113683</v>
      </c>
      <c r="H18" s="7">
        <f t="shared" si="8"/>
        <v>-0.11519384421743767</v>
      </c>
      <c r="I18" s="7">
        <f t="shared" si="8"/>
        <v>-0.34124110217045045</v>
      </c>
      <c r="J18" s="7">
        <f t="shared" si="8"/>
        <v>-0.19539192049205772</v>
      </c>
      <c r="K18" s="7">
        <f t="shared" si="8"/>
        <v>-0.12798221034595805</v>
      </c>
      <c r="L18" s="7">
        <f t="shared" si="8"/>
        <v>-0.19538003118109942</v>
      </c>
      <c r="M18" s="7">
        <f t="shared" si="8"/>
        <v>-0.13021219265746045</v>
      </c>
      <c r="N18" s="7">
        <f t="shared" si="8"/>
        <v>-0.13588615275241175</v>
      </c>
      <c r="O18" s="7">
        <f t="shared" si="8"/>
        <v>-0.11526412804300398</v>
      </c>
      <c r="P18" s="7">
        <f t="shared" si="8"/>
        <v>-0.28428484157244865</v>
      </c>
      <c r="Q18" s="7">
        <f t="shared" si="8"/>
        <v>-7.0293964729013378E-2</v>
      </c>
      <c r="R18" s="7">
        <f t="shared" si="8"/>
        <v>-7.6540950388914328E-2</v>
      </c>
      <c r="S18" s="7">
        <f t="shared" si="8"/>
        <v>-0.10505252774061315</v>
      </c>
      <c r="T18" s="7">
        <f t="shared" si="8"/>
        <v>-4.1476832390033053E-2</v>
      </c>
      <c r="U18" s="7">
        <f t="shared" si="8"/>
        <v>-3.1639579852551093E-2</v>
      </c>
      <c r="V18" s="7">
        <f t="shared" si="8"/>
        <v>-4.2836835725269987E-2</v>
      </c>
    </row>
    <row r="19" spans="2:29" s="5" customFormat="1" x14ac:dyDescent="0.2">
      <c r="B19" s="5" t="s">
        <v>1</v>
      </c>
      <c r="C19" s="6"/>
      <c r="D19" s="6"/>
      <c r="E19" s="6"/>
      <c r="F19" s="6"/>
      <c r="G19" s="6">
        <v>305.84699999999998</v>
      </c>
      <c r="H19" s="6">
        <v>308.26299999999998</v>
      </c>
      <c r="I19" s="6">
        <v>314.54300000000001</v>
      </c>
      <c r="J19" s="6">
        <v>312.32100000000003</v>
      </c>
      <c r="K19" s="6">
        <v>323.334</v>
      </c>
      <c r="L19" s="6">
        <v>325.197</v>
      </c>
      <c r="M19" s="6">
        <v>326.58999999999997</v>
      </c>
      <c r="N19" s="6">
        <v>326.33199999999999</v>
      </c>
      <c r="O19" s="5">
        <v>330.38900000000001</v>
      </c>
      <c r="P19" s="5">
        <v>332.29700000000003</v>
      </c>
      <c r="Q19" s="5">
        <v>334.666</v>
      </c>
      <c r="R19" s="5">
        <v>336.57799999999997</v>
      </c>
      <c r="S19" s="5">
        <v>338.58300000000003</v>
      </c>
      <c r="T19" s="5">
        <v>340.64800000000002</v>
      </c>
      <c r="U19" s="5">
        <v>342.35599999999999</v>
      </c>
      <c r="V19" s="5">
        <v>344.00299999999999</v>
      </c>
    </row>
    <row r="21" spans="2:29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/>
      <c r="J21" s="10"/>
      <c r="K21" s="10">
        <f t="shared" ref="K21" si="9">+K6/G6-1</f>
        <v>0.53682952446488708</v>
      </c>
      <c r="L21" s="10">
        <f t="shared" ref="L21:W21" si="10">+L6/H6-1</f>
        <v>0.53854278741438577</v>
      </c>
      <c r="M21" s="10">
        <f t="shared" si="10"/>
        <v>0.47319071408263547</v>
      </c>
      <c r="N21" s="10">
        <f t="shared" si="10"/>
        <v>0.41893427550155993</v>
      </c>
      <c r="O21" s="10">
        <f t="shared" si="10"/>
        <v>0.36767263523545135</v>
      </c>
      <c r="P21" s="10">
        <f t="shared" si="10"/>
        <v>0.31544408294494652</v>
      </c>
      <c r="Q21" s="10">
        <f t="shared" si="10"/>
        <v>0.32178022843639242</v>
      </c>
      <c r="R21" s="10">
        <f t="shared" si="10"/>
        <v>0.31952311612668383</v>
      </c>
      <c r="S21" s="10">
        <f t="shared" si="10"/>
        <v>0.30472990436805381</v>
      </c>
      <c r="T21" s="10">
        <f t="shared" si="10"/>
        <v>0.29985024019916096</v>
      </c>
      <c r="U21" s="10">
        <f t="shared" si="10"/>
        <v>0.28153158522050048</v>
      </c>
      <c r="V21" s="10">
        <f t="shared" si="10"/>
        <v>0.2687841577165746</v>
      </c>
      <c r="W21" s="10">
        <f t="shared" si="10"/>
        <v>0.23745377707342841</v>
      </c>
    </row>
    <row r="22" spans="2:29" s="11" customFormat="1" x14ac:dyDescent="0.2">
      <c r="B22" s="3" t="s">
        <v>73</v>
      </c>
      <c r="C22" s="9"/>
      <c r="D22" s="9"/>
      <c r="E22" s="9"/>
      <c r="F22" s="9"/>
      <c r="G22" s="9"/>
      <c r="H22" s="27">
        <f>(H6-G6)/G6</f>
        <v>0.1041106805258773</v>
      </c>
      <c r="I22" s="27">
        <f t="shared" ref="I22:W22" si="11">(I6-H6)/H6</f>
        <v>0.13067809063951513</v>
      </c>
      <c r="J22" s="27">
        <f t="shared" si="11"/>
        <v>0.12329196330658494</v>
      </c>
      <c r="K22" s="27">
        <f t="shared" si="11"/>
        <v>9.5926568730758888E-2</v>
      </c>
      <c r="L22" s="27">
        <f t="shared" si="11"/>
        <v>0.1053415469889285</v>
      </c>
      <c r="M22" s="27">
        <f t="shared" si="11"/>
        <v>8.2650724680940021E-2</v>
      </c>
      <c r="N22" s="27">
        <f t="shared" si="11"/>
        <v>8.1922016541945572E-2</v>
      </c>
      <c r="O22" s="27">
        <f t="shared" si="11"/>
        <v>5.6334182744812611E-2</v>
      </c>
      <c r="P22" s="27">
        <f t="shared" si="11"/>
        <v>6.3130869303006862E-2</v>
      </c>
      <c r="Q22" s="27">
        <f t="shared" si="11"/>
        <v>8.7865566267091064E-2</v>
      </c>
      <c r="R22" s="27">
        <f t="shared" si="11"/>
        <v>8.0074493444576844E-2</v>
      </c>
      <c r="S22" s="27">
        <f t="shared" si="11"/>
        <v>4.4491589718406638E-2</v>
      </c>
      <c r="T22" s="27">
        <f t="shared" si="11"/>
        <v>5.9154780771262433E-2</v>
      </c>
      <c r="U22" s="27">
        <f t="shared" si="11"/>
        <v>7.2534389370467578E-2</v>
      </c>
      <c r="V22" s="27">
        <f t="shared" si="11"/>
        <v>6.9330964792760408E-2</v>
      </c>
      <c r="W22" s="27">
        <f t="shared" si="11"/>
        <v>1.8699717329854367E-2</v>
      </c>
    </row>
    <row r="23" spans="2:29" x14ac:dyDescent="0.2">
      <c r="B23" s="5" t="s">
        <v>46</v>
      </c>
      <c r="E23" s="12" t="e">
        <f t="shared" ref="E23:H23" si="12">+E8/E6</f>
        <v>#DIV/0!</v>
      </c>
      <c r="F23" s="12" t="e">
        <f t="shared" si="12"/>
        <v>#DIV/0!</v>
      </c>
      <c r="G23" s="12">
        <f t="shared" si="12"/>
        <v>0.76759986961718152</v>
      </c>
      <c r="H23" s="12">
        <f t="shared" si="12"/>
        <v>0.77019314036791142</v>
      </c>
      <c r="I23" s="12">
        <f t="shared" ref="I23:K23" si="13">+I8/I6</f>
        <v>0.7822706516504494</v>
      </c>
      <c r="J23" s="12">
        <f t="shared" si="13"/>
        <v>0.78049133246554692</v>
      </c>
      <c r="K23" s="12">
        <f t="shared" si="13"/>
        <v>0.77823601219793836</v>
      </c>
      <c r="L23" s="12">
        <f>+L8/L6</f>
        <v>0.76204710106303597</v>
      </c>
      <c r="M23" s="12">
        <f t="shared" ref="M23:W23" si="14">+M8/M6</f>
        <v>0.75593934619929104</v>
      </c>
      <c r="N23" s="12">
        <f t="shared" si="14"/>
        <v>0.75318529304696025</v>
      </c>
      <c r="O23" s="12">
        <f t="shared" si="14"/>
        <v>0.75727750495390711</v>
      </c>
      <c r="P23" s="12">
        <f t="shared" si="14"/>
        <v>0.75616705673368045</v>
      </c>
      <c r="Q23" s="12">
        <f t="shared" si="14"/>
        <v>0.76728247914183545</v>
      </c>
      <c r="R23" s="12">
        <f t="shared" si="14"/>
        <v>0.7702366796975223</v>
      </c>
      <c r="S23" s="12">
        <f t="shared" si="14"/>
        <v>0.7753882725832012</v>
      </c>
      <c r="T23" s="12">
        <f t="shared" si="14"/>
        <v>0.7780252172091493</v>
      </c>
      <c r="U23" s="12">
        <f t="shared" si="14"/>
        <v>0.77686348184764764</v>
      </c>
      <c r="V23" s="12">
        <f t="shared" si="14"/>
        <v>0.76377473363774739</v>
      </c>
      <c r="W23" s="12">
        <f t="shared" si="14"/>
        <v>0</v>
      </c>
      <c r="Z23" t="s">
        <v>71</v>
      </c>
      <c r="AB23" t="s">
        <v>72</v>
      </c>
    </row>
    <row r="24" spans="2:29" x14ac:dyDescent="0.2">
      <c r="Z24" s="15" t="s">
        <v>62</v>
      </c>
      <c r="AA24" s="23">
        <v>0.27</v>
      </c>
      <c r="AB24" s="15" t="s">
        <v>62</v>
      </c>
      <c r="AC24" s="23">
        <v>0.28000000000000003</v>
      </c>
    </row>
    <row r="25" spans="2:29" s="5" customFormat="1" x14ac:dyDescent="0.2">
      <c r="B25" s="5" t="s">
        <v>3</v>
      </c>
      <c r="C25" s="6"/>
      <c r="D25" s="6"/>
      <c r="E25" s="6"/>
      <c r="F25" s="6"/>
      <c r="G25" s="6"/>
      <c r="H25" s="6"/>
      <c r="I25" s="6"/>
      <c r="J25" s="6"/>
      <c r="K25" s="6">
        <f>271.686+1399.323+3.424</f>
        <v>1674.433</v>
      </c>
      <c r="L25" s="6">
        <f>238.859+1464.681+3.214</f>
        <v>1706.7539999999999</v>
      </c>
      <c r="M25" s="6"/>
      <c r="N25" s="6"/>
      <c r="Z25" s="17" t="s">
        <v>61</v>
      </c>
      <c r="AA25" s="16">
        <v>0.01</v>
      </c>
    </row>
    <row r="26" spans="2:29" s="5" customFormat="1" x14ac:dyDescent="0.2">
      <c r="B26" s="5" t="s">
        <v>33</v>
      </c>
      <c r="C26" s="6"/>
      <c r="D26" s="6"/>
      <c r="E26" s="6"/>
      <c r="F26" s="6"/>
      <c r="G26" s="6"/>
      <c r="H26" s="6"/>
      <c r="I26" s="6"/>
      <c r="J26" s="6"/>
      <c r="K26" s="6">
        <v>275.34199999999998</v>
      </c>
      <c r="L26" s="6">
        <v>305.50099999999998</v>
      </c>
      <c r="M26" s="6"/>
      <c r="N26" s="6"/>
      <c r="Z26" s="17" t="s">
        <v>60</v>
      </c>
      <c r="AA26" s="16">
        <v>0.08</v>
      </c>
    </row>
    <row r="27" spans="2:29" s="5" customFormat="1" x14ac:dyDescent="0.2">
      <c r="B27" s="5" t="s">
        <v>34</v>
      </c>
      <c r="C27" s="6"/>
      <c r="D27" s="6"/>
      <c r="E27" s="6"/>
      <c r="F27" s="6"/>
      <c r="G27" s="6"/>
      <c r="H27" s="6"/>
      <c r="I27" s="6"/>
      <c r="J27" s="6"/>
      <c r="K27" s="6">
        <f>24.688+42.753</f>
        <v>67.441000000000003</v>
      </c>
      <c r="L27" s="6">
        <f>27.345+46.84</f>
        <v>74.185000000000002</v>
      </c>
      <c r="M27" s="6"/>
      <c r="N27" s="6"/>
      <c r="Z27" s="17" t="s">
        <v>63</v>
      </c>
      <c r="AA27" s="18">
        <f>NPV(AA26,Z6:DG6)</f>
        <v>58602.501194637283</v>
      </c>
      <c r="AB27" s="17" t="s">
        <v>63</v>
      </c>
      <c r="AC27" s="26">
        <f>NPV($AA$26,Z7:DG7)</f>
        <v>61961.934543992051</v>
      </c>
    </row>
    <row r="28" spans="2:29" s="5" customFormat="1" x14ac:dyDescent="0.2">
      <c r="B28" s="5" t="s">
        <v>35</v>
      </c>
      <c r="C28" s="6"/>
      <c r="D28" s="6"/>
      <c r="E28" s="6"/>
      <c r="F28" s="6"/>
      <c r="G28" s="6"/>
      <c r="H28" s="6"/>
      <c r="I28" s="6"/>
      <c r="J28" s="6"/>
      <c r="K28" s="6">
        <v>32.631999999999998</v>
      </c>
      <c r="L28" s="6">
        <v>33.201999999999998</v>
      </c>
      <c r="M28" s="6"/>
      <c r="N28" s="6"/>
      <c r="Z28" s="17" t="s">
        <v>1</v>
      </c>
      <c r="AA28" s="21">
        <f>Main!$O$3</f>
        <v>338.58300000000003</v>
      </c>
      <c r="AB28" s="17" t="s">
        <v>1</v>
      </c>
      <c r="AC28" s="21">
        <f>Main!$O$3</f>
        <v>338.58300000000003</v>
      </c>
    </row>
    <row r="29" spans="2:29" s="5" customFormat="1" x14ac:dyDescent="0.2">
      <c r="B29" s="5" t="s">
        <v>36</v>
      </c>
      <c r="C29" s="6"/>
      <c r="D29" s="6"/>
      <c r="E29" s="6"/>
      <c r="F29" s="6"/>
      <c r="G29" s="6"/>
      <c r="H29" s="6"/>
      <c r="I29" s="6"/>
      <c r="J29" s="6"/>
      <c r="K29" s="6">
        <v>90.712999999999994</v>
      </c>
      <c r="L29" s="6">
        <v>97.790999999999997</v>
      </c>
      <c r="M29" s="6"/>
      <c r="N29" s="6"/>
      <c r="Z29" s="17" t="s">
        <v>64</v>
      </c>
      <c r="AA29" s="19">
        <f>AA27/AA28</f>
        <v>173.08164082259677</v>
      </c>
      <c r="AB29" s="17" t="s">
        <v>64</v>
      </c>
      <c r="AC29" s="19">
        <f>AC27/AC28</f>
        <v>183.00367869618984</v>
      </c>
    </row>
    <row r="30" spans="2:29" s="5" customFormat="1" x14ac:dyDescent="0.2">
      <c r="B30" s="5" t="s">
        <v>37</v>
      </c>
      <c r="C30" s="6"/>
      <c r="D30" s="6"/>
      <c r="E30" s="6"/>
      <c r="F30" s="6"/>
      <c r="G30" s="6"/>
      <c r="H30" s="6"/>
      <c r="I30" s="6"/>
      <c r="J30" s="6"/>
      <c r="K30" s="6">
        <v>61.920999999999999</v>
      </c>
      <c r="L30" s="6">
        <v>64.016000000000005</v>
      </c>
      <c r="M30" s="6"/>
      <c r="N30" s="6"/>
      <c r="Z30" s="17" t="s">
        <v>65</v>
      </c>
      <c r="AA30" s="20">
        <f>(AA29-Main!$O$2)/Main!$O$2</f>
        <v>3.853138619102827E-2</v>
      </c>
      <c r="AB30" s="17" t="s">
        <v>65</v>
      </c>
      <c r="AC30" s="20">
        <f>(AC29-Main!$O$2)/Main!$O$2</f>
        <v>9.806599481693172E-2</v>
      </c>
    </row>
    <row r="31" spans="2:29" s="5" customFormat="1" x14ac:dyDescent="0.2">
      <c r="B31" s="5" t="s">
        <v>38</v>
      </c>
      <c r="C31" s="6"/>
      <c r="D31" s="6"/>
      <c r="E31" s="6"/>
      <c r="F31" s="6"/>
      <c r="G31" s="6"/>
      <c r="H31" s="6"/>
      <c r="I31" s="6"/>
      <c r="J31" s="6"/>
      <c r="K31" s="6">
        <f>292.032+14.088</f>
        <v>306.12</v>
      </c>
      <c r="L31" s="6">
        <f>334.687+17.96</f>
        <v>352.64699999999999</v>
      </c>
      <c r="M31" s="6"/>
      <c r="N31" s="6"/>
      <c r="Z31" s="17" t="s">
        <v>66</v>
      </c>
      <c r="AA31" s="18">
        <f>AA28*AA29</f>
        <v>58602.501194637283</v>
      </c>
      <c r="AB31" s="17" t="s">
        <v>66</v>
      </c>
      <c r="AC31" s="18">
        <f>AC28*AC29</f>
        <v>61961.934543992051</v>
      </c>
    </row>
    <row r="32" spans="2:29" s="5" customFormat="1" x14ac:dyDescent="0.2">
      <c r="B32" s="5" t="s">
        <v>39</v>
      </c>
      <c r="C32" s="6"/>
      <c r="D32" s="6"/>
      <c r="E32" s="6"/>
      <c r="F32" s="6"/>
      <c r="G32" s="6"/>
      <c r="H32" s="6"/>
      <c r="I32" s="6"/>
      <c r="J32" s="6"/>
      <c r="K32" s="6">
        <v>20.413</v>
      </c>
      <c r="L32" s="6">
        <v>20.390999999999998</v>
      </c>
      <c r="M32" s="6"/>
      <c r="N32" s="6"/>
    </row>
    <row r="33" spans="2:14" s="5" customFormat="1" x14ac:dyDescent="0.2">
      <c r="B33" s="5" t="s">
        <v>32</v>
      </c>
      <c r="C33" s="6"/>
      <c r="D33" s="6"/>
      <c r="E33" s="6"/>
      <c r="F33" s="6"/>
      <c r="G33" s="6"/>
      <c r="H33" s="6"/>
      <c r="I33" s="6"/>
      <c r="J33" s="6"/>
      <c r="K33" s="6">
        <f>SUM(K25:K32)</f>
        <v>2529.0149999999999</v>
      </c>
      <c r="L33" s="6">
        <f>SUM(L25:L32)</f>
        <v>2654.4870000000001</v>
      </c>
      <c r="M33" s="6"/>
      <c r="N33" s="6"/>
    </row>
    <row r="35" spans="2:14" s="5" customFormat="1" x14ac:dyDescent="0.2">
      <c r="B35" s="5" t="s">
        <v>40</v>
      </c>
      <c r="C35" s="6"/>
      <c r="D35" s="6"/>
      <c r="E35" s="6"/>
      <c r="F35" s="6"/>
      <c r="G35" s="6"/>
      <c r="H35" s="6"/>
      <c r="I35" s="6"/>
      <c r="J35" s="6"/>
      <c r="K35" s="6">
        <v>18.629000000000001</v>
      </c>
      <c r="L35" s="6">
        <v>47.65</v>
      </c>
      <c r="M35" s="6"/>
      <c r="N35" s="6"/>
    </row>
    <row r="36" spans="2:14" s="5" customFormat="1" x14ac:dyDescent="0.2">
      <c r="B36" s="5" t="s">
        <v>41</v>
      </c>
      <c r="C36" s="6"/>
      <c r="D36" s="6"/>
      <c r="E36" s="6"/>
      <c r="F36" s="6"/>
      <c r="G36" s="6"/>
      <c r="H36" s="6"/>
      <c r="I36" s="6"/>
      <c r="J36" s="6"/>
      <c r="K36" s="6">
        <v>108.211</v>
      </c>
      <c r="L36" s="6">
        <v>111.622</v>
      </c>
      <c r="M36" s="6"/>
      <c r="N36" s="6"/>
    </row>
    <row r="37" spans="2:14" s="5" customFormat="1" x14ac:dyDescent="0.2">
      <c r="B37" s="5" t="s">
        <v>37</v>
      </c>
      <c r="C37" s="6"/>
      <c r="D37" s="6"/>
      <c r="E37" s="6"/>
      <c r="F37" s="6"/>
      <c r="G37" s="6"/>
      <c r="H37" s="6"/>
      <c r="I37" s="6"/>
      <c r="J37" s="6"/>
      <c r="K37" s="6">
        <f>20.32+51.817</f>
        <v>72.137</v>
      </c>
      <c r="L37" s="6">
        <f>22.357+51.771</f>
        <v>74.128</v>
      </c>
      <c r="M37" s="6"/>
      <c r="N37" s="6"/>
    </row>
    <row r="38" spans="2:14" s="5" customFormat="1" x14ac:dyDescent="0.2">
      <c r="B38" s="5" t="s">
        <v>42</v>
      </c>
      <c r="C38" s="6"/>
      <c r="D38" s="6"/>
      <c r="E38" s="6"/>
      <c r="F38" s="6"/>
      <c r="G38" s="6"/>
      <c r="H38" s="6"/>
      <c r="I38" s="6"/>
      <c r="J38" s="6"/>
      <c r="K38" s="6">
        <f>454.812+12.798</f>
        <v>467.61</v>
      </c>
      <c r="L38" s="6">
        <f>444.247+14.526</f>
        <v>458.77300000000002</v>
      </c>
      <c r="M38" s="6"/>
      <c r="N38" s="6"/>
    </row>
    <row r="39" spans="2:14" s="5" customFormat="1" x14ac:dyDescent="0.2">
      <c r="B39" s="5" t="s">
        <v>4</v>
      </c>
      <c r="C39" s="6"/>
      <c r="D39" s="6"/>
      <c r="E39" s="6"/>
      <c r="F39" s="6"/>
      <c r="G39" s="6"/>
      <c r="H39" s="6"/>
      <c r="I39" s="6"/>
      <c r="J39" s="6"/>
      <c r="K39" s="6">
        <v>736.31799999999998</v>
      </c>
      <c r="L39" s="6">
        <v>737.16</v>
      </c>
      <c r="M39" s="6"/>
      <c r="N39" s="6"/>
    </row>
    <row r="40" spans="2:14" s="5" customFormat="1" x14ac:dyDescent="0.2">
      <c r="B40" s="5" t="s">
        <v>39</v>
      </c>
      <c r="C40" s="6"/>
      <c r="D40" s="6"/>
      <c r="E40" s="6"/>
      <c r="F40" s="6"/>
      <c r="G40" s="6"/>
      <c r="H40" s="6"/>
      <c r="I40" s="6"/>
      <c r="J40" s="6"/>
      <c r="K40" s="6">
        <v>9.2530000000000001</v>
      </c>
      <c r="L40" s="6">
        <v>10.034000000000001</v>
      </c>
      <c r="M40" s="6"/>
      <c r="N40" s="6"/>
    </row>
    <row r="41" spans="2:14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/>
      <c r="K41" s="6">
        <v>1116.857</v>
      </c>
      <c r="L41" s="6">
        <v>1215.1199999999999</v>
      </c>
      <c r="M41" s="6"/>
      <c r="N41" s="6"/>
    </row>
    <row r="42" spans="2:14" s="5" customFormat="1" x14ac:dyDescent="0.2">
      <c r="B42" s="5" t="s">
        <v>44</v>
      </c>
      <c r="C42" s="6"/>
      <c r="D42" s="6"/>
      <c r="E42" s="6"/>
      <c r="F42" s="6"/>
      <c r="G42" s="6"/>
      <c r="H42" s="6"/>
      <c r="I42" s="6"/>
      <c r="J42" s="6"/>
      <c r="K42" s="6">
        <f>SUM(K35:K41)</f>
        <v>2529.0149999999999</v>
      </c>
      <c r="L42" s="6">
        <f>SUM(L35:L41)</f>
        <v>2654.4870000000001</v>
      </c>
      <c r="M42" s="6"/>
      <c r="N42" s="6"/>
    </row>
    <row r="44" spans="2:14" s="5" customFormat="1" x14ac:dyDescent="0.2">
      <c r="B44" s="5" t="s">
        <v>48</v>
      </c>
      <c r="C44" s="6"/>
      <c r="D44" s="6"/>
      <c r="E44" s="6"/>
      <c r="F44" s="6"/>
      <c r="G44" s="6"/>
      <c r="H44" s="6"/>
      <c r="I44" s="6"/>
      <c r="J44" s="6"/>
      <c r="K44" s="6">
        <f>+K17</f>
        <v>-41.381</v>
      </c>
      <c r="L44" s="6"/>
      <c r="M44" s="6"/>
      <c r="N44" s="6"/>
    </row>
    <row r="45" spans="2:14" s="5" customFormat="1" x14ac:dyDescent="0.2"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>
        <v>9.7379999999999995</v>
      </c>
      <c r="L45" s="6"/>
      <c r="M45" s="6"/>
      <c r="N45" s="6"/>
    </row>
    <row r="46" spans="2:14" s="5" customFormat="1" x14ac:dyDescent="0.2">
      <c r="B46" s="5" t="s">
        <v>50</v>
      </c>
      <c r="C46" s="6"/>
      <c r="D46" s="6"/>
      <c r="E46" s="6"/>
      <c r="F46" s="6"/>
      <c r="G46" s="6"/>
      <c r="H46" s="6"/>
      <c r="I46" s="6"/>
      <c r="J46" s="6"/>
      <c r="K46" s="6">
        <v>7.3940000000000001</v>
      </c>
      <c r="L46" s="6"/>
      <c r="M46" s="6"/>
      <c r="N46" s="6"/>
    </row>
    <row r="47" spans="2:14" s="5" customFormat="1" x14ac:dyDescent="0.2">
      <c r="B47" s="5" t="s">
        <v>51</v>
      </c>
      <c r="C47" s="6"/>
      <c r="D47" s="6"/>
      <c r="E47" s="6"/>
      <c r="F47" s="6"/>
      <c r="G47" s="6"/>
      <c r="H47" s="6"/>
      <c r="I47" s="6"/>
      <c r="J47" s="6"/>
      <c r="K47" s="6">
        <v>3.9590000000000001</v>
      </c>
      <c r="L47" s="6"/>
      <c r="M47" s="6"/>
      <c r="N47" s="6"/>
    </row>
    <row r="48" spans="2:14" s="5" customFormat="1" x14ac:dyDescent="0.2">
      <c r="B48" s="5" t="s">
        <v>52</v>
      </c>
      <c r="C48" s="6"/>
      <c r="D48" s="6"/>
      <c r="E48" s="6"/>
      <c r="F48" s="6"/>
      <c r="G48" s="6"/>
      <c r="H48" s="6"/>
      <c r="I48" s="6"/>
      <c r="J48" s="6"/>
      <c r="K48" s="6">
        <v>0.84</v>
      </c>
      <c r="L48" s="6"/>
      <c r="M48" s="6"/>
      <c r="N48" s="6"/>
    </row>
    <row r="49" spans="2:14" s="5" customFormat="1" x14ac:dyDescent="0.2">
      <c r="B49" s="5" t="s">
        <v>53</v>
      </c>
      <c r="C49" s="6"/>
      <c r="D49" s="6"/>
      <c r="E49" s="6"/>
      <c r="F49" s="6"/>
      <c r="G49" s="6"/>
      <c r="H49" s="6"/>
      <c r="I49" s="6"/>
      <c r="J49" s="6"/>
      <c r="K49" s="6">
        <v>6.0220000000000002</v>
      </c>
      <c r="L49" s="6"/>
      <c r="M49" s="6"/>
      <c r="N49" s="6"/>
    </row>
    <row r="50" spans="2:14" s="5" customFormat="1" x14ac:dyDescent="0.2">
      <c r="B50" s="5" t="s">
        <v>54</v>
      </c>
      <c r="C50" s="6"/>
      <c r="D50" s="6"/>
      <c r="E50" s="6"/>
      <c r="F50" s="6"/>
      <c r="G50" s="6"/>
      <c r="H50" s="6"/>
      <c r="I50" s="6"/>
      <c r="J50" s="6"/>
      <c r="K50" s="6">
        <v>66.884</v>
      </c>
      <c r="L50" s="6"/>
      <c r="M50" s="6"/>
      <c r="N50" s="6"/>
    </row>
    <row r="51" spans="2:14" s="5" customFormat="1" x14ac:dyDescent="0.2">
      <c r="B51" s="5" t="s">
        <v>37</v>
      </c>
      <c r="C51" s="6"/>
      <c r="D51" s="6"/>
      <c r="E51" s="6"/>
      <c r="F51" s="6"/>
      <c r="G51" s="6"/>
      <c r="H51" s="6"/>
      <c r="I51" s="6"/>
      <c r="J51" s="6"/>
      <c r="K51" s="6">
        <v>4.4109999999999996</v>
      </c>
      <c r="L51" s="6"/>
      <c r="M51" s="6"/>
      <c r="N51" s="6"/>
    </row>
    <row r="52" spans="2:14" s="5" customFormat="1" x14ac:dyDescent="0.2">
      <c r="B52" s="5" t="s">
        <v>33</v>
      </c>
      <c r="C52" s="6"/>
      <c r="D52" s="6"/>
      <c r="E52" s="6"/>
      <c r="F52" s="6"/>
      <c r="G52" s="6"/>
      <c r="H52" s="6"/>
      <c r="I52" s="6"/>
      <c r="J52" s="6"/>
      <c r="K52" s="6">
        <v>0.79800000000000004</v>
      </c>
      <c r="L52" s="6"/>
      <c r="M52" s="6"/>
      <c r="N52" s="6"/>
    </row>
    <row r="53" spans="2:14" s="5" customFormat="1" x14ac:dyDescent="0.2">
      <c r="B53" s="5" t="s">
        <v>55</v>
      </c>
      <c r="C53" s="6"/>
      <c r="D53" s="6"/>
      <c r="E53" s="6"/>
      <c r="F53" s="6"/>
      <c r="G53" s="6"/>
      <c r="H53" s="6"/>
      <c r="I53" s="6"/>
      <c r="J53" s="6"/>
      <c r="K53" s="6">
        <v>0.82299999999999995</v>
      </c>
      <c r="L53" s="6"/>
      <c r="M53" s="6"/>
      <c r="N53" s="6"/>
    </row>
    <row r="54" spans="2:14" s="5" customFormat="1" x14ac:dyDescent="0.2">
      <c r="B54" s="5" t="s">
        <v>56</v>
      </c>
      <c r="C54" s="6"/>
      <c r="D54" s="6"/>
      <c r="E54" s="6"/>
      <c r="F54" s="6"/>
      <c r="G54" s="6"/>
      <c r="H54" s="6"/>
      <c r="I54" s="6"/>
      <c r="J54" s="6"/>
      <c r="K54" s="6">
        <f>-7.319-8.166-8.391-0.805-7.624-2.911+81.735</f>
        <v>46.518999999999998</v>
      </c>
      <c r="L54" s="6"/>
      <c r="M54" s="6"/>
      <c r="N54" s="6"/>
    </row>
    <row r="55" spans="2:14" s="5" customFormat="1" x14ac:dyDescent="0.2">
      <c r="B55" s="5" t="s">
        <v>57</v>
      </c>
      <c r="C55" s="6"/>
      <c r="D55" s="6"/>
      <c r="E55" s="6"/>
      <c r="F55" s="6"/>
      <c r="G55" s="6"/>
      <c r="H55" s="6"/>
      <c r="I55" s="6"/>
      <c r="J55" s="6"/>
      <c r="K55" s="6">
        <f>SUM(K45:K54)</f>
        <v>147.38799999999998</v>
      </c>
      <c r="L55" s="6"/>
      <c r="M55" s="6"/>
      <c r="N55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</cp:lastModifiedBy>
  <dcterms:created xsi:type="dcterms:W3CDTF">2022-09-02T02:52:19Z</dcterms:created>
  <dcterms:modified xsi:type="dcterms:W3CDTF">2025-02-10T02:14:55Z</dcterms:modified>
</cp:coreProperties>
</file>