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GitHub\martinshkreli-models\"/>
    </mc:Choice>
  </mc:AlternateContent>
  <xr:revisionPtr revIDLastSave="0" documentId="13_ncr:1_{E9B60660-81A4-4C11-A54F-1D5DB295AB48}" xr6:coauthVersionLast="47" xr6:coauthVersionMax="47" xr10:uidLastSave="{00000000-0000-0000-0000-000000000000}"/>
  <bookViews>
    <workbookView xWindow="20580" yWindow="90" windowWidth="31035" windowHeight="20805" activeTab="1" xr2:uid="{3FD86B5C-07F1-42A4-9D66-8FB9C4BAF17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6" i="2" l="1"/>
  <c r="Z7" i="2"/>
  <c r="S22" i="2"/>
  <c r="S21" i="2"/>
  <c r="X6" i="2"/>
  <c r="Z6" i="2"/>
  <c r="Y6" i="2"/>
  <c r="R16" i="2"/>
  <c r="R14" i="2"/>
  <c r="R12" i="2"/>
  <c r="J16" i="2"/>
  <c r="J14" i="2"/>
  <c r="J11" i="2"/>
  <c r="J10" i="2"/>
  <c r="J9" i="2"/>
  <c r="J7" i="2"/>
  <c r="R22" i="2"/>
  <c r="Q22" i="2"/>
  <c r="P22" i="2"/>
  <c r="O22" i="2"/>
  <c r="N22" i="2"/>
  <c r="M22" i="2"/>
  <c r="L22" i="2"/>
  <c r="K22" i="2"/>
  <c r="J22" i="2"/>
  <c r="I22" i="2"/>
  <c r="H22" i="2"/>
  <c r="J6" i="2"/>
  <c r="G14" i="2"/>
  <c r="H14" i="2"/>
  <c r="I14" i="2"/>
  <c r="N16" i="2"/>
  <c r="K14" i="2"/>
  <c r="L14" i="2"/>
  <c r="P14" i="2"/>
  <c r="O14" i="2"/>
  <c r="Q14" i="2"/>
  <c r="M14" i="2"/>
  <c r="N11" i="2"/>
  <c r="N10" i="2"/>
  <c r="R8" i="2"/>
  <c r="R23" i="2" s="1"/>
  <c r="X28" i="2"/>
  <c r="V28" i="2"/>
  <c r="R13" i="2" l="1"/>
  <c r="R15" i="2" s="1"/>
  <c r="R17" i="2" s="1"/>
  <c r="R18" i="2" s="1"/>
  <c r="AA7" i="2"/>
  <c r="AB7" i="2" s="1"/>
  <c r="AC7" i="2" s="1"/>
  <c r="AD7" i="2" s="1"/>
  <c r="AE7" i="2" s="1"/>
  <c r="AF7" i="2" s="1"/>
  <c r="AG7" i="2" s="1"/>
  <c r="AH7" i="2" s="1"/>
  <c r="AH8" i="2" s="1"/>
  <c r="X5" i="2"/>
  <c r="Q21" i="2"/>
  <c r="Q12" i="2"/>
  <c r="Q8" i="2"/>
  <c r="P21" i="2"/>
  <c r="Y7" i="2"/>
  <c r="Z5" i="2"/>
  <c r="P12" i="2"/>
  <c r="P8" i="2"/>
  <c r="P23" i="2" s="1"/>
  <c r="Z8" i="2" l="1"/>
  <c r="AE8" i="2"/>
  <c r="AC8" i="2"/>
  <c r="AB8" i="2"/>
  <c r="Q13" i="2"/>
  <c r="Q15" i="2" s="1"/>
  <c r="Q17" i="2" s="1"/>
  <c r="Q18" i="2" s="1"/>
  <c r="Q23" i="2"/>
  <c r="Y5" i="2"/>
  <c r="AG8" i="2"/>
  <c r="AF8" i="2"/>
  <c r="AD8" i="2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X7" i="2" s="1"/>
  <c r="CY7" i="2" s="1"/>
  <c r="CZ7" i="2" s="1"/>
  <c r="DA7" i="2" s="1"/>
  <c r="DB7" i="2" s="1"/>
  <c r="DC7" i="2" s="1"/>
  <c r="AA8" i="2"/>
  <c r="R21" i="2"/>
  <c r="P13" i="2"/>
  <c r="P15" i="2" s="1"/>
  <c r="P17" i="2" s="1"/>
  <c r="P18" i="2" s="1"/>
  <c r="X27" i="2" l="1"/>
  <c r="X29" i="2" s="1"/>
  <c r="X30" i="2" s="1"/>
  <c r="AB6" i="2"/>
  <c r="AA5" i="2"/>
  <c r="O12" i="2"/>
  <c r="O8" i="2"/>
  <c r="O23" i="2" s="1"/>
  <c r="N12" i="2"/>
  <c r="N8" i="2"/>
  <c r="N23" i="2" s="1"/>
  <c r="M12" i="2"/>
  <c r="M8" i="2"/>
  <c r="M23" i="2" s="1"/>
  <c r="O21" i="2"/>
  <c r="K54" i="2"/>
  <c r="K55" i="2" s="1"/>
  <c r="K37" i="2"/>
  <c r="K38" i="2"/>
  <c r="K25" i="2"/>
  <c r="K27" i="2"/>
  <c r="K31" i="2"/>
  <c r="N21" i="2"/>
  <c r="M21" i="2"/>
  <c r="X2" i="2"/>
  <c r="Y2" i="2" s="1"/>
  <c r="Z2" i="2" s="1"/>
  <c r="AA2" i="2" s="1"/>
  <c r="K21" i="2"/>
  <c r="L21" i="2"/>
  <c r="E12" i="2"/>
  <c r="E8" i="2"/>
  <c r="E23" i="2" s="1"/>
  <c r="I12" i="2"/>
  <c r="I8" i="2"/>
  <c r="I23" i="2" s="1"/>
  <c r="F12" i="2"/>
  <c r="F8" i="2"/>
  <c r="F23" i="2" s="1"/>
  <c r="J12" i="2"/>
  <c r="J8" i="2"/>
  <c r="J23" i="2" s="1"/>
  <c r="G12" i="2"/>
  <c r="G8" i="2"/>
  <c r="G23" i="2" s="1"/>
  <c r="K12" i="2"/>
  <c r="K8" i="2"/>
  <c r="K23" i="2" s="1"/>
  <c r="X31" i="2" l="1"/>
  <c r="M13" i="2"/>
  <c r="M15" i="2" s="1"/>
  <c r="M17" i="2" s="1"/>
  <c r="M18" i="2" s="1"/>
  <c r="AC6" i="2"/>
  <c r="AB5" i="2"/>
  <c r="N13" i="2"/>
  <c r="N15" i="2" s="1"/>
  <c r="N17" i="2" s="1"/>
  <c r="N18" i="2" s="1"/>
  <c r="O13" i="2"/>
  <c r="O15" i="2" s="1"/>
  <c r="O17" i="2" s="1"/>
  <c r="O18" i="2" s="1"/>
  <c r="K33" i="2"/>
  <c r="K42" i="2"/>
  <c r="G13" i="2"/>
  <c r="G15" i="2" s="1"/>
  <c r="G17" i="2" s="1"/>
  <c r="G18" i="2" s="1"/>
  <c r="E13" i="2"/>
  <c r="I13" i="2"/>
  <c r="I15" i="2" s="1"/>
  <c r="I17" i="2" s="1"/>
  <c r="I18" i="2" s="1"/>
  <c r="F13" i="2"/>
  <c r="F15" i="2" s="1"/>
  <c r="F17" i="2" s="1"/>
  <c r="F18" i="2" s="1"/>
  <c r="J13" i="2"/>
  <c r="J15" i="2" s="1"/>
  <c r="J17" i="2" s="1"/>
  <c r="J18" i="2" s="1"/>
  <c r="K13" i="2"/>
  <c r="K15" i="2" s="1"/>
  <c r="K17" i="2" s="1"/>
  <c r="E15" i="2" l="1"/>
  <c r="E17" i="2" s="1"/>
  <c r="E18" i="2" s="1"/>
  <c r="AD6" i="2"/>
  <c r="AC5" i="2"/>
  <c r="K18" i="2"/>
  <c r="K44" i="2"/>
  <c r="O4" i="1"/>
  <c r="O7" i="1" s="1"/>
  <c r="L37" i="2"/>
  <c r="L38" i="2"/>
  <c r="L25" i="2"/>
  <c r="L27" i="2"/>
  <c r="L31" i="2"/>
  <c r="H12" i="2"/>
  <c r="L12" i="2"/>
  <c r="L8" i="2"/>
  <c r="H8" i="2"/>
  <c r="H23" i="2" s="1"/>
  <c r="AE6" i="2" l="1"/>
  <c r="AD5" i="2"/>
  <c r="L23" i="2"/>
  <c r="L13" i="2"/>
  <c r="L15" i="2" s="1"/>
  <c r="L17" i="2" s="1"/>
  <c r="L18" i="2" s="1"/>
  <c r="L33" i="2"/>
  <c r="L42" i="2"/>
  <c r="H13" i="2"/>
  <c r="H15" i="2" s="1"/>
  <c r="H17" i="2" s="1"/>
  <c r="H18" i="2" s="1"/>
  <c r="AF6" i="2" l="1"/>
  <c r="AE5" i="2"/>
  <c r="AG6" i="2" l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AF5" i="2"/>
  <c r="AG5" i="2" l="1"/>
  <c r="V27" i="2" l="1"/>
  <c r="V29" i="2" s="1"/>
  <c r="V30" i="2" s="1"/>
  <c r="AH5" i="2"/>
  <c r="V31" i="2" l="1"/>
</calcChain>
</file>

<file path=xl/sharedStrings.xml><?xml version="1.0" encoding="utf-8"?>
<sst xmlns="http://schemas.openxmlformats.org/spreadsheetml/2006/main" count="92" uniqueCount="78">
  <si>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</si>
  <si>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</si>
  <si>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</si>
  <si>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</si>
  <si>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</si>
  <si>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</si>
  <si>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</si>
  <si>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</si>
  <si>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</si>
  <si>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</si>
  <si>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</si>
  <si>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</si>
  <si>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</si>
  <si>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</si>
  <si>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</si>
  <si>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</si>
  <si>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</si>
  <si>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</si>
  <si>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</si>
  <si>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</si>
  <si>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</si>
  <si>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</si>
  <si>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</si>
  <si>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</si>
  <si>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</si>
  <si>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OpEx</t>
  </si>
  <si>
    <t>OpInc</t>
  </si>
  <si>
    <t>Interest</t>
  </si>
  <si>
    <t>Pretax</t>
  </si>
  <si>
    <t>Net Income</t>
  </si>
  <si>
    <t>EPS</t>
  </si>
  <si>
    <t>Taxes</t>
  </si>
  <si>
    <t>Assets</t>
  </si>
  <si>
    <t>AR</t>
  </si>
  <si>
    <t>Deferred Contract</t>
  </si>
  <si>
    <t>Prepaids</t>
  </si>
  <si>
    <t>PP&amp;E</t>
  </si>
  <si>
    <t>Lease</t>
  </si>
  <si>
    <t>Goodwill</t>
  </si>
  <si>
    <t>Other</t>
  </si>
  <si>
    <t>AP</t>
  </si>
  <si>
    <t>AE</t>
  </si>
  <si>
    <t>DR</t>
  </si>
  <si>
    <t>SE</t>
  </si>
  <si>
    <t>L+SE</t>
  </si>
  <si>
    <t>Revenue y/y</t>
  </si>
  <si>
    <t>Gross Margin</t>
  </si>
  <si>
    <t>100k</t>
  </si>
  <si>
    <t>Model NI</t>
  </si>
  <si>
    <t>Reported NI</t>
  </si>
  <si>
    <t>D&amp;A</t>
  </si>
  <si>
    <t>Discounts</t>
  </si>
  <si>
    <t>Issuance</t>
  </si>
  <si>
    <t>D/Contracts</t>
  </si>
  <si>
    <t>SBC</t>
  </si>
  <si>
    <t>Loss on PP&amp;E</t>
  </si>
  <si>
    <t>WC</t>
  </si>
  <si>
    <t>CFFO</t>
  </si>
  <si>
    <t>Q123</t>
  </si>
  <si>
    <t>Q223</t>
  </si>
  <si>
    <t>Discount Rate</t>
  </si>
  <si>
    <t>Terminal Rate</t>
  </si>
  <si>
    <t>Growth Rate</t>
  </si>
  <si>
    <t>NPV</t>
  </si>
  <si>
    <t>Share Price</t>
  </si>
  <si>
    <t>Delta</t>
  </si>
  <si>
    <t>Market Cap</t>
  </si>
  <si>
    <t>FY</t>
  </si>
  <si>
    <t>Q323</t>
  </si>
  <si>
    <t>YOY%</t>
  </si>
  <si>
    <t>Q423</t>
  </si>
  <si>
    <t>Top</t>
  </si>
  <si>
    <t>Bottom</t>
  </si>
  <si>
    <t>if growth accelerates up</t>
  </si>
  <si>
    <t>Seq Rev %</t>
  </si>
  <si>
    <t>Target</t>
  </si>
  <si>
    <t>Current</t>
  </si>
  <si>
    <t>Q124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</si>
</sst>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1" xfId="0" applyBorder="1"/>
    <xf numFmtId="9" fontId="0" fillId="0" borderId="1" xfId="4" applyFont="1" applyBorder="1"/>
    <xf numFmtId="3" fontId="0" fillId="0" borderId="1" xfId="0" applyNumberFormat="1" applyBorder="1"/>
    <xf numFmtId="44" fontId="0" fillId="0" borderId="1" xfId="3" applyFont="1" applyBorder="1"/>
    <xf numFmtId="44" fontId="1" fillId="0" borderId="1" xfId="3" applyFont="1" applyBorder="1"/>
    <xf numFmtId="9" fontId="1" fillId="0" borderId="1" xfId="4" applyFont="1" applyBorder="1"/>
    <xf numFmtId="164" fontId="0" fillId="0" borderId="1" xfId="2" applyNumberFormat="1" applyFont="1" applyBorder="1"/>
    <xf numFmtId="9" fontId="0" fillId="0" borderId="0" xfId="4" applyFont="1"/>
    <xf numFmtId="165" fontId="1" fillId="0" borderId="1" xfId="4" applyNumberFormat="1" applyFont="1" applyBorder="1"/>
    <xf numFmtId="165" fontId="0" fillId="0" borderId="0" xfId="4" applyNumberFormat="1" applyFont="1"/>
    <xf numFmtId="10" fontId="0" fillId="0" borderId="0" xfId="4" applyNumberFormat="1" applyFont="1"/>
    <xf numFmtId="8" fontId="0" fillId="0" borderId="1" xfId="3" applyNumberFormat="1" applyFont="1" applyBorder="1"/>
    <xf numFmtId="9" fontId="1" fillId="0" borderId="0" xfId="4" applyFont="1" applyAlignment="1">
      <alignment horizontal="right"/>
    </xf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57150</xdr:rowOff>
    </xdr:from>
    <xdr:to>
      <xdr:col>12</xdr:col>
      <xdr:colOff>47625</xdr:colOff>
      <xdr:row>58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DDFA4D5-0B38-8039-23CD-D7314E60DE78}"/>
            </a:ext>
          </a:extLst>
        </xdr:cNvPr>
        <xdr:cNvCxnSpPr/>
      </xdr:nvCxnSpPr>
      <xdr:spPr>
        <a:xfrm>
          <a:off x="7200900" y="57150"/>
          <a:ext cx="0" cy="857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D0B1-E685-4627-8A01-75A3D2BDF860}">
  <dimension ref="N2:P7"/>
  <sheetViews>
    <sheetView topLeftCell="D1" workbookViewId="0">
      <selection activeCell="R32" sqref="R32"/>
    </sheetView>
  </sheetViews>
  <sheetFormatPr defaultRowHeight="12.75" x14ac:dyDescent="0.2"/>
  <sheetData>
    <row r="2" spans="14:16" x14ac:dyDescent="0.2">
      <c r="N2" t="s">
        <v>0</v>
      </c>
      <c r="O2" s="1">
        <v>107.92</v>
      </c>
    </row>
    <row r="3" spans="14:16" x14ac:dyDescent="0.2">
      <c r="N3" t="s">
        <v>1</v>
      </c>
      <c r="O3" s="5">
        <v>298.08999999999997</v>
      </c>
      <c r="P3" s="2"/>
    </row>
    <row r="4" spans="14:16" x14ac:dyDescent="0.2">
      <c r="N4" t="s">
        <v>2</v>
      </c>
      <c r="O4" s="5">
        <f>+O2*O3</f>
        <v>32169.872799999997</v>
      </c>
    </row>
    <row r="5" spans="14:16" x14ac:dyDescent="0.2">
      <c r="N5" t="s">
        <v>3</v>
      </c>
      <c r="O5" s="5">
        <v>1670</v>
      </c>
      <c r="P5" s="2"/>
    </row>
    <row r="6" spans="14:16" x14ac:dyDescent="0.2">
      <c r="N6" t="s">
        <v>4</v>
      </c>
      <c r="O6" s="5">
        <v>1440</v>
      </c>
      <c r="P6" s="2"/>
    </row>
    <row r="7" spans="14:16" x14ac:dyDescent="0.2">
      <c r="N7" t="s">
        <v>5</v>
      </c>
      <c r="O7" s="5">
        <f>+O4-O5+O6</f>
        <v>31939.872799999997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D0F6-F818-4D6B-9D91-E5CB5E0CBE0F}">
  <dimension ref="A1:DC55"/>
  <sheetViews>
    <sheetView tabSelected="1" zoomScale="130" zoomScaleNormal="13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AC32" sqref="AC32"/>
    </sheetView>
  </sheetViews>
  <sheetFormatPr defaultRowHeight="12.75" x14ac:dyDescent="0.2"/>
  <cols>
    <col min="1" max="1" width="5" bestFit="1" customWidth="1"/>
    <col min="2" max="2" width="13.28515625" customWidth="1"/>
    <col min="3" max="13" width="9.140625" style="2"/>
    <col min="14" max="14" width="10.140625" style="2" bestFit="1" customWidth="1"/>
    <col min="18" max="18" width="10.140625" bestFit="1" customWidth="1"/>
    <col min="21" max="21" width="12.7109375" bestFit="1" customWidth="1"/>
    <col min="22" max="23" width="11.28515625" bestFit="1" customWidth="1"/>
    <col min="24" max="24" width="14.28515625" customWidth="1"/>
  </cols>
  <sheetData>
    <row r="1" spans="1:107" x14ac:dyDescent="0.2">
      <c r="A1" s="8" t="s">
        <v>6</v>
      </c>
      <c r="L1" s="13">
        <v>44742</v>
      </c>
      <c r="M1" s="13">
        <v>44834</v>
      </c>
      <c r="N1" s="13">
        <v>44926</v>
      </c>
      <c r="O1" s="14">
        <v>45016</v>
      </c>
      <c r="P1" s="13">
        <v>45107</v>
      </c>
      <c r="Q1" s="13">
        <v>45199</v>
      </c>
      <c r="R1" s="13">
        <v>45291</v>
      </c>
      <c r="V1" t="s">
        <v>67</v>
      </c>
    </row>
    <row r="2" spans="1:107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58</v>
      </c>
      <c r="P2" s="2" t="s">
        <v>59</v>
      </c>
      <c r="Q2" s="2" t="s">
        <v>68</v>
      </c>
      <c r="R2" s="2" t="s">
        <v>70</v>
      </c>
      <c r="S2" s="2" t="s">
        <v>77</v>
      </c>
      <c r="T2" s="2"/>
      <c r="U2" s="2"/>
      <c r="V2" s="2"/>
      <c r="W2">
        <v>2020</v>
      </c>
      <c r="X2">
        <f>+W2+1</f>
        <v>2021</v>
      </c>
      <c r="Y2">
        <f t="shared" ref="Y2:AA2" si="0">+X2+1</f>
        <v>2022</v>
      </c>
      <c r="Z2">
        <f t="shared" si="0"/>
        <v>2023</v>
      </c>
      <c r="AA2">
        <f t="shared" si="0"/>
        <v>2024</v>
      </c>
      <c r="AB2">
        <v>2025</v>
      </c>
      <c r="AC2">
        <v>2026</v>
      </c>
      <c r="AD2">
        <v>2027</v>
      </c>
      <c r="AE2">
        <v>2028</v>
      </c>
      <c r="AF2">
        <v>2029</v>
      </c>
      <c r="AG2">
        <v>2030</v>
      </c>
    </row>
    <row r="3" spans="1:107" x14ac:dyDescent="0.2">
      <c r="B3" t="s">
        <v>47</v>
      </c>
      <c r="G3" s="2">
        <v>1406</v>
      </c>
      <c r="H3" s="2">
        <v>1570</v>
      </c>
      <c r="K3" s="2">
        <v>2250</v>
      </c>
      <c r="L3" s="2">
        <v>2420</v>
      </c>
    </row>
    <row r="4" spans="1:107" x14ac:dyDescent="0.2">
      <c r="Z4" s="25"/>
    </row>
    <row r="5" spans="1:107" x14ac:dyDescent="0.2">
      <c r="V5" t="s">
        <v>69</v>
      </c>
      <c r="W5" s="22"/>
      <c r="X5" s="22">
        <f t="shared" ref="W5:AH5" si="1">(X6-W6)/W6</f>
        <v>0.52282170190159583</v>
      </c>
      <c r="Y5" s="22">
        <f t="shared" si="1"/>
        <v>0.48574858399880538</v>
      </c>
      <c r="Z5" s="24">
        <f t="shared" si="1"/>
        <v>0.32960450494420124</v>
      </c>
      <c r="AA5" s="24">
        <f t="shared" si="1"/>
        <v>0.27241964862709755</v>
      </c>
      <c r="AB5" s="24">
        <f t="shared" si="1"/>
        <v>0.27</v>
      </c>
      <c r="AC5" s="24">
        <f t="shared" si="1"/>
        <v>0.26999999999999991</v>
      </c>
      <c r="AD5" s="24">
        <f t="shared" si="1"/>
        <v>0.26999999999999996</v>
      </c>
      <c r="AE5" s="24">
        <f t="shared" si="1"/>
        <v>0.27000000000000007</v>
      </c>
      <c r="AF5" s="24">
        <f t="shared" si="1"/>
        <v>0.26999999999999996</v>
      </c>
      <c r="AG5" s="24">
        <f t="shared" si="1"/>
        <v>0.27000000000000007</v>
      </c>
      <c r="AH5" s="24">
        <f t="shared" si="1"/>
        <v>9.9999999999999499E-3</v>
      </c>
    </row>
    <row r="6" spans="1:107" s="3" customFormat="1" x14ac:dyDescent="0.2">
      <c r="B6" s="3" t="s">
        <v>7</v>
      </c>
      <c r="C6" s="4"/>
      <c r="D6" s="4"/>
      <c r="E6" s="4"/>
      <c r="F6" s="4"/>
      <c r="G6" s="4">
        <v>138.05500000000001</v>
      </c>
      <c r="H6" s="4">
        <v>152.428</v>
      </c>
      <c r="I6" s="4">
        <v>172.34700000000001</v>
      </c>
      <c r="J6" s="4">
        <f>656.426-SUM(G6:I6)</f>
        <v>193.596</v>
      </c>
      <c r="K6" s="4">
        <v>212.167</v>
      </c>
      <c r="L6" s="4">
        <v>234.517</v>
      </c>
      <c r="M6" s="4">
        <v>253.9</v>
      </c>
      <c r="N6" s="4">
        <v>274.7</v>
      </c>
      <c r="O6" s="3">
        <v>290.17500000000001</v>
      </c>
      <c r="P6" s="3">
        <v>308.49400000000003</v>
      </c>
      <c r="Q6" s="3">
        <v>335.6</v>
      </c>
      <c r="R6" s="3">
        <v>362.47300000000001</v>
      </c>
      <c r="S6" s="3">
        <v>373</v>
      </c>
      <c r="V6" s="3" t="s">
        <v>75</v>
      </c>
      <c r="W6" s="3">
        <v>431.05900000000003</v>
      </c>
      <c r="X6" s="3">
        <f>SUM(G6:J6)</f>
        <v>656.42600000000004</v>
      </c>
      <c r="Y6" s="3">
        <f>SUM($K$6:$N$6)</f>
        <v>975.28399999999988</v>
      </c>
      <c r="Z6" s="3">
        <f>SUM(O6:R6)</f>
        <v>1296.7420000000002</v>
      </c>
      <c r="AA6" s="3">
        <f>(1652+1648)/2</f>
        <v>1650</v>
      </c>
      <c r="AB6" s="3">
        <f t="shared" ref="AA6:AG6" si="2">AA6*(1+$V$24)</f>
        <v>2095.5</v>
      </c>
      <c r="AC6" s="3">
        <f t="shared" si="2"/>
        <v>2661.2849999999999</v>
      </c>
      <c r="AD6" s="3">
        <f t="shared" si="2"/>
        <v>3379.8319499999998</v>
      </c>
      <c r="AE6" s="3">
        <f t="shared" si="2"/>
        <v>4292.3865765</v>
      </c>
      <c r="AF6" s="3">
        <f t="shared" si="2"/>
        <v>5451.330952155</v>
      </c>
      <c r="AG6" s="3">
        <f t="shared" si="2"/>
        <v>6923.1903092368502</v>
      </c>
      <c r="AH6" s="3">
        <f>AG6*(1+$V$25)</f>
        <v>6992.4222123292184</v>
      </c>
      <c r="AI6" s="3">
        <f t="shared" ref="AI6:CT6" si="3">AH6*(1+$V$25)</f>
        <v>7062.3464344525109</v>
      </c>
      <c r="AJ6" s="3">
        <f t="shared" si="3"/>
        <v>7132.969898797036</v>
      </c>
      <c r="AK6" s="3">
        <f t="shared" si="3"/>
        <v>7204.299597785006</v>
      </c>
      <c r="AL6" s="3">
        <f t="shared" si="3"/>
        <v>7276.3425937628563</v>
      </c>
      <c r="AM6" s="3">
        <f t="shared" si="3"/>
        <v>7349.1060197004845</v>
      </c>
      <c r="AN6" s="3">
        <f t="shared" si="3"/>
        <v>7422.5970798974895</v>
      </c>
      <c r="AO6" s="3">
        <f t="shared" si="3"/>
        <v>7496.8230506964646</v>
      </c>
      <c r="AP6" s="3">
        <f t="shared" si="3"/>
        <v>7571.7912812034292</v>
      </c>
      <c r="AQ6" s="3">
        <f t="shared" si="3"/>
        <v>7647.5091940154634</v>
      </c>
      <c r="AR6" s="3">
        <f t="shared" si="3"/>
        <v>7723.9842859556184</v>
      </c>
      <c r="AS6" s="3">
        <f t="shared" si="3"/>
        <v>7801.2241288151745</v>
      </c>
      <c r="AT6" s="3">
        <f t="shared" si="3"/>
        <v>7879.2363701033264</v>
      </c>
      <c r="AU6" s="3">
        <f t="shared" si="3"/>
        <v>7958.0287338043599</v>
      </c>
      <c r="AV6" s="3">
        <f t="shared" si="3"/>
        <v>8037.6090211424034</v>
      </c>
      <c r="AW6" s="3">
        <f t="shared" si="3"/>
        <v>8117.985111353828</v>
      </c>
      <c r="AX6" s="3">
        <f t="shared" si="3"/>
        <v>8199.1649624673664</v>
      </c>
      <c r="AY6" s="3">
        <f t="shared" si="3"/>
        <v>8281.1566120920397</v>
      </c>
      <c r="AZ6" s="3">
        <f t="shared" si="3"/>
        <v>8363.968178212961</v>
      </c>
      <c r="BA6" s="3">
        <f t="shared" si="3"/>
        <v>8447.6078599950906</v>
      </c>
      <c r="BB6" s="3">
        <f t="shared" si="3"/>
        <v>8532.0839385950421</v>
      </c>
      <c r="BC6" s="3">
        <f t="shared" si="3"/>
        <v>8617.4047779809935</v>
      </c>
      <c r="BD6" s="3">
        <f t="shared" si="3"/>
        <v>8703.5788257608037</v>
      </c>
      <c r="BE6" s="3">
        <f t="shared" si="3"/>
        <v>8790.6146140184119</v>
      </c>
      <c r="BF6" s="3">
        <f t="shared" si="3"/>
        <v>8878.5207601585953</v>
      </c>
      <c r="BG6" s="3">
        <f t="shared" si="3"/>
        <v>8967.3059677601814</v>
      </c>
      <c r="BH6" s="3">
        <f t="shared" si="3"/>
        <v>9056.9790274377829</v>
      </c>
      <c r="BI6" s="3">
        <f t="shared" si="3"/>
        <v>9147.5488177121606</v>
      </c>
      <c r="BJ6" s="3">
        <f t="shared" si="3"/>
        <v>9239.0243058892829</v>
      </c>
      <c r="BK6" s="3">
        <f t="shared" si="3"/>
        <v>9331.4145489481762</v>
      </c>
      <c r="BL6" s="3">
        <f t="shared" si="3"/>
        <v>9424.7286944376574</v>
      </c>
      <c r="BM6" s="3">
        <f t="shared" si="3"/>
        <v>9518.9759813820347</v>
      </c>
      <c r="BN6" s="3">
        <f t="shared" si="3"/>
        <v>9614.1657411958549</v>
      </c>
      <c r="BO6" s="3">
        <f t="shared" si="3"/>
        <v>9710.3073986078143</v>
      </c>
      <c r="BP6" s="3">
        <f t="shared" si="3"/>
        <v>9807.4104725938923</v>
      </c>
      <c r="BQ6" s="3">
        <f t="shared" si="3"/>
        <v>9905.4845773198322</v>
      </c>
      <c r="BR6" s="3">
        <f t="shared" si="3"/>
        <v>10004.539423093031</v>
      </c>
      <c r="BS6" s="3">
        <f t="shared" si="3"/>
        <v>10104.584817323961</v>
      </c>
      <c r="BT6" s="3">
        <f t="shared" si="3"/>
        <v>10205.630665497201</v>
      </c>
      <c r="BU6" s="3">
        <f t="shared" si="3"/>
        <v>10307.686972152173</v>
      </c>
      <c r="BV6" s="3">
        <f t="shared" si="3"/>
        <v>10410.763841873695</v>
      </c>
      <c r="BW6" s="3">
        <f t="shared" si="3"/>
        <v>10514.871480292431</v>
      </c>
      <c r="BX6" s="3">
        <f t="shared" si="3"/>
        <v>10620.020195095356</v>
      </c>
      <c r="BY6" s="3">
        <f t="shared" si="3"/>
        <v>10726.220397046309</v>
      </c>
      <c r="BZ6" s="3">
        <f t="shared" si="3"/>
        <v>10833.482601016773</v>
      </c>
      <c r="CA6" s="3">
        <f t="shared" si="3"/>
        <v>10941.817427026941</v>
      </c>
      <c r="CB6" s="3">
        <f t="shared" si="3"/>
        <v>11051.23560129721</v>
      </c>
      <c r="CC6" s="3">
        <f t="shared" si="3"/>
        <v>11161.747957310183</v>
      </c>
      <c r="CD6" s="3">
        <f t="shared" si="3"/>
        <v>11273.365436883285</v>
      </c>
      <c r="CE6" s="3">
        <f t="shared" si="3"/>
        <v>11386.099091252117</v>
      </c>
      <c r="CF6" s="3">
        <f t="shared" si="3"/>
        <v>11499.960082164638</v>
      </c>
      <c r="CG6" s="3">
        <f t="shared" si="3"/>
        <v>11614.959682986284</v>
      </c>
      <c r="CH6" s="3">
        <f t="shared" si="3"/>
        <v>11731.109279816146</v>
      </c>
      <c r="CI6" s="3">
        <f t="shared" si="3"/>
        <v>11848.420372614308</v>
      </c>
      <c r="CJ6" s="3">
        <f t="shared" si="3"/>
        <v>11966.90457634045</v>
      </c>
      <c r="CK6" s="3">
        <f t="shared" si="3"/>
        <v>12086.573622103855</v>
      </c>
      <c r="CL6" s="3">
        <f t="shared" si="3"/>
        <v>12207.439358324893</v>
      </c>
      <c r="CM6" s="3">
        <f t="shared" si="3"/>
        <v>12329.513751908142</v>
      </c>
      <c r="CN6" s="3">
        <f t="shared" si="3"/>
        <v>12452.808889427224</v>
      </c>
      <c r="CO6" s="3">
        <f t="shared" si="3"/>
        <v>12577.336978321497</v>
      </c>
      <c r="CP6" s="3">
        <f t="shared" si="3"/>
        <v>12703.110348104712</v>
      </c>
      <c r="CQ6" s="3">
        <f t="shared" si="3"/>
        <v>12830.14145158576</v>
      </c>
      <c r="CR6" s="3">
        <f t="shared" si="3"/>
        <v>12958.442866101617</v>
      </c>
      <c r="CS6" s="3">
        <f t="shared" si="3"/>
        <v>13088.027294762633</v>
      </c>
      <c r="CT6" s="3">
        <f t="shared" si="3"/>
        <v>13218.907567710259</v>
      </c>
      <c r="CU6" s="3">
        <f t="shared" ref="CU6:DC6" si="4">CT6*(1+$V$25)</f>
        <v>13351.096643387362</v>
      </c>
      <c r="CV6" s="3">
        <f t="shared" si="4"/>
        <v>13484.607609821236</v>
      </c>
      <c r="CW6" s="3">
        <f t="shared" si="4"/>
        <v>13619.453685919449</v>
      </c>
      <c r="CX6" s="3">
        <f t="shared" si="4"/>
        <v>13755.648222778644</v>
      </c>
      <c r="CY6" s="3">
        <f t="shared" si="4"/>
        <v>13893.20470500643</v>
      </c>
      <c r="CZ6" s="3">
        <f t="shared" si="4"/>
        <v>14032.136752056495</v>
      </c>
      <c r="DA6" s="3">
        <f t="shared" si="4"/>
        <v>14172.458119577059</v>
      </c>
      <c r="DB6" s="3">
        <f t="shared" si="4"/>
        <v>14314.18270077283</v>
      </c>
      <c r="DC6" s="3">
        <f t="shared" si="4"/>
        <v>14457.324527780558</v>
      </c>
    </row>
    <row r="7" spans="1:107" s="5" customFormat="1" x14ac:dyDescent="0.2">
      <c r="B7" s="5" t="s">
        <v>20</v>
      </c>
      <c r="C7" s="6"/>
      <c r="D7" s="6"/>
      <c r="E7" s="6"/>
      <c r="F7" s="6"/>
      <c r="G7" s="6">
        <v>32.084000000000003</v>
      </c>
      <c r="H7" s="6">
        <v>35.029000000000003</v>
      </c>
      <c r="I7" s="6">
        <v>37.524999999999999</v>
      </c>
      <c r="J7" s="6">
        <f>147.134-SUM(G7:I7)</f>
        <v>42.495999999999981</v>
      </c>
      <c r="K7" s="6">
        <v>47.051000000000002</v>
      </c>
      <c r="L7" s="6">
        <v>55.804000000000002</v>
      </c>
      <c r="M7" s="6">
        <v>61.966999999999999</v>
      </c>
      <c r="N7" s="6">
        <v>67.8</v>
      </c>
      <c r="O7" s="5">
        <v>70.432000000000002</v>
      </c>
      <c r="P7" s="5">
        <v>75.221000000000004</v>
      </c>
      <c r="Q7" s="5">
        <v>78.099999999999994</v>
      </c>
      <c r="R7" s="5">
        <v>83.283000000000001</v>
      </c>
      <c r="V7" s="5" t="s">
        <v>76</v>
      </c>
      <c r="W7" s="3">
        <v>603.46600000000001</v>
      </c>
      <c r="X7" s="3">
        <v>1028.7840000000001</v>
      </c>
      <c r="Y7" s="3">
        <f>SUM($K$6:$N$6)</f>
        <v>975.28399999999988</v>
      </c>
      <c r="Z7" s="5">
        <f>SUM(O6:R6)</f>
        <v>1296.7420000000002</v>
      </c>
      <c r="AA7" s="3">
        <f t="shared" ref="AA7:AG7" si="5">Z7*(1+$X$24)</f>
        <v>1685.7646000000002</v>
      </c>
      <c r="AB7" s="3">
        <f t="shared" si="5"/>
        <v>2191.4939800000002</v>
      </c>
      <c r="AC7" s="3">
        <f t="shared" si="5"/>
        <v>2848.9421740000003</v>
      </c>
      <c r="AD7" s="3">
        <f t="shared" si="5"/>
        <v>3703.6248262000004</v>
      </c>
      <c r="AE7" s="3">
        <f t="shared" si="5"/>
        <v>4814.7122740600007</v>
      </c>
      <c r="AF7" s="3">
        <f t="shared" si="5"/>
        <v>6259.1259562780015</v>
      </c>
      <c r="AG7" s="3">
        <f t="shared" si="5"/>
        <v>8136.8637431614025</v>
      </c>
      <c r="AH7" s="3">
        <f>AG7*(1+$V$25)</f>
        <v>8218.2323805930173</v>
      </c>
      <c r="AI7" s="3">
        <f>AH7*(1+$V$25)</f>
        <v>8300.4147043989469</v>
      </c>
      <c r="AJ7" s="3">
        <f t="shared" ref="AJ7:CU7" si="6">AI7*(1+$V$25)</f>
        <v>8383.418851442937</v>
      </c>
      <c r="AK7" s="3">
        <f t="shared" si="6"/>
        <v>8467.2530399573661</v>
      </c>
      <c r="AL7" s="3">
        <f t="shared" si="6"/>
        <v>8551.9255703569397</v>
      </c>
      <c r="AM7" s="3">
        <f t="shared" si="6"/>
        <v>8637.4448260605095</v>
      </c>
      <c r="AN7" s="3">
        <f t="shared" si="6"/>
        <v>8723.8192743211148</v>
      </c>
      <c r="AO7" s="3">
        <f t="shared" si="6"/>
        <v>8811.0574670643255</v>
      </c>
      <c r="AP7" s="3">
        <f t="shared" si="6"/>
        <v>8899.1680417349689</v>
      </c>
      <c r="AQ7" s="3">
        <f t="shared" si="6"/>
        <v>8988.1597221523189</v>
      </c>
      <c r="AR7" s="3">
        <f t="shared" si="6"/>
        <v>9078.0413193738423</v>
      </c>
      <c r="AS7" s="3">
        <f t="shared" si="6"/>
        <v>9168.8217325675814</v>
      </c>
      <c r="AT7" s="3">
        <f t="shared" si="6"/>
        <v>9260.5099498932577</v>
      </c>
      <c r="AU7" s="3">
        <f t="shared" si="6"/>
        <v>9353.1150493921905</v>
      </c>
      <c r="AV7" s="3">
        <f t="shared" si="6"/>
        <v>9446.6461998861123</v>
      </c>
      <c r="AW7" s="3">
        <f t="shared" si="6"/>
        <v>9541.1126618849739</v>
      </c>
      <c r="AX7" s="3">
        <f t="shared" si="6"/>
        <v>9636.5237885038241</v>
      </c>
      <c r="AY7" s="3">
        <f t="shared" si="6"/>
        <v>9732.8890263888625</v>
      </c>
      <c r="AZ7" s="3">
        <f t="shared" si="6"/>
        <v>9830.2179166527512</v>
      </c>
      <c r="BA7" s="3">
        <f t="shared" si="6"/>
        <v>9928.5200958192781</v>
      </c>
      <c r="BB7" s="3">
        <f t="shared" si="6"/>
        <v>10027.805296777471</v>
      </c>
      <c r="BC7" s="3">
        <f t="shared" si="6"/>
        <v>10128.083349745246</v>
      </c>
      <c r="BD7" s="3">
        <f t="shared" si="6"/>
        <v>10229.364183242698</v>
      </c>
      <c r="BE7" s="3">
        <f t="shared" si="6"/>
        <v>10331.657825075126</v>
      </c>
      <c r="BF7" s="3">
        <f t="shared" si="6"/>
        <v>10434.974403325878</v>
      </c>
      <c r="BG7" s="3">
        <f t="shared" si="6"/>
        <v>10539.324147359137</v>
      </c>
      <c r="BH7" s="3">
        <f t="shared" si="6"/>
        <v>10644.717388832729</v>
      </c>
      <c r="BI7" s="3">
        <f t="shared" si="6"/>
        <v>10751.164562721056</v>
      </c>
      <c r="BJ7" s="3">
        <f t="shared" si="6"/>
        <v>10858.676208348266</v>
      </c>
      <c r="BK7" s="3">
        <f t="shared" si="6"/>
        <v>10967.26297043175</v>
      </c>
      <c r="BL7" s="3">
        <f t="shared" si="6"/>
        <v>11076.935600136067</v>
      </c>
      <c r="BM7" s="3">
        <f t="shared" si="6"/>
        <v>11187.704956137428</v>
      </c>
      <c r="BN7" s="3">
        <f t="shared" si="6"/>
        <v>11299.582005698801</v>
      </c>
      <c r="BO7" s="3">
        <f t="shared" si="6"/>
        <v>11412.577825755789</v>
      </c>
      <c r="BP7" s="3">
        <f t="shared" si="6"/>
        <v>11526.703604013346</v>
      </c>
      <c r="BQ7" s="3">
        <f t="shared" si="6"/>
        <v>11641.97064005348</v>
      </c>
      <c r="BR7" s="3">
        <f t="shared" si="6"/>
        <v>11758.390346454014</v>
      </c>
      <c r="BS7" s="3">
        <f t="shared" si="6"/>
        <v>11875.974249918554</v>
      </c>
      <c r="BT7" s="3">
        <f t="shared" si="6"/>
        <v>11994.73399241774</v>
      </c>
      <c r="BU7" s="3">
        <f t="shared" si="6"/>
        <v>12114.681332341917</v>
      </c>
      <c r="BV7" s="3">
        <f t="shared" si="6"/>
        <v>12235.828145665337</v>
      </c>
      <c r="BW7" s="3">
        <f t="shared" si="6"/>
        <v>12358.186427121991</v>
      </c>
      <c r="BX7" s="3">
        <f t="shared" si="6"/>
        <v>12481.768291393211</v>
      </c>
      <c r="BY7" s="3">
        <f t="shared" si="6"/>
        <v>12606.585974307143</v>
      </c>
      <c r="BZ7" s="3">
        <f t="shared" si="6"/>
        <v>12732.651834050215</v>
      </c>
      <c r="CA7" s="3">
        <f t="shared" si="6"/>
        <v>12859.978352390717</v>
      </c>
      <c r="CB7" s="3">
        <f t="shared" si="6"/>
        <v>12988.578135914624</v>
      </c>
      <c r="CC7" s="3">
        <f t="shared" si="6"/>
        <v>13118.46391727377</v>
      </c>
      <c r="CD7" s="3">
        <f t="shared" si="6"/>
        <v>13249.648556446507</v>
      </c>
      <c r="CE7" s="3">
        <f t="shared" si="6"/>
        <v>13382.145042010972</v>
      </c>
      <c r="CF7" s="3">
        <f t="shared" si="6"/>
        <v>13515.966492431082</v>
      </c>
      <c r="CG7" s="3">
        <f t="shared" si="6"/>
        <v>13651.126157355393</v>
      </c>
      <c r="CH7" s="3">
        <f t="shared" si="6"/>
        <v>13787.637418928947</v>
      </c>
      <c r="CI7" s="3">
        <f t="shared" si="6"/>
        <v>13925.513793118236</v>
      </c>
      <c r="CJ7" s="3">
        <f t="shared" si="6"/>
        <v>14064.768931049419</v>
      </c>
      <c r="CK7" s="3">
        <f t="shared" si="6"/>
        <v>14205.416620359912</v>
      </c>
      <c r="CL7" s="3">
        <f t="shared" si="6"/>
        <v>14347.470786563512</v>
      </c>
      <c r="CM7" s="3">
        <f t="shared" si="6"/>
        <v>14490.945494429146</v>
      </c>
      <c r="CN7" s="3">
        <f t="shared" si="6"/>
        <v>14635.854949373437</v>
      </c>
      <c r="CO7" s="3">
        <f t="shared" si="6"/>
        <v>14782.213498867171</v>
      </c>
      <c r="CP7" s="3">
        <f t="shared" si="6"/>
        <v>14930.035633855843</v>
      </c>
      <c r="CQ7" s="3">
        <f t="shared" si="6"/>
        <v>15079.335990194402</v>
      </c>
      <c r="CR7" s="3">
        <f t="shared" si="6"/>
        <v>15230.129350096346</v>
      </c>
      <c r="CS7" s="3">
        <f t="shared" si="6"/>
        <v>15382.430643597309</v>
      </c>
      <c r="CT7" s="3">
        <f t="shared" si="6"/>
        <v>15536.254950033283</v>
      </c>
      <c r="CU7" s="3">
        <f t="shared" si="6"/>
        <v>15691.617499533615</v>
      </c>
      <c r="CV7" s="3">
        <f t="shared" ref="CV7:DC7" si="7">CU7*(1+$V$25)</f>
        <v>15848.533674528951</v>
      </c>
      <c r="CW7" s="3">
        <f t="shared" si="7"/>
        <v>16007.01901127424</v>
      </c>
      <c r="CX7" s="3">
        <f t="shared" si="7"/>
        <v>16167.089201386983</v>
      </c>
      <c r="CY7" s="3">
        <f t="shared" si="7"/>
        <v>16328.760093400853</v>
      </c>
      <c r="CZ7" s="3">
        <f t="shared" si="7"/>
        <v>16492.047694334862</v>
      </c>
      <c r="DA7" s="3">
        <f t="shared" si="7"/>
        <v>16656.968171278211</v>
      </c>
      <c r="DB7" s="3">
        <f t="shared" si="7"/>
        <v>16823.537852990994</v>
      </c>
      <c r="DC7" s="3">
        <f t="shared" si="7"/>
        <v>16991.773231520903</v>
      </c>
    </row>
    <row r="8" spans="1:107" s="5" customFormat="1" x14ac:dyDescent="0.2">
      <c r="B8" s="5" t="s">
        <v>21</v>
      </c>
      <c r="C8" s="6"/>
      <c r="D8" s="6"/>
      <c r="E8" s="6">
        <f t="shared" ref="E8:R8" si="8">+E6-E7</f>
        <v>0</v>
      </c>
      <c r="F8" s="6">
        <f t="shared" si="8"/>
        <v>0</v>
      </c>
      <c r="G8" s="6">
        <f t="shared" si="8"/>
        <v>105.971</v>
      </c>
      <c r="H8" s="6">
        <f t="shared" si="8"/>
        <v>117.399</v>
      </c>
      <c r="I8" s="6">
        <f t="shared" si="8"/>
        <v>134.822</v>
      </c>
      <c r="J8" s="6">
        <f t="shared" si="8"/>
        <v>151.10000000000002</v>
      </c>
      <c r="K8" s="6">
        <f t="shared" si="8"/>
        <v>165.11599999999999</v>
      </c>
      <c r="L8" s="6">
        <f t="shared" si="8"/>
        <v>178.71299999999999</v>
      </c>
      <c r="M8" s="6">
        <f t="shared" si="8"/>
        <v>191.93299999999999</v>
      </c>
      <c r="N8" s="6">
        <f t="shared" si="8"/>
        <v>206.89999999999998</v>
      </c>
      <c r="O8" s="6">
        <f t="shared" si="8"/>
        <v>219.74299999999999</v>
      </c>
      <c r="P8" s="6">
        <f t="shared" si="8"/>
        <v>233.27300000000002</v>
      </c>
      <c r="Q8" s="6">
        <f t="shared" si="8"/>
        <v>257.5</v>
      </c>
      <c r="R8" s="6">
        <f t="shared" si="8"/>
        <v>279.19</v>
      </c>
      <c r="Z8" s="24">
        <f t="shared" ref="Z8:AH8" si="9">(Z7-Y7)/Y7</f>
        <v>0.32960450494420124</v>
      </c>
      <c r="AA8" s="22">
        <f t="shared" si="9"/>
        <v>0.3</v>
      </c>
      <c r="AB8" s="22">
        <f t="shared" si="9"/>
        <v>0.29999999999999993</v>
      </c>
      <c r="AC8" s="22">
        <f t="shared" si="9"/>
        <v>0.3</v>
      </c>
      <c r="AD8" s="22">
        <f t="shared" si="9"/>
        <v>0.3</v>
      </c>
      <c r="AE8" s="22">
        <f t="shared" si="9"/>
        <v>0.30000000000000004</v>
      </c>
      <c r="AF8" s="22">
        <f t="shared" si="9"/>
        <v>0.3000000000000001</v>
      </c>
      <c r="AG8" s="22">
        <f t="shared" si="9"/>
        <v>0.3000000000000001</v>
      </c>
      <c r="AH8" s="22">
        <f t="shared" si="9"/>
        <v>1.0000000000000101E-2</v>
      </c>
    </row>
    <row r="9" spans="1:107" s="5" customFormat="1" x14ac:dyDescent="0.2">
      <c r="B9" s="5" t="s">
        <v>23</v>
      </c>
      <c r="C9" s="6"/>
      <c r="D9" s="6"/>
      <c r="E9" s="6"/>
      <c r="F9" s="6"/>
      <c r="G9" s="6">
        <v>69.974000000000004</v>
      </c>
      <c r="H9" s="6">
        <v>75.995000000000005</v>
      </c>
      <c r="I9" s="6">
        <v>85.876999999999995</v>
      </c>
      <c r="J9" s="6">
        <f>328.065-SUM(G9:I9)</f>
        <v>96.218999999999994</v>
      </c>
      <c r="K9" s="6">
        <v>67.054000000000002</v>
      </c>
      <c r="L9" s="6">
        <v>75.114000000000004</v>
      </c>
      <c r="M9" s="6">
        <v>76.400000000000006</v>
      </c>
      <c r="N9" s="6">
        <v>79.7</v>
      </c>
      <c r="O9" s="5">
        <v>81.539000000000001</v>
      </c>
      <c r="P9" s="5">
        <v>89.61</v>
      </c>
      <c r="Q9" s="5">
        <v>90.6</v>
      </c>
      <c r="R9" s="5">
        <v>165.214</v>
      </c>
    </row>
    <row r="10" spans="1:107" s="5" customFormat="1" x14ac:dyDescent="0.2">
      <c r="B10" s="5" t="s">
        <v>22</v>
      </c>
      <c r="C10" s="6"/>
      <c r="D10" s="6"/>
      <c r="E10" s="6"/>
      <c r="F10" s="6"/>
      <c r="G10" s="6">
        <v>39.527000000000001</v>
      </c>
      <c r="H10" s="6">
        <v>41.348999999999997</v>
      </c>
      <c r="I10" s="6">
        <v>46.77</v>
      </c>
      <c r="J10" s="6">
        <f>189.408-SUM(G10:I10)</f>
        <v>61.761999999999972</v>
      </c>
      <c r="K10" s="6">
        <v>100.057</v>
      </c>
      <c r="L10" s="6">
        <v>117.622</v>
      </c>
      <c r="M10" s="6">
        <v>116.033</v>
      </c>
      <c r="N10" s="6">
        <f>465.762-SUM(K10:M10)</f>
        <v>132.05000000000001</v>
      </c>
      <c r="O10" s="5">
        <v>137.001</v>
      </c>
      <c r="P10" s="5">
        <v>146.68799999999999</v>
      </c>
      <c r="Q10" s="5">
        <v>150.19999999999999</v>
      </c>
      <c r="R10" s="5">
        <v>96.400999999999996</v>
      </c>
    </row>
    <row r="11" spans="1:107" s="5" customFormat="1" x14ac:dyDescent="0.2">
      <c r="B11" s="5" t="s">
        <v>24</v>
      </c>
      <c r="C11" s="6"/>
      <c r="D11" s="6"/>
      <c r="E11" s="6"/>
      <c r="F11" s="6"/>
      <c r="G11" s="6">
        <v>27.724</v>
      </c>
      <c r="H11" s="6">
        <v>28.927</v>
      </c>
      <c r="I11" s="6">
        <v>28.669</v>
      </c>
      <c r="J11" s="6">
        <f>119.503-SUM(G11:I11)</f>
        <v>34.183000000000007</v>
      </c>
      <c r="K11" s="6">
        <v>38.029000000000003</v>
      </c>
      <c r="L11" s="6">
        <v>50.518000000000001</v>
      </c>
      <c r="M11" s="6">
        <v>45.4</v>
      </c>
      <c r="N11" s="6">
        <f>179.769-SUM(K11:M11)</f>
        <v>45.822000000000003</v>
      </c>
      <c r="O11" s="5">
        <v>48.475000000000001</v>
      </c>
      <c r="P11" s="5">
        <v>53.146999999999998</v>
      </c>
      <c r="Q11" s="5">
        <v>55.9</v>
      </c>
      <c r="R11" s="5">
        <v>60.404000000000003</v>
      </c>
    </row>
    <row r="12" spans="1:107" s="5" customFormat="1" x14ac:dyDescent="0.2">
      <c r="B12" s="5" t="s">
        <v>25</v>
      </c>
      <c r="C12" s="6"/>
      <c r="D12" s="6"/>
      <c r="E12" s="6">
        <f t="shared" ref="E12:R12" si="10">SUM(E9:E11)</f>
        <v>0</v>
      </c>
      <c r="F12" s="6">
        <f t="shared" si="10"/>
        <v>0</v>
      </c>
      <c r="G12" s="6">
        <f t="shared" si="10"/>
        <v>137.22499999999999</v>
      </c>
      <c r="H12" s="6">
        <f t="shared" si="10"/>
        <v>146.27099999999999</v>
      </c>
      <c r="I12" s="6">
        <f t="shared" si="10"/>
        <v>161.316</v>
      </c>
      <c r="J12" s="6">
        <f t="shared" si="10"/>
        <v>192.16399999999999</v>
      </c>
      <c r="K12" s="6">
        <f t="shared" si="10"/>
        <v>205.14</v>
      </c>
      <c r="L12" s="6">
        <f t="shared" si="10"/>
        <v>243.25399999999999</v>
      </c>
      <c r="M12" s="6">
        <f t="shared" si="10"/>
        <v>237.833</v>
      </c>
      <c r="N12" s="6">
        <f t="shared" si="10"/>
        <v>257.572</v>
      </c>
      <c r="O12" s="6">
        <f t="shared" si="10"/>
        <v>267.01500000000004</v>
      </c>
      <c r="P12" s="6">
        <f t="shared" si="10"/>
        <v>289.44499999999999</v>
      </c>
      <c r="Q12" s="6">
        <f t="shared" si="10"/>
        <v>296.7</v>
      </c>
      <c r="R12" s="6">
        <f>SUM(R9:R11)</f>
        <v>322.01900000000001</v>
      </c>
    </row>
    <row r="13" spans="1:107" s="5" customFormat="1" x14ac:dyDescent="0.2">
      <c r="B13" s="5" t="s">
        <v>26</v>
      </c>
      <c r="C13" s="6"/>
      <c r="D13" s="6"/>
      <c r="E13" s="6">
        <f t="shared" ref="E13:R13" si="11">E8-E12</f>
        <v>0</v>
      </c>
      <c r="F13" s="6">
        <f t="shared" si="11"/>
        <v>0</v>
      </c>
      <c r="G13" s="6">
        <f t="shared" si="11"/>
        <v>-31.253999999999991</v>
      </c>
      <c r="H13" s="6">
        <f t="shared" si="11"/>
        <v>-28.871999999999986</v>
      </c>
      <c r="I13" s="6">
        <f t="shared" si="11"/>
        <v>-26.494</v>
      </c>
      <c r="J13" s="6">
        <f t="shared" si="11"/>
        <v>-41.063999999999965</v>
      </c>
      <c r="K13" s="6">
        <f t="shared" si="11"/>
        <v>-40.024000000000001</v>
      </c>
      <c r="L13" s="6">
        <f>L8-L12</f>
        <v>-64.540999999999997</v>
      </c>
      <c r="M13" s="6">
        <f t="shared" si="11"/>
        <v>-45.900000000000006</v>
      </c>
      <c r="N13" s="6">
        <f t="shared" si="11"/>
        <v>-50.672000000000025</v>
      </c>
      <c r="O13" s="6">
        <f t="shared" si="11"/>
        <v>-47.272000000000048</v>
      </c>
      <c r="P13" s="6">
        <f t="shared" si="11"/>
        <v>-56.171999999999969</v>
      </c>
      <c r="Q13" s="6">
        <f t="shared" si="11"/>
        <v>-39.199999999999989</v>
      </c>
      <c r="R13" s="6">
        <f t="shared" si="11"/>
        <v>-42.829000000000008</v>
      </c>
      <c r="S13" s="5">
        <v>34</v>
      </c>
    </row>
    <row r="14" spans="1:107" s="5" customFormat="1" x14ac:dyDescent="0.2">
      <c r="B14" s="5" t="s">
        <v>27</v>
      </c>
      <c r="C14" s="6"/>
      <c r="D14" s="6"/>
      <c r="E14" s="6"/>
      <c r="F14" s="6"/>
      <c r="G14" s="6">
        <f>0.544-10.234+0.148</f>
        <v>-9.5419999999999998</v>
      </c>
      <c r="H14" s="6">
        <f>0.373-10.444-0.877</f>
        <v>-10.948000000000002</v>
      </c>
      <c r="I14" s="6">
        <f>0.385-12.448-72.234+0.361</f>
        <v>-83.935999999999993</v>
      </c>
      <c r="J14" s="6">
        <f>(1.97-49.234-72.234-0.794)-SUM(G14:I14)</f>
        <v>-15.866</v>
      </c>
      <c r="K14" s="6">
        <f>1.061-1.557-0.487</f>
        <v>-0.98299999999999998</v>
      </c>
      <c r="L14" s="6">
        <f>1.641-1.04+0.233</f>
        <v>0.83399999999999996</v>
      </c>
      <c r="M14" s="6">
        <f>3.825-1.512+2.433</f>
        <v>4.7460000000000004</v>
      </c>
      <c r="N14" s="6">
        <v>7.4</v>
      </c>
      <c r="O14" s="5">
        <f>13.487-2.126-0.857</f>
        <v>10.504000000000001</v>
      </c>
      <c r="P14" s="5">
        <f>16.536-1.539-50.3-1.527</f>
        <v>-36.83</v>
      </c>
      <c r="Q14" s="5">
        <f>17.952-1.138+0.115</f>
        <v>16.928999999999998</v>
      </c>
      <c r="R14" s="5">
        <f>20.19-1.069</f>
        <v>19.121000000000002</v>
      </c>
    </row>
    <row r="15" spans="1:107" s="5" customFormat="1" x14ac:dyDescent="0.2">
      <c r="B15" s="5" t="s">
        <v>28</v>
      </c>
      <c r="C15" s="6"/>
      <c r="D15" s="6"/>
      <c r="E15" s="6">
        <f t="shared" ref="E15:R15" si="12">+E13+E14</f>
        <v>0</v>
      </c>
      <c r="F15" s="6">
        <f t="shared" si="12"/>
        <v>0</v>
      </c>
      <c r="G15" s="6">
        <f t="shared" si="12"/>
        <v>-40.795999999999992</v>
      </c>
      <c r="H15" s="6">
        <f t="shared" si="12"/>
        <v>-39.819999999999986</v>
      </c>
      <c r="I15" s="6">
        <f t="shared" si="12"/>
        <v>-110.42999999999999</v>
      </c>
      <c r="J15" s="6">
        <f t="shared" si="12"/>
        <v>-56.929999999999964</v>
      </c>
      <c r="K15" s="6">
        <f t="shared" si="12"/>
        <v>-41.006999999999998</v>
      </c>
      <c r="L15" s="6">
        <f t="shared" si="12"/>
        <v>-63.706999999999994</v>
      </c>
      <c r="M15" s="6">
        <f t="shared" si="12"/>
        <v>-41.154000000000003</v>
      </c>
      <c r="N15" s="6">
        <f t="shared" si="12"/>
        <v>-43.272000000000027</v>
      </c>
      <c r="O15" s="6">
        <f t="shared" si="12"/>
        <v>-36.768000000000043</v>
      </c>
      <c r="P15" s="6">
        <f t="shared" si="12"/>
        <v>-93.001999999999967</v>
      </c>
      <c r="Q15" s="6">
        <f t="shared" si="12"/>
        <v>-22.27099999999999</v>
      </c>
      <c r="R15" s="6">
        <f t="shared" si="12"/>
        <v>-23.708000000000006</v>
      </c>
    </row>
    <row r="16" spans="1:107" s="5" customFormat="1" x14ac:dyDescent="0.2">
      <c r="B16" s="5" t="s">
        <v>31</v>
      </c>
      <c r="C16" s="6"/>
      <c r="D16" s="6"/>
      <c r="E16" s="6"/>
      <c r="F16" s="6"/>
      <c r="G16" s="6">
        <v>-0.83299999999999996</v>
      </c>
      <c r="H16" s="6">
        <v>-4.3099999999999996</v>
      </c>
      <c r="I16" s="6">
        <v>-3.0950000000000002</v>
      </c>
      <c r="J16" s="6">
        <f>12.333+SUM(G16:I16)</f>
        <v>4.0950000000000006</v>
      </c>
      <c r="K16" s="6">
        <v>0.374</v>
      </c>
      <c r="L16" s="6">
        <v>-0.17</v>
      </c>
      <c r="M16" s="6">
        <v>1.3720000000000001</v>
      </c>
      <c r="N16" s="6">
        <f>2.648-SUM(K16:M16)</f>
        <v>1.0720000000000001</v>
      </c>
      <c r="O16" s="5">
        <v>1.3140000000000001</v>
      </c>
      <c r="P16" s="5">
        <v>1.4650000000000001</v>
      </c>
      <c r="Q16" s="5">
        <v>1.254</v>
      </c>
      <c r="R16" s="5">
        <f>2.054</f>
        <v>2.0539999999999998</v>
      </c>
    </row>
    <row r="17" spans="2:24" s="5" customFormat="1" x14ac:dyDescent="0.2">
      <c r="B17" s="5" t="s">
        <v>29</v>
      </c>
      <c r="C17" s="6"/>
      <c r="D17" s="6"/>
      <c r="E17" s="6">
        <f t="shared" ref="E17:R17" si="13">+E15-E16</f>
        <v>0</v>
      </c>
      <c r="F17" s="6">
        <f t="shared" si="13"/>
        <v>0</v>
      </c>
      <c r="G17" s="6">
        <f t="shared" si="13"/>
        <v>-39.962999999999994</v>
      </c>
      <c r="H17" s="6">
        <f t="shared" si="13"/>
        <v>-35.509999999999984</v>
      </c>
      <c r="I17" s="6">
        <f t="shared" si="13"/>
        <v>-107.33499999999999</v>
      </c>
      <c r="J17" s="6">
        <f t="shared" si="13"/>
        <v>-61.024999999999963</v>
      </c>
      <c r="K17" s="6">
        <f t="shared" si="13"/>
        <v>-41.381</v>
      </c>
      <c r="L17" s="6">
        <f t="shared" si="13"/>
        <v>-63.536999999999992</v>
      </c>
      <c r="M17" s="6">
        <f t="shared" si="13"/>
        <v>-42.526000000000003</v>
      </c>
      <c r="N17" s="6">
        <f t="shared" si="13"/>
        <v>-44.34400000000003</v>
      </c>
      <c r="O17" s="6">
        <f t="shared" si="13"/>
        <v>-38.082000000000043</v>
      </c>
      <c r="P17" s="6">
        <f t="shared" si="13"/>
        <v>-94.46699999999997</v>
      </c>
      <c r="Q17" s="6">
        <f t="shared" si="13"/>
        <v>-23.524999999999991</v>
      </c>
      <c r="R17" s="6">
        <f t="shared" si="13"/>
        <v>-25.762000000000004</v>
      </c>
    </row>
    <row r="18" spans="2:24" s="1" customFormat="1" x14ac:dyDescent="0.2">
      <c r="B18" s="1" t="s">
        <v>30</v>
      </c>
      <c r="C18" s="7"/>
      <c r="D18" s="7"/>
      <c r="E18" s="7" t="e">
        <f t="shared" ref="E18:R18" si="14">+E17/E19</f>
        <v>#DIV/0!</v>
      </c>
      <c r="F18" s="7" t="e">
        <f t="shared" si="14"/>
        <v>#DIV/0!</v>
      </c>
      <c r="G18" s="7">
        <f t="shared" si="14"/>
        <v>-0.13066337090113683</v>
      </c>
      <c r="H18" s="7">
        <f t="shared" si="14"/>
        <v>-0.11519384421743767</v>
      </c>
      <c r="I18" s="7">
        <f t="shared" si="14"/>
        <v>-0.34124110217045045</v>
      </c>
      <c r="J18" s="7">
        <f t="shared" si="14"/>
        <v>-0.19539192049205772</v>
      </c>
      <c r="K18" s="7">
        <f t="shared" si="14"/>
        <v>-0.12798221034595805</v>
      </c>
      <c r="L18" s="7">
        <f t="shared" si="14"/>
        <v>-0.19538003118109942</v>
      </c>
      <c r="M18" s="7">
        <f t="shared" si="14"/>
        <v>-0.13021219265746045</v>
      </c>
      <c r="N18" s="7">
        <f t="shared" si="14"/>
        <v>-0.13588615275241175</v>
      </c>
      <c r="O18" s="7">
        <f t="shared" si="14"/>
        <v>-0.11526412804300398</v>
      </c>
      <c r="P18" s="7">
        <f t="shared" si="14"/>
        <v>-0.28428484157244865</v>
      </c>
      <c r="Q18" s="7">
        <f t="shared" si="14"/>
        <v>-7.0293964729013378E-2</v>
      </c>
      <c r="R18" s="7">
        <f t="shared" si="14"/>
        <v>-7.6540950388914328E-2</v>
      </c>
    </row>
    <row r="19" spans="2:24" s="5" customFormat="1" x14ac:dyDescent="0.2">
      <c r="B19" s="5" t="s">
        <v>1</v>
      </c>
      <c r="C19" s="6"/>
      <c r="D19" s="6"/>
      <c r="E19" s="6"/>
      <c r="F19" s="6"/>
      <c r="G19" s="6">
        <v>305.84699999999998</v>
      </c>
      <c r="H19" s="6">
        <v>308.26299999999998</v>
      </c>
      <c r="I19" s="6">
        <v>314.54300000000001</v>
      </c>
      <c r="J19" s="6">
        <v>312.32100000000003</v>
      </c>
      <c r="K19" s="6">
        <v>323.334</v>
      </c>
      <c r="L19" s="6">
        <v>325.197</v>
      </c>
      <c r="M19" s="6">
        <v>326.58999999999997</v>
      </c>
      <c r="N19" s="6">
        <v>326.33199999999999</v>
      </c>
      <c r="O19" s="5">
        <v>330.38900000000001</v>
      </c>
      <c r="P19" s="5">
        <v>332.29700000000003</v>
      </c>
      <c r="Q19" s="5">
        <v>334.666</v>
      </c>
      <c r="R19" s="5">
        <v>336.57799999999997</v>
      </c>
    </row>
    <row r="21" spans="2:24" s="11" customFormat="1" x14ac:dyDescent="0.2">
      <c r="B21" s="3" t="s">
        <v>45</v>
      </c>
      <c r="C21" s="9"/>
      <c r="D21" s="9"/>
      <c r="E21" s="9"/>
      <c r="F21" s="9"/>
      <c r="G21" s="9"/>
      <c r="H21" s="9"/>
      <c r="I21" s="10"/>
      <c r="J21" s="10"/>
      <c r="K21" s="10">
        <f t="shared" ref="I21:K21" si="15">+K6/G6-1</f>
        <v>0.53682952446488708</v>
      </c>
      <c r="L21" s="10">
        <f t="shared" ref="L21:S21" si="16">+L6/H6-1</f>
        <v>0.53854278741438577</v>
      </c>
      <c r="M21" s="10">
        <f t="shared" si="16"/>
        <v>0.47319071408263547</v>
      </c>
      <c r="N21" s="10">
        <f t="shared" si="16"/>
        <v>0.41893427550155993</v>
      </c>
      <c r="O21" s="10">
        <f t="shared" si="16"/>
        <v>0.36767263523545135</v>
      </c>
      <c r="P21" s="10">
        <f t="shared" si="16"/>
        <v>0.31544408294494652</v>
      </c>
      <c r="Q21" s="10">
        <f t="shared" si="16"/>
        <v>0.32178022843639242</v>
      </c>
      <c r="R21" s="10">
        <f t="shared" si="16"/>
        <v>0.31952311612668383</v>
      </c>
      <c r="S21" s="10">
        <f t="shared" si="16"/>
        <v>0.28543120530714217</v>
      </c>
    </row>
    <row r="22" spans="2:24" s="11" customFormat="1" x14ac:dyDescent="0.2">
      <c r="B22" s="3" t="s">
        <v>74</v>
      </c>
      <c r="C22" s="9"/>
      <c r="D22" s="9"/>
      <c r="E22" s="9"/>
      <c r="F22" s="9"/>
      <c r="G22" s="9"/>
      <c r="H22" s="27">
        <f>(H6-G6)/G6</f>
        <v>0.1041106805258773</v>
      </c>
      <c r="I22" s="27">
        <f t="shared" ref="I22:S22" si="17">(I6-H6)/H6</f>
        <v>0.13067809063951513</v>
      </c>
      <c r="J22" s="27">
        <f t="shared" si="17"/>
        <v>0.12329196330658494</v>
      </c>
      <c r="K22" s="27">
        <f t="shared" si="17"/>
        <v>9.5926568730758888E-2</v>
      </c>
      <c r="L22" s="27">
        <f t="shared" si="17"/>
        <v>0.1053415469889285</v>
      </c>
      <c r="M22" s="27">
        <f t="shared" si="17"/>
        <v>8.2650724680940021E-2</v>
      </c>
      <c r="N22" s="27">
        <f t="shared" si="17"/>
        <v>8.1922016541945572E-2</v>
      </c>
      <c r="O22" s="27">
        <f t="shared" si="17"/>
        <v>5.6334182744812611E-2</v>
      </c>
      <c r="P22" s="27">
        <f t="shared" si="17"/>
        <v>6.3130869303006862E-2</v>
      </c>
      <c r="Q22" s="27">
        <f t="shared" si="17"/>
        <v>8.7865566267091064E-2</v>
      </c>
      <c r="R22" s="27">
        <f t="shared" si="17"/>
        <v>8.0074493444576844E-2</v>
      </c>
      <c r="S22" s="27">
        <f t="shared" si="17"/>
        <v>2.9042163140426975E-2</v>
      </c>
    </row>
    <row r="23" spans="2:24" x14ac:dyDescent="0.2">
      <c r="B23" s="5" t="s">
        <v>46</v>
      </c>
      <c r="E23" s="12" t="e">
        <f t="shared" ref="E23:H23" si="18">+E8/E6</f>
        <v>#DIV/0!</v>
      </c>
      <c r="F23" s="12" t="e">
        <f t="shared" si="18"/>
        <v>#DIV/0!</v>
      </c>
      <c r="G23" s="12">
        <f t="shared" si="18"/>
        <v>0.76759986961718152</v>
      </c>
      <c r="H23" s="12">
        <f t="shared" si="18"/>
        <v>0.77019314036791142</v>
      </c>
      <c r="I23" s="12">
        <f t="shared" ref="I23:K23" si="19">+I8/I6</f>
        <v>0.7822706516504494</v>
      </c>
      <c r="J23" s="12">
        <f t="shared" si="19"/>
        <v>0.78049133246554692</v>
      </c>
      <c r="K23" s="12">
        <f t="shared" si="19"/>
        <v>0.77823601219793836</v>
      </c>
      <c r="L23" s="12">
        <f>+L8/L6</f>
        <v>0.76204710106303597</v>
      </c>
      <c r="M23" s="12">
        <f t="shared" ref="M23:R23" si="20">+M8/M6</f>
        <v>0.75593934619929104</v>
      </c>
      <c r="N23" s="12">
        <f t="shared" si="20"/>
        <v>0.75318529304696025</v>
      </c>
      <c r="O23" s="12">
        <f t="shared" si="20"/>
        <v>0.75727750495390711</v>
      </c>
      <c r="P23" s="12">
        <f t="shared" si="20"/>
        <v>0.75616705673368045</v>
      </c>
      <c r="Q23" s="12">
        <f t="shared" si="20"/>
        <v>0.76728247914183545</v>
      </c>
      <c r="R23" s="12">
        <f t="shared" si="20"/>
        <v>0.7702366796975223</v>
      </c>
      <c r="U23" t="s">
        <v>71</v>
      </c>
      <c r="W23" t="s">
        <v>72</v>
      </c>
      <c r="X23" t="s">
        <v>73</v>
      </c>
    </row>
    <row r="24" spans="2:24" x14ac:dyDescent="0.2">
      <c r="U24" s="15" t="s">
        <v>62</v>
      </c>
      <c r="V24" s="23">
        <v>0.27</v>
      </c>
      <c r="W24" s="15" t="s">
        <v>62</v>
      </c>
      <c r="X24" s="23">
        <v>0.3</v>
      </c>
    </row>
    <row r="25" spans="2:24" s="5" customFormat="1" x14ac:dyDescent="0.2">
      <c r="B25" s="5" t="s">
        <v>3</v>
      </c>
      <c r="C25" s="6"/>
      <c r="D25" s="6"/>
      <c r="E25" s="6"/>
      <c r="F25" s="6"/>
      <c r="G25" s="6"/>
      <c r="H25" s="6"/>
      <c r="I25" s="6"/>
      <c r="J25" s="6"/>
      <c r="K25" s="6">
        <f>271.686+1399.323+3.424</f>
        <v>1674.433</v>
      </c>
      <c r="L25" s="6">
        <f>238.859+1464.681+3.214</f>
        <v>1706.7539999999999</v>
      </c>
      <c r="M25" s="6"/>
      <c r="N25" s="6"/>
      <c r="U25" s="17" t="s">
        <v>61</v>
      </c>
      <c r="V25" s="16">
        <v>0.01</v>
      </c>
    </row>
    <row r="26" spans="2:24" s="5" customFormat="1" x14ac:dyDescent="0.2">
      <c r="B26" s="5" t="s">
        <v>33</v>
      </c>
      <c r="C26" s="6"/>
      <c r="D26" s="6"/>
      <c r="E26" s="6"/>
      <c r="F26" s="6"/>
      <c r="G26" s="6"/>
      <c r="H26" s="6"/>
      <c r="I26" s="6"/>
      <c r="J26" s="6"/>
      <c r="K26" s="6">
        <v>275.34199999999998</v>
      </c>
      <c r="L26" s="6">
        <v>305.50099999999998</v>
      </c>
      <c r="M26" s="6"/>
      <c r="N26" s="6"/>
      <c r="U26" s="17" t="s">
        <v>60</v>
      </c>
      <c r="V26" s="16">
        <v>0.1</v>
      </c>
    </row>
    <row r="27" spans="2:24" s="5" customFormat="1" x14ac:dyDescent="0.2">
      <c r="B27" s="5" t="s">
        <v>34</v>
      </c>
      <c r="C27" s="6"/>
      <c r="D27" s="6"/>
      <c r="E27" s="6"/>
      <c r="F27" s="6"/>
      <c r="G27" s="6"/>
      <c r="H27" s="6"/>
      <c r="I27" s="6"/>
      <c r="J27" s="6"/>
      <c r="K27" s="6">
        <f>24.688+42.753</f>
        <v>67.441000000000003</v>
      </c>
      <c r="L27" s="6">
        <f>27.345+46.84</f>
        <v>74.185000000000002</v>
      </c>
      <c r="M27" s="6"/>
      <c r="N27" s="6"/>
      <c r="U27" s="17" t="s">
        <v>63</v>
      </c>
      <c r="V27" s="18">
        <f>NPV(V26,V6:DC6)</f>
        <v>41233.15886070214</v>
      </c>
      <c r="W27" s="17" t="s">
        <v>63</v>
      </c>
      <c r="X27" s="26">
        <f>NPV($V$26,V7:DC7)</f>
        <v>47744.856198129775</v>
      </c>
    </row>
    <row r="28" spans="2:24" s="5" customFormat="1" x14ac:dyDescent="0.2">
      <c r="B28" s="5" t="s">
        <v>35</v>
      </c>
      <c r="C28" s="6"/>
      <c r="D28" s="6"/>
      <c r="E28" s="6"/>
      <c r="F28" s="6"/>
      <c r="G28" s="6"/>
      <c r="H28" s="6"/>
      <c r="I28" s="6"/>
      <c r="J28" s="6"/>
      <c r="K28" s="6">
        <v>32.631999999999998</v>
      </c>
      <c r="L28" s="6">
        <v>33.201999999999998</v>
      </c>
      <c r="M28" s="6"/>
      <c r="N28" s="6"/>
      <c r="U28" s="17" t="s">
        <v>1</v>
      </c>
      <c r="V28" s="21">
        <f>Main!$O$3</f>
        <v>298.08999999999997</v>
      </c>
      <c r="W28" s="17" t="s">
        <v>1</v>
      </c>
      <c r="X28" s="21">
        <f>Main!$O$3</f>
        <v>298.08999999999997</v>
      </c>
    </row>
    <row r="29" spans="2:24" s="5" customFormat="1" x14ac:dyDescent="0.2">
      <c r="B29" s="5" t="s">
        <v>36</v>
      </c>
      <c r="C29" s="6"/>
      <c r="D29" s="6"/>
      <c r="E29" s="6"/>
      <c r="F29" s="6"/>
      <c r="G29" s="6"/>
      <c r="H29" s="6"/>
      <c r="I29" s="6"/>
      <c r="J29" s="6"/>
      <c r="K29" s="6">
        <v>90.712999999999994</v>
      </c>
      <c r="L29" s="6">
        <v>97.790999999999997</v>
      </c>
      <c r="M29" s="6"/>
      <c r="N29" s="6"/>
      <c r="U29" s="17" t="s">
        <v>64</v>
      </c>
      <c r="V29" s="19">
        <f>V27/V28</f>
        <v>138.32452903721071</v>
      </c>
      <c r="W29" s="17" t="s">
        <v>64</v>
      </c>
      <c r="X29" s="19">
        <f>X27/X28</f>
        <v>160.16926498081042</v>
      </c>
    </row>
    <row r="30" spans="2:24" s="5" customFormat="1" x14ac:dyDescent="0.2">
      <c r="B30" s="5" t="s">
        <v>37</v>
      </c>
      <c r="C30" s="6"/>
      <c r="D30" s="6"/>
      <c r="E30" s="6"/>
      <c r="F30" s="6"/>
      <c r="G30" s="6"/>
      <c r="H30" s="6"/>
      <c r="I30" s="6"/>
      <c r="J30" s="6"/>
      <c r="K30" s="6">
        <v>61.920999999999999</v>
      </c>
      <c r="L30" s="6">
        <v>64.016000000000005</v>
      </c>
      <c r="M30" s="6"/>
      <c r="N30" s="6"/>
      <c r="U30" s="17" t="s">
        <v>65</v>
      </c>
      <c r="V30" s="20">
        <f>(V29-Main!$O$2)/Main!$O$2</f>
        <v>0.28173210746118149</v>
      </c>
      <c r="W30" s="17" t="s">
        <v>65</v>
      </c>
      <c r="X30" s="20">
        <f>(X29-Main!$O$2)/Main!$O$2</f>
        <v>0.48414811879920705</v>
      </c>
    </row>
    <row r="31" spans="2:24" s="5" customFormat="1" x14ac:dyDescent="0.2">
      <c r="B31" s="5" t="s">
        <v>38</v>
      </c>
      <c r="C31" s="6"/>
      <c r="D31" s="6"/>
      <c r="E31" s="6"/>
      <c r="F31" s="6"/>
      <c r="G31" s="6"/>
      <c r="H31" s="6"/>
      <c r="I31" s="6"/>
      <c r="J31" s="6"/>
      <c r="K31" s="6">
        <f>292.032+14.088</f>
        <v>306.12</v>
      </c>
      <c r="L31" s="6">
        <f>334.687+17.96</f>
        <v>352.64699999999999</v>
      </c>
      <c r="M31" s="6"/>
      <c r="N31" s="6"/>
      <c r="U31" s="17" t="s">
        <v>66</v>
      </c>
      <c r="V31" s="18">
        <f>V28*V29</f>
        <v>41233.15886070214</v>
      </c>
      <c r="W31" s="17" t="s">
        <v>66</v>
      </c>
      <c r="X31" s="18">
        <f>X28*X29</f>
        <v>47744.856198129775</v>
      </c>
    </row>
    <row r="32" spans="2:24" s="5" customFormat="1" x14ac:dyDescent="0.2">
      <c r="B32" s="5" t="s">
        <v>39</v>
      </c>
      <c r="C32" s="6"/>
      <c r="D32" s="6"/>
      <c r="E32" s="6"/>
      <c r="F32" s="6"/>
      <c r="G32" s="6"/>
      <c r="H32" s="6"/>
      <c r="I32" s="6"/>
      <c r="J32" s="6"/>
      <c r="K32" s="6">
        <v>20.413</v>
      </c>
      <c r="L32" s="6">
        <v>20.390999999999998</v>
      </c>
      <c r="M32" s="6"/>
      <c r="N32" s="6"/>
    </row>
    <row r="33" spans="2:14" s="5" customFormat="1" x14ac:dyDescent="0.2">
      <c r="B33" s="5" t="s">
        <v>32</v>
      </c>
      <c r="C33" s="6"/>
      <c r="D33" s="6"/>
      <c r="E33" s="6"/>
      <c r="F33" s="6"/>
      <c r="G33" s="6"/>
      <c r="H33" s="6"/>
      <c r="I33" s="6"/>
      <c r="J33" s="6"/>
      <c r="K33" s="6">
        <f>SUM(K25:K32)</f>
        <v>2529.0149999999999</v>
      </c>
      <c r="L33" s="6">
        <f>SUM(L25:L32)</f>
        <v>2654.4870000000001</v>
      </c>
      <c r="M33" s="6"/>
      <c r="N33" s="6"/>
    </row>
    <row r="35" spans="2:14" s="5" customFormat="1" x14ac:dyDescent="0.2">
      <c r="B35" s="5" t="s">
        <v>40</v>
      </c>
      <c r="C35" s="6"/>
      <c r="D35" s="6"/>
      <c r="E35" s="6"/>
      <c r="F35" s="6"/>
      <c r="G35" s="6"/>
      <c r="H35" s="6"/>
      <c r="I35" s="6"/>
      <c r="J35" s="6"/>
      <c r="K35" s="6">
        <v>18.629000000000001</v>
      </c>
      <c r="L35" s="6">
        <v>47.65</v>
      </c>
      <c r="M35" s="6"/>
      <c r="N35" s="6"/>
    </row>
    <row r="36" spans="2:14" s="5" customFormat="1" x14ac:dyDescent="0.2">
      <c r="B36" s="5" t="s">
        <v>41</v>
      </c>
      <c r="C36" s="6"/>
      <c r="D36" s="6"/>
      <c r="E36" s="6"/>
      <c r="F36" s="6"/>
      <c r="G36" s="6"/>
      <c r="H36" s="6"/>
      <c r="I36" s="6"/>
      <c r="J36" s="6"/>
      <c r="K36" s="6">
        <v>108.211</v>
      </c>
      <c r="L36" s="6">
        <v>111.622</v>
      </c>
      <c r="M36" s="6"/>
      <c r="N36" s="6"/>
    </row>
    <row r="37" spans="2:14" s="5" customFormat="1" x14ac:dyDescent="0.2">
      <c r="B37" s="5" t="s">
        <v>37</v>
      </c>
      <c r="C37" s="6"/>
      <c r="D37" s="6"/>
      <c r="E37" s="6"/>
      <c r="F37" s="6"/>
      <c r="G37" s="6"/>
      <c r="H37" s="6"/>
      <c r="I37" s="6"/>
      <c r="J37" s="6"/>
      <c r="K37" s="6">
        <f>20.32+51.817</f>
        <v>72.137</v>
      </c>
      <c r="L37" s="6">
        <f>22.357+51.771</f>
        <v>74.128</v>
      </c>
      <c r="M37" s="6"/>
      <c r="N37" s="6"/>
    </row>
    <row r="38" spans="2:14" s="5" customFormat="1" x14ac:dyDescent="0.2">
      <c r="B38" s="5" t="s">
        <v>42</v>
      </c>
      <c r="C38" s="6"/>
      <c r="D38" s="6"/>
      <c r="E38" s="6"/>
      <c r="F38" s="6"/>
      <c r="G38" s="6"/>
      <c r="H38" s="6"/>
      <c r="I38" s="6"/>
      <c r="J38" s="6"/>
      <c r="K38" s="6">
        <f>454.812+12.798</f>
        <v>467.61</v>
      </c>
      <c r="L38" s="6">
        <f>444.247+14.526</f>
        <v>458.77300000000002</v>
      </c>
      <c r="M38" s="6"/>
      <c r="N38" s="6"/>
    </row>
    <row r="39" spans="2:14" s="5" customFormat="1" x14ac:dyDescent="0.2">
      <c r="B39" s="5" t="s">
        <v>4</v>
      </c>
      <c r="C39" s="6"/>
      <c r="D39" s="6"/>
      <c r="E39" s="6"/>
      <c r="F39" s="6"/>
      <c r="G39" s="6"/>
      <c r="H39" s="6"/>
      <c r="I39" s="6"/>
      <c r="J39" s="6"/>
      <c r="K39" s="6">
        <v>736.31799999999998</v>
      </c>
      <c r="L39" s="6">
        <v>737.16</v>
      </c>
      <c r="M39" s="6"/>
      <c r="N39" s="6"/>
    </row>
    <row r="40" spans="2:14" s="5" customFormat="1" x14ac:dyDescent="0.2">
      <c r="B40" s="5" t="s">
        <v>39</v>
      </c>
      <c r="C40" s="6"/>
      <c r="D40" s="6"/>
      <c r="E40" s="6"/>
      <c r="F40" s="6"/>
      <c r="G40" s="6"/>
      <c r="H40" s="6"/>
      <c r="I40" s="6"/>
      <c r="J40" s="6"/>
      <c r="K40" s="6">
        <v>9.2530000000000001</v>
      </c>
      <c r="L40" s="6">
        <v>10.034000000000001</v>
      </c>
      <c r="M40" s="6"/>
      <c r="N40" s="6"/>
    </row>
    <row r="41" spans="2:14" s="5" customFormat="1" x14ac:dyDescent="0.2">
      <c r="B41" s="5" t="s">
        <v>43</v>
      </c>
      <c r="C41" s="6"/>
      <c r="D41" s="6"/>
      <c r="E41" s="6"/>
      <c r="F41" s="6"/>
      <c r="G41" s="6"/>
      <c r="H41" s="6"/>
      <c r="I41" s="6"/>
      <c r="J41" s="6"/>
      <c r="K41" s="6">
        <v>1116.857</v>
      </c>
      <c r="L41" s="6">
        <v>1215.1199999999999</v>
      </c>
      <c r="M41" s="6"/>
      <c r="N41" s="6"/>
    </row>
    <row r="42" spans="2:14" s="5" customFormat="1" x14ac:dyDescent="0.2">
      <c r="B42" s="5" t="s">
        <v>44</v>
      </c>
      <c r="C42" s="6"/>
      <c r="D42" s="6"/>
      <c r="E42" s="6"/>
      <c r="F42" s="6"/>
      <c r="G42" s="6"/>
      <c r="H42" s="6"/>
      <c r="I42" s="6"/>
      <c r="J42" s="6"/>
      <c r="K42" s="6">
        <f>SUM(K35:K41)</f>
        <v>2529.0149999999999</v>
      </c>
      <c r="L42" s="6">
        <f>SUM(L35:L41)</f>
        <v>2654.4870000000001</v>
      </c>
      <c r="M42" s="6"/>
      <c r="N42" s="6"/>
    </row>
    <row r="44" spans="2:14" s="5" customFormat="1" x14ac:dyDescent="0.2">
      <c r="B44" s="5" t="s">
        <v>48</v>
      </c>
      <c r="C44" s="6"/>
      <c r="D44" s="6"/>
      <c r="E44" s="6"/>
      <c r="F44" s="6"/>
      <c r="G44" s="6"/>
      <c r="H44" s="6"/>
      <c r="I44" s="6"/>
      <c r="J44" s="6"/>
      <c r="K44" s="6">
        <f>+K17</f>
        <v>-41.381</v>
      </c>
      <c r="L44" s="6"/>
      <c r="M44" s="6"/>
      <c r="N44" s="6"/>
    </row>
    <row r="45" spans="2:14" s="5" customFormat="1" x14ac:dyDescent="0.2">
      <c r="B45" s="5" t="s">
        <v>49</v>
      </c>
      <c r="C45" s="6"/>
      <c r="D45" s="6"/>
      <c r="E45" s="6"/>
      <c r="F45" s="6"/>
      <c r="G45" s="6"/>
      <c r="H45" s="6"/>
      <c r="I45" s="6"/>
      <c r="J45" s="6"/>
      <c r="K45" s="6">
        <v>9.7379999999999995</v>
      </c>
      <c r="L45" s="6"/>
      <c r="M45" s="6"/>
      <c r="N45" s="6"/>
    </row>
    <row r="46" spans="2:14" s="5" customFormat="1" x14ac:dyDescent="0.2">
      <c r="B46" s="5" t="s">
        <v>50</v>
      </c>
      <c r="C46" s="6"/>
      <c r="D46" s="6"/>
      <c r="E46" s="6"/>
      <c r="F46" s="6"/>
      <c r="G46" s="6"/>
      <c r="H46" s="6"/>
      <c r="I46" s="6"/>
      <c r="J46" s="6"/>
      <c r="K46" s="6">
        <v>7.3940000000000001</v>
      </c>
      <c r="L46" s="6"/>
      <c r="M46" s="6"/>
      <c r="N46" s="6"/>
    </row>
    <row r="47" spans="2:14" s="5" customFormat="1" x14ac:dyDescent="0.2">
      <c r="B47" s="5" t="s">
        <v>51</v>
      </c>
      <c r="C47" s="6"/>
      <c r="D47" s="6"/>
      <c r="E47" s="6"/>
      <c r="F47" s="6"/>
      <c r="G47" s="6"/>
      <c r="H47" s="6"/>
      <c r="I47" s="6"/>
      <c r="J47" s="6"/>
      <c r="K47" s="6">
        <v>3.9590000000000001</v>
      </c>
      <c r="L47" s="6"/>
      <c r="M47" s="6"/>
      <c r="N47" s="6"/>
    </row>
    <row r="48" spans="2:14" s="5" customFormat="1" x14ac:dyDescent="0.2">
      <c r="B48" s="5" t="s">
        <v>52</v>
      </c>
      <c r="C48" s="6"/>
      <c r="D48" s="6"/>
      <c r="E48" s="6"/>
      <c r="F48" s="6"/>
      <c r="G48" s="6"/>
      <c r="H48" s="6"/>
      <c r="I48" s="6"/>
      <c r="J48" s="6"/>
      <c r="K48" s="6">
        <v>0.84</v>
      </c>
      <c r="L48" s="6"/>
      <c r="M48" s="6"/>
      <c r="N48" s="6"/>
    </row>
    <row r="49" spans="2:14" s="5" customFormat="1" x14ac:dyDescent="0.2">
      <c r="B49" s="5" t="s">
        <v>53</v>
      </c>
      <c r="C49" s="6"/>
      <c r="D49" s="6"/>
      <c r="E49" s="6"/>
      <c r="F49" s="6"/>
      <c r="G49" s="6"/>
      <c r="H49" s="6"/>
      <c r="I49" s="6"/>
      <c r="J49" s="6"/>
      <c r="K49" s="6">
        <v>6.0220000000000002</v>
      </c>
      <c r="L49" s="6"/>
      <c r="M49" s="6"/>
      <c r="N49" s="6"/>
    </row>
    <row r="50" spans="2:14" s="5" customFormat="1" x14ac:dyDescent="0.2">
      <c r="B50" s="5" t="s">
        <v>54</v>
      </c>
      <c r="C50" s="6"/>
      <c r="D50" s="6"/>
      <c r="E50" s="6"/>
      <c r="F50" s="6"/>
      <c r="G50" s="6"/>
      <c r="H50" s="6"/>
      <c r="I50" s="6"/>
      <c r="J50" s="6"/>
      <c r="K50" s="6">
        <v>66.884</v>
      </c>
      <c r="L50" s="6"/>
      <c r="M50" s="6"/>
      <c r="N50" s="6"/>
    </row>
    <row r="51" spans="2:14" s="5" customFormat="1" x14ac:dyDescent="0.2">
      <c r="B51" s="5" t="s">
        <v>37</v>
      </c>
      <c r="C51" s="6"/>
      <c r="D51" s="6"/>
      <c r="E51" s="6"/>
      <c r="F51" s="6"/>
      <c r="G51" s="6"/>
      <c r="H51" s="6"/>
      <c r="I51" s="6"/>
      <c r="J51" s="6"/>
      <c r="K51" s="6">
        <v>4.4109999999999996</v>
      </c>
      <c r="L51" s="6"/>
      <c r="M51" s="6"/>
      <c r="N51" s="6"/>
    </row>
    <row r="52" spans="2:14" s="5" customFormat="1" x14ac:dyDescent="0.2">
      <c r="B52" s="5" t="s">
        <v>33</v>
      </c>
      <c r="C52" s="6"/>
      <c r="D52" s="6"/>
      <c r="E52" s="6"/>
      <c r="F52" s="6"/>
      <c r="G52" s="6"/>
      <c r="H52" s="6"/>
      <c r="I52" s="6"/>
      <c r="J52" s="6"/>
      <c r="K52" s="6">
        <v>0.79800000000000004</v>
      </c>
      <c r="L52" s="6"/>
      <c r="M52" s="6"/>
      <c r="N52" s="6"/>
    </row>
    <row r="53" spans="2:14" s="5" customFormat="1" x14ac:dyDescent="0.2">
      <c r="B53" s="5" t="s">
        <v>55</v>
      </c>
      <c r="C53" s="6"/>
      <c r="D53" s="6"/>
      <c r="E53" s="6"/>
      <c r="F53" s="6"/>
      <c r="G53" s="6"/>
      <c r="H53" s="6"/>
      <c r="I53" s="6"/>
      <c r="J53" s="6"/>
      <c r="K53" s="6">
        <v>0.82299999999999995</v>
      </c>
      <c r="L53" s="6"/>
      <c r="M53" s="6"/>
      <c r="N53" s="6"/>
    </row>
    <row r="54" spans="2:14" s="5" customFormat="1" x14ac:dyDescent="0.2">
      <c r="B54" s="5" t="s">
        <v>56</v>
      </c>
      <c r="C54" s="6"/>
      <c r="D54" s="6"/>
      <c r="E54" s="6"/>
      <c r="F54" s="6"/>
      <c r="G54" s="6"/>
      <c r="H54" s="6"/>
      <c r="I54" s="6"/>
      <c r="J54" s="6"/>
      <c r="K54" s="6">
        <f>-7.319-8.166-8.391-0.805-7.624-2.911+81.735</f>
        <v>46.518999999999998</v>
      </c>
      <c r="L54" s="6"/>
      <c r="M54" s="6"/>
      <c r="N54" s="6"/>
    </row>
    <row r="55" spans="2:14" s="5" customFormat="1" x14ac:dyDescent="0.2">
      <c r="B55" s="5" t="s">
        <v>57</v>
      </c>
      <c r="C55" s="6"/>
      <c r="D55" s="6"/>
      <c r="E55" s="6"/>
      <c r="F55" s="6"/>
      <c r="G55" s="6"/>
      <c r="H55" s="6"/>
      <c r="I55" s="6"/>
      <c r="J55" s="6"/>
      <c r="K55" s="6">
        <f>SUM(K45:K54)</f>
        <v>147.38799999999998</v>
      </c>
      <c r="L55" s="6"/>
      <c r="M55" s="6"/>
      <c r="N55" s="6"/>
    </row>
  </sheetData>
  <hyperlinks>
    <hyperlink ref="A1" location="Main!A1" display="Main" xr:uid="{0C2CB192-972E-49C2-986E-DB4F425D454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Jefferson Hwang-F22B</cp:lastModifiedBy>
  <dcterms:created xsi:type="dcterms:W3CDTF">2022-09-02T02:52:19Z</dcterms:created>
  <dcterms:modified xsi:type="dcterms:W3CDTF">2024-02-12T05:41:53Z</dcterms:modified>
</cp:coreProperties>
</file>