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GitHub\martinshkreli-models\"/>
    </mc:Choice>
  </mc:AlternateContent>
  <xr:revisionPtr revIDLastSave="0" documentId="13_ncr:1_{8F0918FB-7973-4354-B380-B9D143ABF9B0}" xr6:coauthVersionLast="47" xr6:coauthVersionMax="47" xr10:uidLastSave="{00000000-0000-0000-0000-000000000000}"/>
  <bookViews>
    <workbookView xWindow="-15" yWindow="90" windowWidth="14370" windowHeight="20805" activeTab="1" xr2:uid="{8F193AD5-4822-438A-B757-2B234AE27955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" i="1" l="1"/>
  <c r="Z13" i="1"/>
  <c r="AA13" i="1"/>
  <c r="K9" i="1"/>
  <c r="K10" i="1" s="1"/>
  <c r="L9" i="1"/>
  <c r="L10" i="1" s="1"/>
  <c r="M9" i="1"/>
  <c r="M10" i="1" s="1"/>
  <c r="N9" i="1"/>
  <c r="O9" i="1"/>
  <c r="O10" i="1" s="1"/>
  <c r="P9" i="1"/>
  <c r="P10" i="1" s="1"/>
  <c r="Q9" i="1"/>
  <c r="Q10" i="1"/>
  <c r="N10" i="1"/>
  <c r="U4" i="1"/>
  <c r="V4" i="1"/>
  <c r="N7" i="1"/>
  <c r="O7" i="1"/>
  <c r="P7" i="1"/>
  <c r="Q7" i="1"/>
  <c r="L8" i="1"/>
  <c r="M8" i="1"/>
  <c r="N8" i="1"/>
  <c r="O8" i="1"/>
  <c r="P8" i="1"/>
  <c r="Q8" i="1"/>
  <c r="K8" i="1"/>
  <c r="Z8" i="1"/>
  <c r="J23" i="1"/>
  <c r="J21" i="1"/>
  <c r="J17" i="1"/>
  <c r="J15" i="1"/>
  <c r="J13" i="1"/>
  <c r="J12" i="1"/>
  <c r="N23" i="1"/>
  <c r="N21" i="1"/>
  <c r="N18" i="1"/>
  <c r="N17" i="1"/>
  <c r="N16" i="1"/>
  <c r="N15" i="1"/>
  <c r="N13" i="1"/>
  <c r="N12" i="1"/>
  <c r="K23" i="1"/>
  <c r="K21" i="1"/>
  <c r="K17" i="1"/>
  <c r="K15" i="1"/>
  <c r="K13" i="1"/>
  <c r="K12" i="1"/>
  <c r="O23" i="1"/>
  <c r="O21" i="1"/>
  <c r="O18" i="1"/>
  <c r="O16" i="1"/>
  <c r="O15" i="1"/>
  <c r="O13" i="1"/>
  <c r="O12" i="1"/>
  <c r="O28" i="1" s="1"/>
  <c r="L23" i="1"/>
  <c r="L21" i="1"/>
  <c r="L18" i="1"/>
  <c r="L17" i="1"/>
  <c r="L15" i="1"/>
  <c r="L13" i="1"/>
  <c r="L12" i="1"/>
  <c r="P23" i="1"/>
  <c r="P18" i="1"/>
  <c r="P19" i="1" s="1"/>
  <c r="P21" i="1"/>
  <c r="P13" i="1"/>
  <c r="P12" i="1"/>
  <c r="M23" i="1"/>
  <c r="M21" i="1"/>
  <c r="M18" i="1"/>
  <c r="M19" i="1" s="1"/>
  <c r="M13" i="1"/>
  <c r="M12" i="1"/>
  <c r="Q18" i="1"/>
  <c r="Q17" i="1"/>
  <c r="Q21" i="1"/>
  <c r="Q12" i="1"/>
  <c r="Q14" i="1" s="1"/>
  <c r="Q29" i="1" s="1"/>
  <c r="L7" i="2"/>
  <c r="L10" i="2" s="1"/>
  <c r="M14" i="1" l="1"/>
  <c r="N14" i="1"/>
  <c r="K19" i="1"/>
  <c r="K14" i="1"/>
  <c r="J19" i="1"/>
  <c r="Q28" i="1"/>
  <c r="AB12" i="1"/>
  <c r="P28" i="1"/>
  <c r="N19" i="1"/>
  <c r="O19" i="1"/>
  <c r="J14" i="1"/>
  <c r="Q19" i="1"/>
  <c r="Q20" i="1" s="1"/>
  <c r="Q22" i="1" s="1"/>
  <c r="Q24" i="1" s="1"/>
  <c r="Q25" i="1" s="1"/>
  <c r="L14" i="1"/>
  <c r="K20" i="1"/>
  <c r="K22" i="1" s="1"/>
  <c r="K24" i="1" s="1"/>
  <c r="K25" i="1" s="1"/>
  <c r="L19" i="1"/>
  <c r="M20" i="1"/>
  <c r="M22" i="1" s="1"/>
  <c r="M24" i="1" s="1"/>
  <c r="M25" i="1" s="1"/>
  <c r="O14" i="1"/>
  <c r="P14" i="1"/>
  <c r="P29" i="1" s="1"/>
  <c r="J20" i="1" l="1"/>
  <c r="J22" i="1" s="1"/>
  <c r="J24" i="1" s="1"/>
  <c r="J25" i="1" s="1"/>
  <c r="N20" i="1"/>
  <c r="N22" i="1" s="1"/>
  <c r="N24" i="1" s="1"/>
  <c r="N25" i="1" s="1"/>
  <c r="P20" i="1"/>
  <c r="P22" i="1" s="1"/>
  <c r="P24" i="1" s="1"/>
  <c r="P25" i="1" s="1"/>
  <c r="L20" i="1"/>
  <c r="L22" i="1" s="1"/>
  <c r="L24" i="1" s="1"/>
  <c r="L25" i="1" s="1"/>
  <c r="O29" i="1"/>
  <c r="O20" i="1"/>
  <c r="O22" i="1" s="1"/>
  <c r="O24" i="1" s="1"/>
  <c r="O25" i="1" s="1"/>
  <c r="D29" i="1" l="1"/>
  <c r="L29" i="1"/>
  <c r="H29" i="1"/>
  <c r="E29" i="1"/>
  <c r="N28" i="1"/>
  <c r="AA12" i="1"/>
  <c r="AB8" i="1" s="1"/>
  <c r="Z2" i="1"/>
  <c r="AA2" i="1" s="1"/>
  <c r="AB2" i="1" s="1"/>
  <c r="AC2" i="1" s="1"/>
  <c r="AC12" i="1" l="1"/>
  <c r="AA8" i="1"/>
  <c r="F29" i="1"/>
  <c r="G29" i="1"/>
  <c r="J29" i="1"/>
  <c r="I29" i="1"/>
  <c r="K29" i="1"/>
  <c r="M29" i="1"/>
  <c r="N29" i="1"/>
  <c r="AD12" i="1" l="1"/>
  <c r="AB13" i="1"/>
  <c r="AE12" i="1" l="1"/>
  <c r="AC13" i="1"/>
  <c r="AF12" i="1" l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X33" i="1"/>
  <c r="X35" i="1" s="1"/>
  <c r="X36" i="1" l="1"/>
  <c r="X37" i="1"/>
</calcChain>
</file>

<file path=xl/sharedStrings.xml><?xml version="1.0" encoding="utf-8"?>
<sst xmlns="http://schemas.openxmlformats.org/spreadsheetml/2006/main" count="64" uniqueCount="62">
  <si>
    <t>FY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</si>
  <si>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</si>
  <si>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</si>
  <si>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</si>
  <si>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</si>
  <si>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</si>
  <si>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</si>
  <si>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</si>
  <si>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</si>
  <si>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</si>
  <si>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</si>
  <si>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</si>
  <si>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</si>
  <si>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</si>
  <si>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</si>
  <si>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Revenue</t>
  </si>
  <si>
    <t>COGS</t>
  </si>
  <si>
    <t>Gross Profit</t>
  </si>
  <si>
    <t>R&amp;D</t>
  </si>
  <si>
    <t>OpEx</t>
  </si>
  <si>
    <t>OpInc</t>
  </si>
  <si>
    <t>Interest</t>
  </si>
  <si>
    <t>Pretax</t>
  </si>
  <si>
    <t>Taxes</t>
  </si>
  <si>
    <t>Net Income</t>
  </si>
  <si>
    <t>EPS</t>
  </si>
  <si>
    <t>Shares</t>
  </si>
  <si>
    <t>Revenue y/y</t>
  </si>
  <si>
    <t>Gross Margin</t>
  </si>
  <si>
    <t>Growth Rate</t>
  </si>
  <si>
    <t>Cash</t>
  </si>
  <si>
    <t>Terminal Rate</t>
  </si>
  <si>
    <t>Discount Rate</t>
  </si>
  <si>
    <t>NPV</t>
  </si>
  <si>
    <t>Share Price</t>
  </si>
  <si>
    <t>Delta</t>
  </si>
  <si>
    <t>Market Cap</t>
  </si>
  <si>
    <t>Debt</t>
  </si>
  <si>
    <t>Q323</t>
  </si>
  <si>
    <t>Q423</t>
  </si>
  <si>
    <t>Hardware Rev</t>
  </si>
  <si>
    <t>Price</t>
  </si>
  <si>
    <t>MC</t>
  </si>
  <si>
    <t>EV</t>
  </si>
  <si>
    <t>Subscription service</t>
  </si>
  <si>
    <t>Professional Service</t>
  </si>
  <si>
    <t>Contract</t>
  </si>
  <si>
    <t>S&amp;M</t>
  </si>
  <si>
    <t>G&amp;A</t>
  </si>
  <si>
    <t>CCL</t>
  </si>
  <si>
    <t>Seq Sub Growth %</t>
  </si>
  <si>
    <t>Yoy Sub Growth</t>
  </si>
  <si>
    <t>Q124</t>
  </si>
  <si>
    <t>Q224</t>
  </si>
  <si>
    <t>Q324</t>
  </si>
  <si>
    <t>FY25</t>
  </si>
  <si>
    <t>FY24</t>
  </si>
  <si>
    <t>BK</t>
  </si>
  <si>
    <t>over 2 years</t>
  </si>
  <si>
    <t>Rule of 40</t>
  </si>
  <si>
    <t>Gross Margin %</t>
  </si>
  <si>
    <t>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</si>
</sst>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2" fillId="0" borderId="0" xfId="0" applyFont="1"/>
    <xf numFmtId="9" fontId="0" fillId="0" borderId="0" xfId="0" applyNumberFormat="1" applyAlignment="1">
      <alignment horizontal="right"/>
    </xf>
    <xf numFmtId="0" fontId="0" fillId="0" borderId="1" xfId="0" applyBorder="1"/>
    <xf numFmtId="9" fontId="2" fillId="0" borderId="1" xfId="3" applyFont="1" applyBorder="1"/>
    <xf numFmtId="3" fontId="0" fillId="0" borderId="1" xfId="0" applyNumberFormat="1" applyBorder="1"/>
    <xf numFmtId="9" fontId="0" fillId="0" borderId="1" xfId="3" applyFont="1" applyBorder="1"/>
    <xf numFmtId="44" fontId="0" fillId="0" borderId="1" xfId="2" applyFont="1" applyBorder="1"/>
    <xf numFmtId="164" fontId="0" fillId="0" borderId="1" xfId="1" applyNumberFormat="1" applyFont="1" applyBorder="1"/>
    <xf numFmtId="44" fontId="2" fillId="0" borderId="1" xfId="2" applyFont="1" applyBorder="1"/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" fillId="0" borderId="0" xfId="0" applyNumberFormat="1" applyFont="1"/>
    <xf numFmtId="9" fontId="0" fillId="0" borderId="0" xfId="3" applyFont="1"/>
    <xf numFmtId="8" fontId="0" fillId="0" borderId="1" xfId="2" applyNumberFormat="1" applyFont="1" applyBorder="1"/>
    <xf numFmtId="9" fontId="0" fillId="0" borderId="0" xfId="3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" fontId="0" fillId="2" borderId="0" xfId="0" applyNumberFormat="1" applyFill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0" xfId="0" applyNumberFormat="1" applyFill="1"/>
    <xf numFmtId="9" fontId="0" fillId="2" borderId="0" xfId="3" applyFont="1" applyFill="1"/>
    <xf numFmtId="44" fontId="0" fillId="0" borderId="0" xfId="2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4BCE-B845-4194-9F64-44C45D0BF29A}">
  <dimension ref="K5:L10"/>
  <sheetViews>
    <sheetView workbookViewId="0">
      <selection activeCell="L10" sqref="L10"/>
    </sheetView>
  </sheetViews>
  <sheetFormatPr defaultRowHeight="15" x14ac:dyDescent="0.25"/>
  <sheetData>
    <row r="5" spans="11:12" x14ac:dyDescent="0.25">
      <c r="K5" t="s">
        <v>41</v>
      </c>
      <c r="L5" s="8">
        <v>43.51</v>
      </c>
    </row>
    <row r="6" spans="11:12" x14ac:dyDescent="0.25">
      <c r="K6" t="s">
        <v>26</v>
      </c>
      <c r="L6" s="6">
        <v>28.02</v>
      </c>
    </row>
    <row r="7" spans="11:12" x14ac:dyDescent="0.25">
      <c r="K7" t="s">
        <v>42</v>
      </c>
      <c r="L7" s="6">
        <f>+L5*L6</f>
        <v>1219.1501999999998</v>
      </c>
    </row>
    <row r="8" spans="11:12" x14ac:dyDescent="0.25">
      <c r="K8" t="s">
        <v>30</v>
      </c>
      <c r="L8" s="6">
        <v>74.563000000000002</v>
      </c>
    </row>
    <row r="9" spans="11:12" x14ac:dyDescent="0.25">
      <c r="K9" t="s">
        <v>37</v>
      </c>
      <c r="L9" s="6">
        <v>295.19</v>
      </c>
    </row>
    <row r="10" spans="11:12" x14ac:dyDescent="0.25">
      <c r="K10" t="s">
        <v>43</v>
      </c>
      <c r="L10" s="6">
        <f>+L7-L8+L9</f>
        <v>1439.7771999999998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AD33-99C5-4121-980B-8556C8EA76DD}">
  <dimension ref="A1:DE61"/>
  <sheetViews>
    <sheetView tabSelected="1" zoomScale="110" zoomScaleNormal="110" workbookViewId="0">
      <pane xSplit="1" topLeftCell="U1" activePane="topRight" state="frozen"/>
      <selection pane="topRight" activeCell="AA29" sqref="AA29"/>
    </sheetView>
  </sheetViews>
  <sheetFormatPr defaultRowHeight="15" x14ac:dyDescent="0.25"/>
  <cols>
    <col min="1" max="1" width="13.28515625" customWidth="1"/>
    <col min="2" max="3" width="9.140625" style="1"/>
    <col min="4" max="4" width="9.7109375" style="1" bestFit="1" customWidth="1"/>
    <col min="5" max="5" width="11" style="1" bestFit="1" customWidth="1"/>
    <col min="6" max="6" width="9.85546875" style="1" bestFit="1" customWidth="1"/>
    <col min="7" max="9" width="9.140625" style="1"/>
    <col min="10" max="10" width="7.7109375" style="1" bestFit="1" customWidth="1"/>
    <col min="11" max="12" width="9.7109375" style="1" bestFit="1" customWidth="1"/>
    <col min="13" max="13" width="10.85546875" style="1" bestFit="1" customWidth="1"/>
    <col min="14" max="14" width="9.7109375" bestFit="1" customWidth="1"/>
    <col min="23" max="23" width="12.7109375" bestFit="1" customWidth="1"/>
    <col min="24" max="24" width="11.28515625" bestFit="1" customWidth="1"/>
    <col min="28" max="28" width="9.42578125" bestFit="1" customWidth="1"/>
  </cols>
  <sheetData>
    <row r="1" spans="1:109" x14ac:dyDescent="0.25">
      <c r="D1" s="2">
        <v>44104</v>
      </c>
      <c r="E1" s="2">
        <v>44196</v>
      </c>
      <c r="F1" s="2">
        <v>44286</v>
      </c>
      <c r="K1" s="2">
        <v>44742</v>
      </c>
      <c r="L1" s="2">
        <v>44834</v>
      </c>
      <c r="M1" s="2">
        <v>44926</v>
      </c>
      <c r="N1" s="3">
        <v>45016</v>
      </c>
      <c r="W1" t="s">
        <v>0</v>
      </c>
    </row>
    <row r="2" spans="1:109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38</v>
      </c>
      <c r="Q2" s="1" t="s">
        <v>39</v>
      </c>
      <c r="R2" s="1" t="s">
        <v>52</v>
      </c>
      <c r="S2" s="1" t="s">
        <v>53</v>
      </c>
      <c r="T2" s="1" t="s">
        <v>54</v>
      </c>
      <c r="U2" s="1" t="s">
        <v>56</v>
      </c>
      <c r="V2" s="1" t="s">
        <v>55</v>
      </c>
      <c r="W2" s="1">
        <v>2018</v>
      </c>
      <c r="X2" s="1">
        <v>2019</v>
      </c>
      <c r="Y2">
        <v>2020</v>
      </c>
      <c r="Z2">
        <f>+Y2+1</f>
        <v>2021</v>
      </c>
      <c r="AA2">
        <f t="shared" ref="AA2:AC2" si="0">+Z2+1</f>
        <v>2022</v>
      </c>
      <c r="AB2">
        <f t="shared" si="0"/>
        <v>2023</v>
      </c>
      <c r="AC2">
        <f t="shared" si="0"/>
        <v>2024</v>
      </c>
      <c r="AD2">
        <v>2025</v>
      </c>
      <c r="AE2">
        <v>2026</v>
      </c>
      <c r="AF2">
        <v>2027</v>
      </c>
      <c r="AG2">
        <v>2028</v>
      </c>
      <c r="AH2">
        <v>2029</v>
      </c>
      <c r="AI2">
        <v>2030</v>
      </c>
    </row>
    <row r="3" spans="1:109" x14ac:dyDescent="0.25">
      <c r="A3" t="s">
        <v>40</v>
      </c>
      <c r="D3" s="21"/>
      <c r="E3" s="21"/>
      <c r="F3" s="21"/>
      <c r="G3" s="21"/>
      <c r="H3" s="21"/>
      <c r="I3" s="21"/>
      <c r="J3" s="22">
        <v>25.073</v>
      </c>
      <c r="K3" s="22">
        <v>28.39</v>
      </c>
      <c r="L3" s="22">
        <v>31.343</v>
      </c>
      <c r="M3" s="22">
        <v>29.59</v>
      </c>
      <c r="N3" s="22">
        <v>26.777000000000001</v>
      </c>
      <c r="O3" s="23">
        <v>26.39</v>
      </c>
      <c r="P3" s="23">
        <v>25.824000000000002</v>
      </c>
      <c r="Q3" s="23">
        <v>24.4</v>
      </c>
    </row>
    <row r="4" spans="1:109" x14ac:dyDescent="0.25">
      <c r="A4" s="28" t="s">
        <v>44</v>
      </c>
      <c r="B4" s="29"/>
      <c r="C4" s="29"/>
      <c r="D4" s="30"/>
      <c r="E4" s="30"/>
      <c r="F4" s="30"/>
      <c r="G4" s="30"/>
      <c r="H4" s="30"/>
      <c r="I4" s="30"/>
      <c r="J4" s="31">
        <v>21.285</v>
      </c>
      <c r="K4" s="31">
        <v>23.15</v>
      </c>
      <c r="L4" s="31">
        <v>25.17</v>
      </c>
      <c r="M4" s="31">
        <v>27.908000000000001</v>
      </c>
      <c r="N4" s="31">
        <v>27.965</v>
      </c>
      <c r="O4" s="32">
        <v>30.372</v>
      </c>
      <c r="P4" s="32">
        <v>31.363</v>
      </c>
      <c r="Q4" s="32">
        <v>32.896999999999998</v>
      </c>
      <c r="U4">
        <f>1.15*Q4</f>
        <v>37.831549999999993</v>
      </c>
      <c r="V4" s="23">
        <f>Q4+23.4</f>
        <v>56.296999999999997</v>
      </c>
    </row>
    <row r="5" spans="1:109" x14ac:dyDescent="0.25">
      <c r="A5" t="s">
        <v>45</v>
      </c>
      <c r="D5" s="21"/>
      <c r="E5" s="21"/>
      <c r="F5" s="21"/>
      <c r="G5" s="21"/>
      <c r="H5" s="21"/>
      <c r="I5" s="21"/>
      <c r="J5" s="22">
        <v>12.488</v>
      </c>
      <c r="K5" s="22">
        <v>12.631</v>
      </c>
      <c r="L5" s="22">
        <v>11.84</v>
      </c>
      <c r="M5" s="22">
        <v>13.478999999999999</v>
      </c>
      <c r="N5" s="22">
        <v>13.842000000000001</v>
      </c>
      <c r="O5" s="23">
        <v>12.766999999999999</v>
      </c>
      <c r="P5" s="23">
        <v>11.513999999999999</v>
      </c>
      <c r="Q5" s="23">
        <v>12.603</v>
      </c>
    </row>
    <row r="6" spans="1:109" x14ac:dyDescent="0.25">
      <c r="A6" t="s">
        <v>46</v>
      </c>
      <c r="J6" s="22">
        <v>21.439</v>
      </c>
      <c r="K6" s="22">
        <v>20.922000000000001</v>
      </c>
      <c r="L6" s="22">
        <v>24.414000000000001</v>
      </c>
      <c r="M6" s="22">
        <v>26.672999999999998</v>
      </c>
      <c r="N6" s="22">
        <v>31.853000000000002</v>
      </c>
      <c r="O6" s="23">
        <v>31.015000000000001</v>
      </c>
      <c r="P6" s="23">
        <v>38.433</v>
      </c>
      <c r="Q6" s="23">
        <v>37.808</v>
      </c>
    </row>
    <row r="7" spans="1:109" x14ac:dyDescent="0.25">
      <c r="A7" s="28" t="s">
        <v>51</v>
      </c>
      <c r="B7" s="29"/>
      <c r="C7" s="29"/>
      <c r="D7" s="29"/>
      <c r="E7" s="29"/>
      <c r="F7" s="29"/>
      <c r="G7" s="29"/>
      <c r="H7" s="29"/>
      <c r="I7" s="29"/>
      <c r="J7" s="31"/>
      <c r="K7" s="31"/>
      <c r="L7" s="31"/>
      <c r="M7" s="31"/>
      <c r="N7" s="33">
        <f>(N4-J4)/J4</f>
        <v>0.31383603476626731</v>
      </c>
      <c r="O7" s="33">
        <f>(O4-K4)/K4</f>
        <v>0.31196544276457888</v>
      </c>
      <c r="P7" s="33">
        <f>(P4-L4)/L4</f>
        <v>0.24604688120778695</v>
      </c>
      <c r="Q7" s="33">
        <f>(Q4-M4)/M4</f>
        <v>0.17876594524867412</v>
      </c>
    </row>
    <row r="8" spans="1:109" x14ac:dyDescent="0.25">
      <c r="A8" t="s">
        <v>50</v>
      </c>
      <c r="J8" s="27"/>
      <c r="K8" s="27">
        <f>(K4-J4)/J4</f>
        <v>8.7620389945971267E-2</v>
      </c>
      <c r="L8" s="27">
        <f t="shared" ref="L8:Q8" si="1">(L4-K4)/K4</f>
        <v>8.7257019438445063E-2</v>
      </c>
      <c r="M8" s="27">
        <f t="shared" si="1"/>
        <v>0.10878029400079457</v>
      </c>
      <c r="N8" s="27">
        <f t="shared" si="1"/>
        <v>2.0424251110792106E-3</v>
      </c>
      <c r="O8" s="27">
        <f t="shared" si="1"/>
        <v>8.6071875558734134E-2</v>
      </c>
      <c r="P8" s="27">
        <f t="shared" si="1"/>
        <v>3.2628736994600276E-2</v>
      </c>
      <c r="Q8" s="27">
        <f t="shared" si="1"/>
        <v>4.8911137327423998E-2</v>
      </c>
      <c r="Z8" s="25">
        <f>(Z12-Y12)/Y12</f>
        <v>0.32317364093065015</v>
      </c>
      <c r="AA8" s="25">
        <f>(AA12-Z12)/Z12</f>
        <v>0.25777725929382483</v>
      </c>
      <c r="AB8" s="25">
        <f>(AB12-AA12)/AA12</f>
        <v>0.1687151309040319</v>
      </c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</row>
    <row r="9" spans="1:109" x14ac:dyDescent="0.25">
      <c r="A9" t="s">
        <v>60</v>
      </c>
      <c r="J9" s="27"/>
      <c r="K9" s="27">
        <f t="shared" ref="K9:Q9" si="2">K14/K12</f>
        <v>0.24821078114533499</v>
      </c>
      <c r="L9" s="27">
        <f t="shared" si="2"/>
        <v>0.23077171839123842</v>
      </c>
      <c r="M9" s="27">
        <f t="shared" si="2"/>
        <v>0.26780337941628274</v>
      </c>
      <c r="N9" s="27">
        <f t="shared" si="2"/>
        <v>0.23092087577287265</v>
      </c>
      <c r="O9" s="27">
        <f t="shared" si="2"/>
        <v>0.20418921069382562</v>
      </c>
      <c r="P9" s="27">
        <f t="shared" si="2"/>
        <v>0.2630910821961282</v>
      </c>
      <c r="Q9" s="27">
        <f t="shared" si="2"/>
        <v>0.2451164258922271</v>
      </c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</row>
    <row r="10" spans="1:109" x14ac:dyDescent="0.25">
      <c r="A10" t="s">
        <v>59</v>
      </c>
      <c r="J10" s="22"/>
      <c r="K10" s="27">
        <f t="shared" ref="K10:Q10" si="3">K8+K9</f>
        <v>0.33583117109130622</v>
      </c>
      <c r="L10" s="27">
        <f t="shared" si="3"/>
        <v>0.31802873782968349</v>
      </c>
      <c r="M10" s="27">
        <f t="shared" si="3"/>
        <v>0.37658367341707732</v>
      </c>
      <c r="N10" s="27">
        <f t="shared" si="3"/>
        <v>0.23296330088395187</v>
      </c>
      <c r="O10" s="27">
        <f t="shared" si="3"/>
        <v>0.29026108625255975</v>
      </c>
      <c r="P10" s="27">
        <f t="shared" si="3"/>
        <v>0.29571981919072848</v>
      </c>
      <c r="Q10" s="27">
        <f t="shared" si="3"/>
        <v>0.29402756321965107</v>
      </c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</row>
    <row r="11" spans="1:109" x14ac:dyDescent="0.25">
      <c r="J11" s="22"/>
      <c r="K11" s="27"/>
      <c r="L11" s="27"/>
      <c r="M11" s="27"/>
      <c r="N11" s="27"/>
      <c r="O11" s="27"/>
      <c r="P11" s="27"/>
      <c r="Q11" s="27"/>
      <c r="X11" t="s">
        <v>61</v>
      </c>
      <c r="Y11" s="34"/>
      <c r="Z11" s="34"/>
      <c r="AA11" s="34"/>
      <c r="AB11" s="34">
        <v>136.9</v>
      </c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</row>
    <row r="12" spans="1:109" s="4" customFormat="1" ht="12.75" x14ac:dyDescent="0.2">
      <c r="A12" s="4" t="s">
        <v>15</v>
      </c>
      <c r="B12" s="5"/>
      <c r="C12" s="5"/>
      <c r="D12" s="5"/>
      <c r="E12" s="5"/>
      <c r="F12" s="5"/>
      <c r="G12" s="5"/>
      <c r="H12" s="5"/>
      <c r="I12" s="5"/>
      <c r="J12" s="24">
        <f t="shared" ref="J12:Q12" si="4">SUM(J3:J6)</f>
        <v>80.284999999999997</v>
      </c>
      <c r="K12" s="24">
        <f t="shared" si="4"/>
        <v>85.092999999999989</v>
      </c>
      <c r="L12" s="24">
        <f t="shared" si="4"/>
        <v>92.76700000000001</v>
      </c>
      <c r="M12" s="24">
        <f t="shared" si="4"/>
        <v>97.65</v>
      </c>
      <c r="N12" s="24">
        <f t="shared" si="4"/>
        <v>100.43700000000001</v>
      </c>
      <c r="O12" s="24">
        <f t="shared" si="4"/>
        <v>100.544</v>
      </c>
      <c r="P12" s="24">
        <f t="shared" si="4"/>
        <v>107.13399999999999</v>
      </c>
      <c r="Q12" s="24">
        <f t="shared" si="4"/>
        <v>107.708</v>
      </c>
      <c r="Y12" s="4">
        <v>213.786</v>
      </c>
      <c r="Z12" s="4">
        <v>282.87599999999998</v>
      </c>
      <c r="AA12" s="4">
        <f>SUM(J12:M12)</f>
        <v>355.79499999999996</v>
      </c>
      <c r="AB12" s="4">
        <f>SUM(N12:Q12)</f>
        <v>415.82299999999998</v>
      </c>
      <c r="AC12" s="4">
        <f t="shared" ref="AC12:AI12" si="5">AB12*(1+$X$30)</f>
        <v>478.19644999999991</v>
      </c>
      <c r="AD12" s="4">
        <f t="shared" si="5"/>
        <v>549.92591749999985</v>
      </c>
      <c r="AE12" s="4">
        <f t="shared" si="5"/>
        <v>632.41480512499982</v>
      </c>
      <c r="AF12" s="4">
        <f t="shared" si="5"/>
        <v>727.27702589374974</v>
      </c>
      <c r="AG12" s="4">
        <f t="shared" si="5"/>
        <v>836.3685797778121</v>
      </c>
      <c r="AH12" s="4">
        <f t="shared" si="5"/>
        <v>961.82386674448389</v>
      </c>
      <c r="AI12" s="4">
        <f t="shared" si="5"/>
        <v>1106.0974467561564</v>
      </c>
      <c r="AJ12" s="4">
        <f>AI12*(1+$X$31)</f>
        <v>1106.0974467561564</v>
      </c>
      <c r="AK12" s="4">
        <f t="shared" ref="AK12:CV12" si="6">AJ12*(1+$X$31)</f>
        <v>1106.0974467561564</v>
      </c>
      <c r="AL12" s="4">
        <f t="shared" si="6"/>
        <v>1106.0974467561564</v>
      </c>
      <c r="AM12" s="4">
        <f t="shared" si="6"/>
        <v>1106.0974467561564</v>
      </c>
      <c r="AN12" s="4">
        <f t="shared" si="6"/>
        <v>1106.0974467561564</v>
      </c>
      <c r="AO12" s="4">
        <f t="shared" si="6"/>
        <v>1106.0974467561564</v>
      </c>
      <c r="AP12" s="4">
        <f t="shared" si="6"/>
        <v>1106.0974467561564</v>
      </c>
      <c r="AQ12" s="4">
        <f t="shared" si="6"/>
        <v>1106.0974467561564</v>
      </c>
      <c r="AR12" s="4">
        <f t="shared" si="6"/>
        <v>1106.0974467561564</v>
      </c>
      <c r="AS12" s="4">
        <f t="shared" si="6"/>
        <v>1106.0974467561564</v>
      </c>
      <c r="AT12" s="4">
        <f t="shared" si="6"/>
        <v>1106.0974467561564</v>
      </c>
      <c r="AU12" s="4">
        <f t="shared" si="6"/>
        <v>1106.0974467561564</v>
      </c>
      <c r="AV12" s="4">
        <f t="shared" si="6"/>
        <v>1106.0974467561564</v>
      </c>
      <c r="AW12" s="4">
        <f t="shared" si="6"/>
        <v>1106.0974467561564</v>
      </c>
      <c r="AX12" s="4">
        <f t="shared" si="6"/>
        <v>1106.0974467561564</v>
      </c>
      <c r="AY12" s="4">
        <f t="shared" si="6"/>
        <v>1106.0974467561564</v>
      </c>
      <c r="AZ12" s="4">
        <f t="shared" si="6"/>
        <v>1106.0974467561564</v>
      </c>
      <c r="BA12" s="4">
        <f t="shared" si="6"/>
        <v>1106.0974467561564</v>
      </c>
      <c r="BB12" s="4">
        <f t="shared" si="6"/>
        <v>1106.0974467561564</v>
      </c>
      <c r="BC12" s="4">
        <f t="shared" si="6"/>
        <v>1106.0974467561564</v>
      </c>
      <c r="BD12" s="4">
        <f t="shared" si="6"/>
        <v>1106.0974467561564</v>
      </c>
      <c r="BE12" s="4">
        <f t="shared" si="6"/>
        <v>1106.0974467561564</v>
      </c>
      <c r="BF12" s="4">
        <f t="shared" si="6"/>
        <v>1106.0974467561564</v>
      </c>
      <c r="BG12" s="4">
        <f t="shared" si="6"/>
        <v>1106.0974467561564</v>
      </c>
      <c r="BH12" s="4">
        <f t="shared" si="6"/>
        <v>1106.0974467561564</v>
      </c>
      <c r="BI12" s="4">
        <f t="shared" si="6"/>
        <v>1106.0974467561564</v>
      </c>
      <c r="BJ12" s="4">
        <f t="shared" si="6"/>
        <v>1106.0974467561564</v>
      </c>
      <c r="BK12" s="4">
        <f t="shared" si="6"/>
        <v>1106.0974467561564</v>
      </c>
      <c r="BL12" s="4">
        <f t="shared" si="6"/>
        <v>1106.0974467561564</v>
      </c>
      <c r="BM12" s="4">
        <f t="shared" si="6"/>
        <v>1106.0974467561564</v>
      </c>
      <c r="BN12" s="4">
        <f t="shared" si="6"/>
        <v>1106.0974467561564</v>
      </c>
      <c r="BO12" s="4">
        <f t="shared" si="6"/>
        <v>1106.0974467561564</v>
      </c>
      <c r="BP12" s="4">
        <f t="shared" si="6"/>
        <v>1106.0974467561564</v>
      </c>
      <c r="BQ12" s="4">
        <f t="shared" si="6"/>
        <v>1106.0974467561564</v>
      </c>
      <c r="BR12" s="4">
        <f t="shared" si="6"/>
        <v>1106.0974467561564</v>
      </c>
      <c r="BS12" s="4">
        <f t="shared" si="6"/>
        <v>1106.0974467561564</v>
      </c>
      <c r="BT12" s="4">
        <f t="shared" si="6"/>
        <v>1106.0974467561564</v>
      </c>
      <c r="BU12" s="4">
        <f t="shared" si="6"/>
        <v>1106.0974467561564</v>
      </c>
      <c r="BV12" s="4">
        <f t="shared" si="6"/>
        <v>1106.0974467561564</v>
      </c>
      <c r="BW12" s="4">
        <f t="shared" si="6"/>
        <v>1106.0974467561564</v>
      </c>
      <c r="BX12" s="4">
        <f t="shared" si="6"/>
        <v>1106.0974467561564</v>
      </c>
      <c r="BY12" s="4">
        <f t="shared" si="6"/>
        <v>1106.0974467561564</v>
      </c>
      <c r="BZ12" s="4">
        <f t="shared" si="6"/>
        <v>1106.0974467561564</v>
      </c>
      <c r="CA12" s="4">
        <f t="shared" si="6"/>
        <v>1106.0974467561564</v>
      </c>
      <c r="CB12" s="4">
        <f t="shared" si="6"/>
        <v>1106.0974467561564</v>
      </c>
      <c r="CC12" s="4">
        <f t="shared" si="6"/>
        <v>1106.0974467561564</v>
      </c>
      <c r="CD12" s="4">
        <f t="shared" si="6"/>
        <v>1106.0974467561564</v>
      </c>
      <c r="CE12" s="4">
        <f t="shared" si="6"/>
        <v>1106.0974467561564</v>
      </c>
      <c r="CF12" s="4">
        <f t="shared" si="6"/>
        <v>1106.0974467561564</v>
      </c>
      <c r="CG12" s="4">
        <f t="shared" si="6"/>
        <v>1106.0974467561564</v>
      </c>
      <c r="CH12" s="4">
        <f t="shared" si="6"/>
        <v>1106.0974467561564</v>
      </c>
      <c r="CI12" s="4">
        <f t="shared" si="6"/>
        <v>1106.0974467561564</v>
      </c>
      <c r="CJ12" s="4">
        <f t="shared" si="6"/>
        <v>1106.0974467561564</v>
      </c>
      <c r="CK12" s="4">
        <f t="shared" si="6"/>
        <v>1106.0974467561564</v>
      </c>
      <c r="CL12" s="4">
        <f t="shared" si="6"/>
        <v>1106.0974467561564</v>
      </c>
      <c r="CM12" s="4">
        <f t="shared" si="6"/>
        <v>1106.0974467561564</v>
      </c>
      <c r="CN12" s="4">
        <f t="shared" si="6"/>
        <v>1106.0974467561564</v>
      </c>
      <c r="CO12" s="4">
        <f t="shared" si="6"/>
        <v>1106.0974467561564</v>
      </c>
      <c r="CP12" s="4">
        <f t="shared" si="6"/>
        <v>1106.0974467561564</v>
      </c>
      <c r="CQ12" s="4">
        <f t="shared" si="6"/>
        <v>1106.0974467561564</v>
      </c>
      <c r="CR12" s="4">
        <f t="shared" si="6"/>
        <v>1106.0974467561564</v>
      </c>
      <c r="CS12" s="4">
        <f t="shared" si="6"/>
        <v>1106.0974467561564</v>
      </c>
      <c r="CT12" s="4">
        <f t="shared" si="6"/>
        <v>1106.0974467561564</v>
      </c>
      <c r="CU12" s="4">
        <f t="shared" si="6"/>
        <v>1106.0974467561564</v>
      </c>
      <c r="CV12" s="4">
        <f t="shared" si="6"/>
        <v>1106.0974467561564</v>
      </c>
      <c r="CW12" s="4">
        <f t="shared" ref="CW12:DE12" si="7">CV12*(1+$X$31)</f>
        <v>1106.0974467561564</v>
      </c>
      <c r="CX12" s="4">
        <f t="shared" si="7"/>
        <v>1106.0974467561564</v>
      </c>
      <c r="CY12" s="4">
        <f t="shared" si="7"/>
        <v>1106.0974467561564</v>
      </c>
      <c r="CZ12" s="4">
        <f t="shared" si="7"/>
        <v>1106.0974467561564</v>
      </c>
      <c r="DA12" s="4">
        <f t="shared" si="7"/>
        <v>1106.0974467561564</v>
      </c>
      <c r="DB12" s="4">
        <f t="shared" si="7"/>
        <v>1106.0974467561564</v>
      </c>
      <c r="DC12" s="4">
        <f t="shared" si="7"/>
        <v>1106.0974467561564</v>
      </c>
      <c r="DD12" s="4">
        <f t="shared" si="7"/>
        <v>1106.0974467561564</v>
      </c>
      <c r="DE12" s="4">
        <f t="shared" si="7"/>
        <v>1106.0974467561564</v>
      </c>
    </row>
    <row r="13" spans="1:109" s="6" customFormat="1" x14ac:dyDescent="0.25">
      <c r="A13" s="6" t="s">
        <v>16</v>
      </c>
      <c r="B13" s="7"/>
      <c r="C13" s="7"/>
      <c r="D13" s="7"/>
      <c r="E13" s="7"/>
      <c r="F13" s="7"/>
      <c r="G13" s="7"/>
      <c r="H13" s="7"/>
      <c r="I13" s="7"/>
      <c r="J13" s="22">
        <f>59.672</f>
        <v>59.671999999999997</v>
      </c>
      <c r="K13" s="22">
        <f>63.972</f>
        <v>63.972000000000001</v>
      </c>
      <c r="L13" s="22">
        <f>71.359</f>
        <v>71.358999999999995</v>
      </c>
      <c r="M13" s="22">
        <f>71.499</f>
        <v>71.498999999999995</v>
      </c>
      <c r="N13" s="23">
        <f>77.244</f>
        <v>77.244</v>
      </c>
      <c r="O13" s="23">
        <f>80.014</f>
        <v>80.013999999999996</v>
      </c>
      <c r="P13" s="23">
        <f>78.948</f>
        <v>78.947999999999993</v>
      </c>
      <c r="Q13" s="23">
        <v>81.307000000000002</v>
      </c>
      <c r="Y13" s="25">
        <f>(Z12-Y12)/Y12</f>
        <v>0.32317364093065015</v>
      </c>
      <c r="Z13" s="25">
        <f>(AA12-Z12)/Z12</f>
        <v>0.25777725929382483</v>
      </c>
      <c r="AA13" s="25">
        <f>(AB12-AA12)/AA12</f>
        <v>0.1687151309040319</v>
      </c>
      <c r="AB13" s="25">
        <f>(AC12-AB12)/AB12</f>
        <v>0.14999999999999986</v>
      </c>
      <c r="AC13" s="25">
        <f>(AD12-AC12)/AC12</f>
        <v>0.14999999999999991</v>
      </c>
    </row>
    <row r="14" spans="1:109" s="6" customFormat="1" x14ac:dyDescent="0.25">
      <c r="A14" s="6" t="s">
        <v>17</v>
      </c>
      <c r="B14" s="7"/>
      <c r="C14" s="7"/>
      <c r="D14" s="7"/>
      <c r="E14" s="7"/>
      <c r="F14" s="7"/>
      <c r="G14" s="7"/>
      <c r="H14" s="7"/>
      <c r="I14" s="7"/>
      <c r="J14" s="23">
        <f t="shared" ref="J14:Q14" si="8">J12-J13</f>
        <v>20.613</v>
      </c>
      <c r="K14" s="23">
        <f t="shared" si="8"/>
        <v>21.120999999999988</v>
      </c>
      <c r="L14" s="23">
        <f t="shared" si="8"/>
        <v>21.408000000000015</v>
      </c>
      <c r="M14" s="23">
        <f t="shared" si="8"/>
        <v>26.15100000000001</v>
      </c>
      <c r="N14" s="23">
        <f t="shared" si="8"/>
        <v>23.193000000000012</v>
      </c>
      <c r="O14" s="23">
        <f t="shared" si="8"/>
        <v>20.53</v>
      </c>
      <c r="P14" s="23">
        <f t="shared" si="8"/>
        <v>28.185999999999993</v>
      </c>
      <c r="Q14" s="23">
        <f t="shared" si="8"/>
        <v>26.400999999999996</v>
      </c>
    </row>
    <row r="15" spans="1:109" s="6" customFormat="1" x14ac:dyDescent="0.25">
      <c r="A15" s="6" t="s">
        <v>18</v>
      </c>
      <c r="B15" s="7"/>
      <c r="C15" s="7"/>
      <c r="D15" s="7"/>
      <c r="E15" s="7"/>
      <c r="F15" s="7"/>
      <c r="G15" s="7"/>
      <c r="H15" s="7"/>
      <c r="I15" s="7"/>
      <c r="J15" s="22">
        <f>10.841</f>
        <v>10.840999999999999</v>
      </c>
      <c r="K15" s="22">
        <f>10.101</f>
        <v>10.101000000000001</v>
      </c>
      <c r="L15" s="22">
        <f>12.843</f>
        <v>12.843</v>
      </c>
      <c r="M15" s="23">
        <v>14.493</v>
      </c>
      <c r="N15" s="23">
        <f>14.315</f>
        <v>14.315</v>
      </c>
      <c r="O15" s="23">
        <f>14.888</f>
        <v>14.888</v>
      </c>
      <c r="P15" s="23">
        <v>14.66</v>
      </c>
      <c r="Q15" s="23">
        <v>14.493</v>
      </c>
    </row>
    <row r="16" spans="1:109" s="6" customFormat="1" x14ac:dyDescent="0.25">
      <c r="A16" s="6" t="s">
        <v>47</v>
      </c>
      <c r="B16" s="7"/>
      <c r="C16" s="7"/>
      <c r="D16" s="7"/>
      <c r="E16" s="7"/>
      <c r="F16" s="7"/>
      <c r="G16" s="7"/>
      <c r="H16" s="7"/>
      <c r="I16" s="7"/>
      <c r="J16" s="23">
        <v>0</v>
      </c>
      <c r="K16" s="23">
        <v>0</v>
      </c>
      <c r="L16" s="23">
        <v>0</v>
      </c>
      <c r="M16" s="22">
        <v>9.2100000000000009</v>
      </c>
      <c r="N16" s="23">
        <f>0</f>
        <v>0</v>
      </c>
      <c r="O16" s="23">
        <f>25.63</f>
        <v>25.63</v>
      </c>
      <c r="P16" s="23">
        <v>0</v>
      </c>
      <c r="Q16" s="23">
        <v>9.5079999999999991</v>
      </c>
    </row>
    <row r="17" spans="1:24" s="6" customFormat="1" x14ac:dyDescent="0.25">
      <c r="A17" s="6" t="s">
        <v>48</v>
      </c>
      <c r="B17" s="7"/>
      <c r="C17" s="7"/>
      <c r="D17" s="7"/>
      <c r="E17" s="7"/>
      <c r="F17" s="7"/>
      <c r="G17" s="7"/>
      <c r="H17" s="7"/>
      <c r="I17" s="7"/>
      <c r="J17" s="22">
        <f>22.368</f>
        <v>22.367999999999999</v>
      </c>
      <c r="K17" s="22">
        <f>26.398</f>
        <v>26.398</v>
      </c>
      <c r="L17" s="22">
        <f>26.543</f>
        <v>26.542999999999999</v>
      </c>
      <c r="M17" s="22">
        <v>16.7</v>
      </c>
      <c r="N17" s="23">
        <f>27.478</f>
        <v>27.478000000000002</v>
      </c>
      <c r="O17" s="23">
        <v>0</v>
      </c>
      <c r="P17" s="23">
        <v>26.248999999999999</v>
      </c>
      <c r="Q17" s="23">
        <f>18.64</f>
        <v>18.64</v>
      </c>
    </row>
    <row r="18" spans="1:24" s="6" customFormat="1" x14ac:dyDescent="0.25">
      <c r="A18" s="6" t="s">
        <v>49</v>
      </c>
      <c r="B18" s="7"/>
      <c r="C18" s="7"/>
      <c r="D18" s="7"/>
      <c r="E18" s="7"/>
      <c r="F18" s="7"/>
      <c r="G18" s="7"/>
      <c r="H18" s="7"/>
      <c r="I18" s="7"/>
      <c r="J18" s="22">
        <v>0</v>
      </c>
      <c r="K18" s="22">
        <v>0.72099999999999997</v>
      </c>
      <c r="L18" s="22">
        <f>0</f>
        <v>0</v>
      </c>
      <c r="M18" s="22">
        <f>-4.4+0.464</f>
        <v>-3.9360000000000004</v>
      </c>
      <c r="N18" s="23">
        <f>-5.2+0.464</f>
        <v>-4.7359999999999998</v>
      </c>
      <c r="O18" s="23">
        <f>-2.3+0.465-0.5</f>
        <v>-2.335</v>
      </c>
      <c r="P18" s="23">
        <f>0.464</f>
        <v>0.46400000000000002</v>
      </c>
      <c r="Q18" s="23">
        <f>-1.7+0.465</f>
        <v>-1.2349999999999999</v>
      </c>
    </row>
    <row r="19" spans="1:24" s="6" customFormat="1" ht="14.25" customHeight="1" x14ac:dyDescent="0.25">
      <c r="A19" s="6" t="s">
        <v>19</v>
      </c>
      <c r="B19" s="7"/>
      <c r="C19" s="7"/>
      <c r="D19" s="7"/>
      <c r="E19" s="7"/>
      <c r="F19" s="7"/>
      <c r="G19" s="7"/>
      <c r="H19" s="7"/>
      <c r="I19" s="7"/>
      <c r="J19" s="23">
        <f t="shared" ref="J19:Q19" si="9">SUM(J15:J18)</f>
        <v>33.208999999999996</v>
      </c>
      <c r="K19" s="23">
        <f t="shared" si="9"/>
        <v>37.22</v>
      </c>
      <c r="L19" s="23">
        <f t="shared" si="9"/>
        <v>39.385999999999996</v>
      </c>
      <c r="M19" s="23">
        <f t="shared" si="9"/>
        <v>36.467000000000006</v>
      </c>
      <c r="N19" s="23">
        <f t="shared" si="9"/>
        <v>37.057000000000002</v>
      </c>
      <c r="O19" s="23">
        <f t="shared" si="9"/>
        <v>38.183</v>
      </c>
      <c r="P19" s="23">
        <f t="shared" si="9"/>
        <v>41.372999999999998</v>
      </c>
      <c r="Q19" s="23">
        <f t="shared" si="9"/>
        <v>41.405999999999999</v>
      </c>
    </row>
    <row r="20" spans="1:24" s="6" customFormat="1" x14ac:dyDescent="0.25">
      <c r="A20" s="6" t="s">
        <v>20</v>
      </c>
      <c r="B20" s="7"/>
      <c r="C20" s="7"/>
      <c r="D20" s="7"/>
      <c r="E20" s="7"/>
      <c r="F20" s="7"/>
      <c r="G20" s="7"/>
      <c r="H20" s="7"/>
      <c r="I20" s="7"/>
      <c r="J20" s="23">
        <f t="shared" ref="J20:Q20" si="10">J14-J19</f>
        <v>-12.595999999999997</v>
      </c>
      <c r="K20" s="23">
        <f t="shared" si="10"/>
        <v>-16.099000000000011</v>
      </c>
      <c r="L20" s="23">
        <f t="shared" si="10"/>
        <v>-17.97799999999998</v>
      </c>
      <c r="M20" s="23">
        <f t="shared" si="10"/>
        <v>-10.315999999999995</v>
      </c>
      <c r="N20" s="23">
        <f t="shared" si="10"/>
        <v>-13.86399999999999</v>
      </c>
      <c r="O20" s="23">
        <f t="shared" si="10"/>
        <v>-17.652999999999999</v>
      </c>
      <c r="P20" s="23">
        <f t="shared" si="10"/>
        <v>-13.187000000000005</v>
      </c>
      <c r="Q20" s="23">
        <f t="shared" si="10"/>
        <v>-15.005000000000003</v>
      </c>
    </row>
    <row r="21" spans="1:24" s="6" customFormat="1" x14ac:dyDescent="0.25">
      <c r="A21" s="6" t="s">
        <v>21</v>
      </c>
      <c r="B21" s="7"/>
      <c r="C21" s="7"/>
      <c r="D21" s="7"/>
      <c r="E21" s="7"/>
      <c r="F21" s="7"/>
      <c r="G21" s="7"/>
      <c r="H21" s="7"/>
      <c r="I21" s="7"/>
      <c r="J21" s="22">
        <f>-2.463-0.368</f>
        <v>-2.831</v>
      </c>
      <c r="K21" s="22">
        <f>-2.451+-0.257</f>
        <v>-2.7080000000000002</v>
      </c>
      <c r="L21" s="22">
        <f>-2.14-0.179</f>
        <v>-2.319</v>
      </c>
      <c r="M21" s="22">
        <f>-1.747+-0.42</f>
        <v>-2.1670000000000003</v>
      </c>
      <c r="N21" s="23">
        <f>-1.667-0.059</f>
        <v>-1.726</v>
      </c>
      <c r="O21" s="23">
        <f>-1.735</f>
        <v>-1.7350000000000001</v>
      </c>
      <c r="P21" s="23">
        <f>-1.75-0.373</f>
        <v>-2.1230000000000002</v>
      </c>
      <c r="Q21" s="23">
        <f>-1.779</f>
        <v>-1.7789999999999999</v>
      </c>
    </row>
    <row r="22" spans="1:24" s="6" customFormat="1" x14ac:dyDescent="0.25">
      <c r="A22" s="6" t="s">
        <v>22</v>
      </c>
      <c r="B22" s="7"/>
      <c r="C22" s="7"/>
      <c r="D22" s="7"/>
      <c r="E22" s="7"/>
      <c r="F22" s="7"/>
      <c r="G22" s="7"/>
      <c r="H22" s="7"/>
      <c r="I22" s="7"/>
      <c r="J22" s="23">
        <f t="shared" ref="J22:Q22" si="11">J20+J21</f>
        <v>-15.426999999999996</v>
      </c>
      <c r="K22" s="23">
        <f t="shared" si="11"/>
        <v>-18.807000000000009</v>
      </c>
      <c r="L22" s="23">
        <f t="shared" si="11"/>
        <v>-20.296999999999979</v>
      </c>
      <c r="M22" s="23">
        <f t="shared" si="11"/>
        <v>-12.482999999999995</v>
      </c>
      <c r="N22" s="23">
        <f t="shared" si="11"/>
        <v>-15.589999999999989</v>
      </c>
      <c r="O22" s="23">
        <f t="shared" si="11"/>
        <v>-19.387999999999998</v>
      </c>
      <c r="P22" s="23">
        <f t="shared" si="11"/>
        <v>-15.310000000000006</v>
      </c>
      <c r="Q22" s="23">
        <f t="shared" si="11"/>
        <v>-16.784000000000002</v>
      </c>
    </row>
    <row r="23" spans="1:24" s="6" customFormat="1" x14ac:dyDescent="0.25">
      <c r="A23" s="6" t="s">
        <v>23</v>
      </c>
      <c r="B23" s="7"/>
      <c r="C23" s="7"/>
      <c r="D23" s="7"/>
      <c r="E23" s="7"/>
      <c r="F23" s="7"/>
      <c r="G23" s="7"/>
      <c r="H23" s="7"/>
      <c r="I23" s="7"/>
      <c r="J23" s="22">
        <f>-0.01</f>
        <v>-0.01</v>
      </c>
      <c r="K23" s="22">
        <f>-0.041</f>
        <v>-4.1000000000000002E-2</v>
      </c>
      <c r="L23" s="22">
        <f>-0.578</f>
        <v>-0.57799999999999996</v>
      </c>
      <c r="M23" s="22">
        <f>-0.623</f>
        <v>-0.623</v>
      </c>
      <c r="N23" s="23">
        <f>-0.315</f>
        <v>-0.315</v>
      </c>
      <c r="O23" s="23">
        <f>-0.409</f>
        <v>-0.40899999999999997</v>
      </c>
      <c r="P23" s="23">
        <f>-0.206</f>
        <v>-0.20599999999999999</v>
      </c>
      <c r="Q23" s="23">
        <v>-1.0580000000000001</v>
      </c>
    </row>
    <row r="24" spans="1:24" s="6" customFormat="1" x14ac:dyDescent="0.25">
      <c r="A24" s="6" t="s">
        <v>24</v>
      </c>
      <c r="B24" s="7"/>
      <c r="C24" s="7"/>
      <c r="D24" s="7"/>
      <c r="E24" s="7"/>
      <c r="F24" s="7"/>
      <c r="G24" s="7"/>
      <c r="H24" s="7"/>
      <c r="I24" s="7"/>
      <c r="J24" s="23">
        <f t="shared" ref="J24:Q24" si="12">J22+J23</f>
        <v>-15.436999999999996</v>
      </c>
      <c r="K24" s="23">
        <f t="shared" si="12"/>
        <v>-18.84800000000001</v>
      </c>
      <c r="L24" s="23">
        <f t="shared" si="12"/>
        <v>-20.874999999999979</v>
      </c>
      <c r="M24" s="23">
        <f t="shared" si="12"/>
        <v>-13.105999999999995</v>
      </c>
      <c r="N24" s="23">
        <f t="shared" si="12"/>
        <v>-15.904999999999989</v>
      </c>
      <c r="O24" s="23">
        <f t="shared" si="12"/>
        <v>-19.796999999999997</v>
      </c>
      <c r="P24" s="23">
        <f t="shared" si="12"/>
        <v>-15.516000000000005</v>
      </c>
      <c r="Q24" s="23">
        <f t="shared" si="12"/>
        <v>-17.842000000000002</v>
      </c>
    </row>
    <row r="25" spans="1:24" s="8" customFormat="1" x14ac:dyDescent="0.25">
      <c r="A25" s="8" t="s">
        <v>25</v>
      </c>
      <c r="B25" s="9"/>
      <c r="C25" s="9"/>
      <c r="D25" s="9"/>
      <c r="E25" s="9"/>
      <c r="F25" s="9"/>
      <c r="G25" s="9"/>
      <c r="H25" s="9"/>
      <c r="I25" s="9"/>
      <c r="J25" s="23">
        <f t="shared" ref="J25:Q25" si="13">J24/J26</f>
        <v>-0.57237671486837216</v>
      </c>
      <c r="K25" s="23">
        <f t="shared" si="13"/>
        <v>-0.69853976725224265</v>
      </c>
      <c r="L25" s="23">
        <f t="shared" si="13"/>
        <v>-0.77001106602729541</v>
      </c>
      <c r="M25" s="23">
        <f t="shared" si="13"/>
        <v>-0.48329522826167104</v>
      </c>
      <c r="N25" s="23">
        <f t="shared" si="13"/>
        <v>-0.58166325336454028</v>
      </c>
      <c r="O25" s="23">
        <f t="shared" si="13"/>
        <v>-0.72365390941989249</v>
      </c>
      <c r="P25" s="23">
        <f t="shared" si="13"/>
        <v>-0.56479324403028552</v>
      </c>
      <c r="Q25" s="23">
        <f t="shared" si="13"/>
        <v>-0.63794336384439365</v>
      </c>
    </row>
    <row r="26" spans="1:24" s="6" customFormat="1" x14ac:dyDescent="0.25">
      <c r="A26" s="6" t="s">
        <v>26</v>
      </c>
      <c r="B26" s="7"/>
      <c r="C26" s="7"/>
      <c r="D26" s="7"/>
      <c r="E26" s="7"/>
      <c r="F26" s="7"/>
      <c r="G26" s="7"/>
      <c r="H26" s="7"/>
      <c r="I26" s="7"/>
      <c r="J26" s="22">
        <v>26.97</v>
      </c>
      <c r="K26" s="22">
        <v>26.981999999999999</v>
      </c>
      <c r="L26" s="22">
        <v>27.11</v>
      </c>
      <c r="M26" s="22">
        <v>27.117999999999999</v>
      </c>
      <c r="N26" s="23">
        <v>27.344000000000001</v>
      </c>
      <c r="O26" s="23">
        <v>27.356999999999999</v>
      </c>
      <c r="P26" s="23">
        <v>27.472000000000001</v>
      </c>
      <c r="Q26" s="23">
        <v>27.968</v>
      </c>
    </row>
    <row r="28" spans="1:24" s="12" customFormat="1" ht="12.75" x14ac:dyDescent="0.2">
      <c r="A28" s="4" t="s">
        <v>27</v>
      </c>
      <c r="B28" s="10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>
        <f>+N12/J12-1</f>
        <v>0.25100579186647587</v>
      </c>
      <c r="O28" s="11">
        <f>+O12/K12-1</f>
        <v>0.18157780310953919</v>
      </c>
      <c r="P28" s="11">
        <f>+P12/L12-1</f>
        <v>0.15487188332057711</v>
      </c>
      <c r="Q28" s="11">
        <f>+Q12/M12-1</f>
        <v>0.10300051203276994</v>
      </c>
    </row>
    <row r="29" spans="1:24" x14ac:dyDescent="0.25">
      <c r="A29" s="6" t="s">
        <v>28</v>
      </c>
      <c r="D29" s="13" t="e">
        <f t="shared" ref="D29:J29" si="14">+D14/D12</f>
        <v>#DIV/0!</v>
      </c>
      <c r="E29" s="13" t="e">
        <f t="shared" si="14"/>
        <v>#DIV/0!</v>
      </c>
      <c r="F29" s="13" t="e">
        <f t="shared" si="14"/>
        <v>#DIV/0!</v>
      </c>
      <c r="G29" s="13" t="e">
        <f t="shared" si="14"/>
        <v>#DIV/0!</v>
      </c>
      <c r="H29" s="13" t="e">
        <f t="shared" si="14"/>
        <v>#DIV/0!</v>
      </c>
      <c r="I29" s="13" t="e">
        <f t="shared" si="14"/>
        <v>#DIV/0!</v>
      </c>
      <c r="J29" s="13">
        <f t="shared" si="14"/>
        <v>0.2567478358348384</v>
      </c>
      <c r="K29" s="13">
        <f>+K14/K12</f>
        <v>0.24821078114533499</v>
      </c>
      <c r="L29" s="13">
        <f t="shared" ref="L29:Q29" si="15">+L14/L12</f>
        <v>0.23077171839123842</v>
      </c>
      <c r="M29" s="13">
        <f t="shared" si="15"/>
        <v>0.26780337941628274</v>
      </c>
      <c r="N29" s="13">
        <f t="shared" si="15"/>
        <v>0.23092087577287265</v>
      </c>
      <c r="O29" s="13">
        <f t="shared" si="15"/>
        <v>0.20418921069382562</v>
      </c>
      <c r="P29" s="13">
        <f t="shared" si="15"/>
        <v>0.2630910821961282</v>
      </c>
      <c r="Q29" s="13">
        <f t="shared" si="15"/>
        <v>0.2451164258922271</v>
      </c>
    </row>
    <row r="30" spans="1:24" x14ac:dyDescent="0.25">
      <c r="W30" s="14" t="s">
        <v>29</v>
      </c>
      <c r="X30" s="15">
        <v>0.15</v>
      </c>
    </row>
    <row r="31" spans="1:24" s="6" customFormat="1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W31" s="16" t="s">
        <v>31</v>
      </c>
      <c r="X31" s="17">
        <v>0</v>
      </c>
    </row>
    <row r="32" spans="1:24" s="6" customFormat="1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W32" s="16" t="s">
        <v>32</v>
      </c>
      <c r="X32" s="17">
        <v>0.15</v>
      </c>
    </row>
    <row r="33" spans="2:24" s="6" customFormat="1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W33" s="16" t="s">
        <v>33</v>
      </c>
      <c r="X33" s="26">
        <f>NPV(X32,Y12:DE12)</f>
        <v>4120.6585220078041</v>
      </c>
    </row>
    <row r="34" spans="2:24" s="6" customFormat="1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Q34" s="6" t="s">
        <v>57</v>
      </c>
      <c r="R34" s="6">
        <v>23</v>
      </c>
      <c r="S34" s="6" t="s">
        <v>58</v>
      </c>
      <c r="W34" s="16" t="s">
        <v>26</v>
      </c>
      <c r="X34" s="19">
        <v>28.5</v>
      </c>
    </row>
    <row r="35" spans="2:24" s="6" customFormat="1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W35" s="16" t="s">
        <v>34</v>
      </c>
      <c r="X35" s="20">
        <f>X33/X34</f>
        <v>144.58450954413348</v>
      </c>
    </row>
    <row r="36" spans="2:24" s="6" customFormat="1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W36" s="16" t="s">
        <v>35</v>
      </c>
      <c r="X36" s="15">
        <f>(X35-Main!L5)/Main!L5</f>
        <v>2.323017916436072</v>
      </c>
    </row>
    <row r="37" spans="2:24" s="6" customFormat="1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W37" s="16" t="s">
        <v>36</v>
      </c>
      <c r="X37" s="18">
        <f>X34*X35</f>
        <v>4120.6585220078041</v>
      </c>
    </row>
    <row r="38" spans="2:24" s="6" customFormat="1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2:24" s="6" customFormat="1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1" spans="2:24" s="6" customFormat="1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2:24" s="6" customFormat="1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2:24" s="6" customFormat="1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2:24" s="6" customFormat="1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2:24" s="6" customFormat="1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2:24" s="6" customFormat="1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2:24" s="6" customFormat="1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2:24" s="6" customFormat="1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50" spans="2:13" s="6" customFormat="1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2:13" s="6" customFormat="1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2:13" s="6" customFormat="1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2:13" s="6" customFormat="1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2:13" s="6" customFormat="1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2:13" s="6" customFormat="1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2:13" s="6" customFormat="1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2:13" s="6" customFormat="1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2:13" s="6" customFormat="1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2:13" s="6" customFormat="1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2:13" s="6" customFormat="1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2:13" s="6" customFormat="1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Hwang</dc:creator>
  <cp:lastModifiedBy>Jefferson Hwang-F22B</cp:lastModifiedBy>
  <dcterms:created xsi:type="dcterms:W3CDTF">2023-07-22T07:49:14Z</dcterms:created>
  <dcterms:modified xsi:type="dcterms:W3CDTF">2024-04-04T07:22:43Z</dcterms:modified>
</cp:coreProperties>
</file>