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5F860361-B1DC-497F-A4DE-DF1DD41DEC02}" xr6:coauthVersionLast="47" xr6:coauthVersionMax="47" xr10:uidLastSave="{00000000-0000-0000-0000-000000000000}"/>
  <bookViews>
    <workbookView xWindow="14235" yWindow="90" windowWidth="30270" windowHeight="20805" activeTab="1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2" i="2" l="1"/>
  <c r="S18" i="2"/>
  <c r="S17" i="2"/>
  <c r="S16" i="2"/>
  <c r="S15" i="2"/>
  <c r="S14" i="2"/>
  <c r="S13" i="2"/>
  <c r="S12" i="2"/>
  <c r="S8" i="2"/>
  <c r="AA7" i="2"/>
  <c r="T6" i="2"/>
  <c r="S21" i="2"/>
  <c r="Z7" i="2"/>
  <c r="R22" i="2"/>
  <c r="R18" i="2"/>
  <c r="R17" i="2"/>
  <c r="R15" i="2"/>
  <c r="R14" i="2"/>
  <c r="R13" i="2"/>
  <c r="R12" i="2"/>
  <c r="R8" i="2"/>
  <c r="X27" i="2"/>
  <c r="V27" i="2"/>
  <c r="AB7" i="2" l="1"/>
  <c r="AC7" i="2" s="1"/>
  <c r="AD7" i="2" s="1"/>
  <c r="AE7" i="2" s="1"/>
  <c r="AF7" i="2" s="1"/>
  <c r="AG7" i="2" s="1"/>
  <c r="AH7" i="2" s="1"/>
  <c r="AH8" i="2" s="1"/>
  <c r="Y5" i="2"/>
  <c r="X5" i="2"/>
  <c r="W5" i="2"/>
  <c r="Q22" i="2"/>
  <c r="Q21" i="2"/>
  <c r="Q18" i="2"/>
  <c r="Q17" i="2"/>
  <c r="Q15" i="2"/>
  <c r="Q14" i="2"/>
  <c r="Q13" i="2"/>
  <c r="Q12" i="2"/>
  <c r="Q8" i="2"/>
  <c r="P21" i="2"/>
  <c r="Y7" i="2"/>
  <c r="Y6" i="2"/>
  <c r="Z5" i="2" s="1"/>
  <c r="P14" i="2"/>
  <c r="P12" i="2"/>
  <c r="P8" i="2"/>
  <c r="P22" i="2" s="1"/>
  <c r="Z8" i="2" l="1"/>
  <c r="AE8" i="2"/>
  <c r="AC8" i="2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AG8" i="2"/>
  <c r="AF8" i="2"/>
  <c r="AD8" i="2"/>
  <c r="AA8" i="2"/>
  <c r="AB8" i="2"/>
  <c r="R21" i="2"/>
  <c r="P13" i="2"/>
  <c r="P15" i="2" s="1"/>
  <c r="P17" i="2" s="1"/>
  <c r="P18" i="2" s="1"/>
  <c r="AA6" i="2"/>
  <c r="AA5" i="2" s="1"/>
  <c r="X26" i="2" l="1"/>
  <c r="X28" i="2" s="1"/>
  <c r="X29" i="2" s="1"/>
  <c r="AB6" i="2"/>
  <c r="O14" i="2"/>
  <c r="O12" i="2"/>
  <c r="O8" i="2"/>
  <c r="O22" i="2" s="1"/>
  <c r="N14" i="2"/>
  <c r="N12" i="2"/>
  <c r="N8" i="2"/>
  <c r="N22" i="2" s="1"/>
  <c r="M14" i="2"/>
  <c r="M12" i="2"/>
  <c r="M13" i="2" s="1"/>
  <c r="M15" i="2" s="1"/>
  <c r="M17" i="2" s="1"/>
  <c r="M18" i="2" s="1"/>
  <c r="M8" i="2"/>
  <c r="M22" i="2" s="1"/>
  <c r="O21" i="2"/>
  <c r="K53" i="2"/>
  <c r="K54" i="2" s="1"/>
  <c r="K36" i="2"/>
  <c r="K37" i="2"/>
  <c r="K24" i="2"/>
  <c r="K26" i="2"/>
  <c r="K30" i="2"/>
  <c r="N21" i="2"/>
  <c r="M21" i="2"/>
  <c r="X2" i="2"/>
  <c r="Y2" i="2" s="1"/>
  <c r="Z2" i="2" s="1"/>
  <c r="AA2" i="2" s="1"/>
  <c r="K21" i="2"/>
  <c r="J21" i="2"/>
  <c r="I21" i="2"/>
  <c r="L21" i="2"/>
  <c r="E12" i="2"/>
  <c r="E8" i="2"/>
  <c r="E22" i="2" s="1"/>
  <c r="I12" i="2"/>
  <c r="I8" i="2"/>
  <c r="I22" i="2" s="1"/>
  <c r="F12" i="2"/>
  <c r="F8" i="2"/>
  <c r="F22" i="2" s="1"/>
  <c r="J14" i="2"/>
  <c r="J12" i="2"/>
  <c r="J8" i="2"/>
  <c r="J22" i="2" s="1"/>
  <c r="G14" i="2"/>
  <c r="G12" i="2"/>
  <c r="G8" i="2"/>
  <c r="G22" i="2" s="1"/>
  <c r="K14" i="2"/>
  <c r="K12" i="2"/>
  <c r="K8" i="2"/>
  <c r="K22" i="2" s="1"/>
  <c r="X30" i="2" l="1"/>
  <c r="AC6" i="2"/>
  <c r="AB5" i="2"/>
  <c r="N13" i="2"/>
  <c r="N15" i="2" s="1"/>
  <c r="N17" i="2" s="1"/>
  <c r="N18" i="2" s="1"/>
  <c r="O13" i="2"/>
  <c r="O15" i="2" s="1"/>
  <c r="O17" i="2" s="1"/>
  <c r="O18" i="2" s="1"/>
  <c r="K32" i="2"/>
  <c r="K41" i="2"/>
  <c r="G13" i="2"/>
  <c r="G15" i="2" s="1"/>
  <c r="G17" i="2" s="1"/>
  <c r="G18" i="2" s="1"/>
  <c r="E13" i="2"/>
  <c r="E15" i="2" s="1"/>
  <c r="E17" i="2" s="1"/>
  <c r="E18" i="2" s="1"/>
  <c r="I13" i="2"/>
  <c r="I15" i="2" s="1"/>
  <c r="I17" i="2" s="1"/>
  <c r="I18" i="2" s="1"/>
  <c r="F13" i="2"/>
  <c r="F15" i="2" s="1"/>
  <c r="F17" i="2" s="1"/>
  <c r="F18" i="2" s="1"/>
  <c r="J13" i="2"/>
  <c r="J15" i="2" s="1"/>
  <c r="J17" i="2" s="1"/>
  <c r="J18" i="2" s="1"/>
  <c r="K13" i="2"/>
  <c r="K15" i="2" s="1"/>
  <c r="K17" i="2" s="1"/>
  <c r="AD6" i="2" l="1"/>
  <c r="AC5" i="2"/>
  <c r="K18" i="2"/>
  <c r="K43" i="2"/>
  <c r="O4" i="1"/>
  <c r="O7" i="1" s="1"/>
  <c r="L36" i="2"/>
  <c r="L37" i="2"/>
  <c r="L24" i="2"/>
  <c r="L26" i="2"/>
  <c r="L30" i="2"/>
  <c r="H14" i="2"/>
  <c r="L14" i="2"/>
  <c r="H12" i="2"/>
  <c r="L12" i="2"/>
  <c r="L8" i="2"/>
  <c r="H8" i="2"/>
  <c r="H22" i="2" s="1"/>
  <c r="AE6" i="2" l="1"/>
  <c r="AD5" i="2"/>
  <c r="L22" i="2"/>
  <c r="L13" i="2"/>
  <c r="L15" i="2" s="1"/>
  <c r="L17" i="2" s="1"/>
  <c r="L18" i="2" s="1"/>
  <c r="L32" i="2"/>
  <c r="L41" i="2"/>
  <c r="H13" i="2"/>
  <c r="H15" i="2" s="1"/>
  <c r="H17" i="2" s="1"/>
  <c r="H18" i="2" s="1"/>
  <c r="AF6" i="2" l="1"/>
  <c r="AE5" i="2"/>
  <c r="AG6" i="2" l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AF5" i="2"/>
  <c r="AG5" i="2" l="1"/>
  <c r="V26" i="2" l="1"/>
  <c r="V28" i="2" s="1"/>
  <c r="V29" i="2" s="1"/>
  <c r="AH5" i="2"/>
  <c r="V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tc={B694AA91-5F28-404D-8B9F-89A2BFECAE55}</author>
    <author>tc={15E8E758-37B6-468B-81A6-B3305FD6827A}</author>
    <author>tc={95169845-1F7F-4051-990A-FE3D69449576}</author>
    <author>tc={939E2C75-C2A6-4046-AF27-AFF4D420F9BB}</author>
  </authors>
  <commentList>
    <comment ref="L6" authorId="0" shapeId="0" xr:uid="{B694AA91-5F28-404D-8B9F-89A2BFECAE55}">
      <text>
        <t>[Threaded comment]
Your version of Excel allows you to read this threaded comment; however, any edits to it will get removed if the file is opened in a newer version of Excel. Learn more: https://go.microsoft.com/fwlink/?linkid=870924
Comment:
    Q1: 376-380m</t>
      </text>
    </comment>
    <comment ref="M6" authorId="1" shapeId="0" xr:uid="{15E8E758-37B6-468B-81A6-B3305FD6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410-414m</t>
      </text>
    </comment>
    <comment ref="Y6" authorId="2" shapeId="0" xr:uid="{95169845-1F7F-4051-990A-FE3D69449576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  <comment ref="Y7" authorId="3" shapeId="0" xr:uid="{939E2C75-C2A6-4046-AF27-AFF4D420F9BB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</commentList>
</comments>
</file>

<file path=xl/sharedStrings.xml><?xml version="1.0" encoding="utf-8"?>
<sst xmlns="http://schemas.openxmlformats.org/spreadsheetml/2006/main" count="90" uniqueCount="76">
  <si>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</si>
  <si>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</si>
  <si>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</si>
  <si>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</si>
  <si>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</si>
  <si>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</si>
  <si>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</si>
  <si>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</si>
  <si>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</si>
  <si>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</si>
  <si>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</si>
  <si>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</si>
  <si>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</si>
  <si>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</si>
  <si>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</si>
  <si>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</si>
  <si>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</si>
  <si>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</si>
  <si>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</si>
  <si>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</si>
  <si>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</si>
  <si>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</si>
  <si>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</si>
  <si>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</si>
  <si>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</si>
  <si>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</si>
  <si>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</si>
  <si>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</si>
  <si>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</si>
  <si>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</si>
  <si>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</si>
  <si>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</si>
  <si>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</si>
  <si>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</si>
  <si>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</si>
  <si>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</si>
  <si>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</si>
  <si>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</si>
  <si>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</si>
  <si>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</si>
  <si>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</si>
  <si>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</si>
  <si>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</si>
  <si>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</si>
  <si>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</si>
  <si>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</si>
  <si>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</si>
  <si>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</si>
  <si>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</si>
  <si>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</si>
  <si>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</si>
  <si>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</si>
  <si>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</si>
  <si>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</si>
  <si>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</si>
  <si>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</si>
  <si>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</si>
  <si>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</si>
  <si>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Q123</t>
  </si>
  <si>
    <t>Q223</t>
  </si>
  <si>
    <t>Discount Rate</t>
  </si>
  <si>
    <t>Terminal Rate</t>
  </si>
  <si>
    <t>Growth Rate</t>
  </si>
  <si>
    <t>NPV</t>
  </si>
  <si>
    <t>Share Price</t>
  </si>
  <si>
    <t>Delta</t>
  </si>
  <si>
    <t>Market Cap</t>
  </si>
  <si>
    <t>FY</t>
  </si>
  <si>
    <t>Q323</t>
  </si>
  <si>
    <t>YOY%</t>
  </si>
  <si>
    <t>Q423</t>
  </si>
  <si>
    <t>Top</t>
  </si>
  <si>
    <t>Bottom</t>
  </si>
  <si>
    <t>if growth accelerates up</t>
  </si>
  <si>
    <t>Q124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</si>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</sst>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9" fontId="0" fillId="0" borderId="1" xfId="4" applyFont="1" applyBorder="1"/>
    <xf numFmtId="3" fontId="0" fillId="0" borderId="1" xfId="0" applyNumberFormat="1" applyBorder="1"/>
    <xf numFmtId="44" fontId="0" fillId="0" borderId="1" xfId="3" applyFont="1" applyBorder="1"/>
    <xf numFmtId="44" fontId="1" fillId="0" borderId="1" xfId="3" applyFont="1" applyBorder="1"/>
    <xf numFmtId="9" fontId="1" fillId="0" borderId="1" xfId="4" applyFont="1" applyBorder="1"/>
    <xf numFmtId="164" fontId="0" fillId="0" borderId="1" xfId="2" applyNumberFormat="1" applyFont="1" applyBorder="1"/>
    <xf numFmtId="9" fontId="0" fillId="0" borderId="0" xfId="4" applyFont="1"/>
    <xf numFmtId="165" fontId="1" fillId="0" borderId="1" xfId="4" applyNumberFormat="1" applyFont="1" applyBorder="1"/>
    <xf numFmtId="165" fontId="0" fillId="0" borderId="0" xfId="4" applyNumberFormat="1" applyFont="1"/>
    <xf numFmtId="10" fontId="0" fillId="0" borderId="0" xfId="4" applyNumberFormat="1" applyFont="1"/>
    <xf numFmtId="8" fontId="0" fillId="0" borderId="1" xfId="3" applyNumberFormat="1" applyFont="1" applyBorder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57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7200900" y="57150"/>
          <a:ext cx="0" cy="857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BEE36F-B86D-4667-B671-D0667117F4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2-09-02T15:00:42.62" personId="{6EBEE36F-B86D-4667-B671-D0667117F4FF}" id="{B694AA91-5F28-404D-8B9F-89A2BFECAE55}">
    <text>Q1: 376-380m</text>
  </threadedComment>
  <threadedComment ref="M6" dT="2022-09-02T14:59:12.36" personId="{6EBEE36F-B86D-4667-B671-D0667117F4FF}" id="{15E8E758-37B6-468B-81A6-B3305FD6827A}">
    <text>Q2: 410-414m</text>
  </threadedComment>
  <threadedComment ref="Y6" dT="2022-09-02T14:59:40.61" personId="{6EBEE36F-B86D-4667-B671-D0667117F4FF}" id="{95169845-1F7F-4051-990A-FE3D69449576}">
    <text>Q2: 1610-1630m</text>
  </threadedComment>
  <threadedComment ref="Y6" dT="2022-09-02T15:01:04.51" personId="{6EBEE36F-B86D-4667-B671-D0667117F4FF}" id="{618BFB8A-809A-468A-BF3E-6286A5CBAEB3}" parentId="{95169845-1F7F-4051-990A-FE3D69449576}">
    <text>Q1: 1600-1620m</text>
  </threadedComment>
  <threadedComment ref="Y7" dT="2022-09-02T14:59:40.61" personId="{6EBEE36F-B86D-4667-B671-D0667117F4FF}" id="{939E2C75-C2A6-4046-AF27-AFF4D420F9BB}">
    <text>Q2: 1610-1630m</text>
  </threadedComment>
  <threadedComment ref="Y7" dT="2022-09-02T15:01:04.51" personId="{6EBEE36F-B86D-4667-B671-D0667117F4FF}" id="{67F1968D-792E-4F6B-B86B-D7480C200BB9}" parentId="{939E2C75-C2A6-4046-AF27-AFF4D420F9BB}">
    <text>Q1: 1600-1620m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topLeftCell="D1" workbookViewId="0">
      <selection activeCell="L38" sqref="L38"/>
    </sheetView>
  </sheetViews>
  <sheetFormatPr defaultRowHeight="12.75" x14ac:dyDescent="0.2"/>
  <sheetData>
    <row r="2" spans="14:16" x14ac:dyDescent="0.2">
      <c r="N2" t="s">
        <v>0</v>
      </c>
      <c r="O2" s="1">
        <v>117.28</v>
      </c>
    </row>
    <row r="3" spans="14:16" x14ac:dyDescent="0.2">
      <c r="N3" t="s">
        <v>1</v>
      </c>
      <c r="O3" s="5">
        <v>332</v>
      </c>
      <c r="P3" s="2"/>
    </row>
    <row r="4" spans="14:16" x14ac:dyDescent="0.2">
      <c r="N4" t="s">
        <v>2</v>
      </c>
      <c r="O4" s="5">
        <f>+O2*O3</f>
        <v>38936.959999999999</v>
      </c>
    </row>
    <row r="5" spans="14:16" x14ac:dyDescent="0.2">
      <c r="N5" t="s">
        <v>3</v>
      </c>
      <c r="O5" s="5">
        <v>2800</v>
      </c>
      <c r="P5" s="2"/>
    </row>
    <row r="6" spans="14:16" x14ac:dyDescent="0.2">
      <c r="N6" t="s">
        <v>4</v>
      </c>
      <c r="O6" s="5">
        <v>1736.826</v>
      </c>
      <c r="P6" s="2"/>
    </row>
    <row r="7" spans="14:16" x14ac:dyDescent="0.2">
      <c r="N7" t="s">
        <v>5</v>
      </c>
      <c r="O7" s="5">
        <f>+O4-O5+O6</f>
        <v>37873.786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DC54"/>
  <sheetViews>
    <sheetView tabSelected="1" zoomScale="130" zoomScaleNormal="13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X12" sqref="X12"/>
    </sheetView>
  </sheetViews>
  <sheetFormatPr defaultRowHeight="12.75" x14ac:dyDescent="0.2"/>
  <cols>
    <col min="1" max="1" width="5" bestFit="1" customWidth="1"/>
    <col min="2" max="2" width="13.28515625" customWidth="1"/>
    <col min="3" max="13" width="9.140625" style="2"/>
    <col min="14" max="14" width="10.140625" style="2" bestFit="1" customWidth="1"/>
    <col min="18" max="18" width="10.140625" bestFit="1" customWidth="1"/>
    <col min="19" max="19" width="9.140625" bestFit="1" customWidth="1"/>
    <col min="21" max="21" width="12.7109375" bestFit="1" customWidth="1"/>
    <col min="22" max="23" width="11.28515625" bestFit="1" customWidth="1"/>
    <col min="24" max="24" width="14.28515625" customWidth="1"/>
  </cols>
  <sheetData>
    <row r="1" spans="1:107" x14ac:dyDescent="0.2">
      <c r="A1" s="8" t="s">
        <v>6</v>
      </c>
      <c r="L1" s="13">
        <v>44742</v>
      </c>
      <c r="M1" s="13">
        <v>44834</v>
      </c>
      <c r="N1" s="13">
        <v>44926</v>
      </c>
      <c r="O1" s="14">
        <v>45016</v>
      </c>
      <c r="P1" s="13">
        <v>45107</v>
      </c>
      <c r="Q1" s="13">
        <v>45199</v>
      </c>
      <c r="R1" s="13">
        <v>45291</v>
      </c>
      <c r="S1" s="14">
        <v>45382</v>
      </c>
      <c r="V1" t="s">
        <v>67</v>
      </c>
    </row>
    <row r="2" spans="1:107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58</v>
      </c>
      <c r="P2" s="2" t="s">
        <v>59</v>
      </c>
      <c r="Q2" s="2" t="s">
        <v>68</v>
      </c>
      <c r="R2" s="2" t="s">
        <v>70</v>
      </c>
      <c r="S2" s="2" t="s">
        <v>74</v>
      </c>
      <c r="T2" s="2" t="s">
        <v>75</v>
      </c>
      <c r="U2" s="2"/>
      <c r="V2" s="2">
        <v>2019</v>
      </c>
      <c r="W2">
        <v>2020</v>
      </c>
      <c r="X2">
        <f>+W2+1</f>
        <v>2021</v>
      </c>
      <c r="Y2">
        <f t="shared" ref="Y2:AA2" si="0">+X2+1</f>
        <v>2022</v>
      </c>
      <c r="Z2">
        <f t="shared" si="0"/>
        <v>2023</v>
      </c>
      <c r="AA2">
        <f t="shared" si="0"/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</row>
    <row r="3" spans="1:107" x14ac:dyDescent="0.2">
      <c r="B3" t="s">
        <v>47</v>
      </c>
      <c r="G3" s="2">
        <v>1406</v>
      </c>
      <c r="H3" s="2">
        <v>1570</v>
      </c>
      <c r="K3" s="2">
        <v>2250</v>
      </c>
      <c r="L3" s="2">
        <v>2420</v>
      </c>
      <c r="O3">
        <v>2910</v>
      </c>
      <c r="S3">
        <v>3340</v>
      </c>
    </row>
    <row r="4" spans="1:107" x14ac:dyDescent="0.2">
      <c r="Z4" s="25"/>
    </row>
    <row r="5" spans="1:107" x14ac:dyDescent="0.2">
      <c r="V5" t="s">
        <v>69</v>
      </c>
      <c r="W5" s="22">
        <f t="shared" ref="W5:AH5" si="1">(W6-V6)/V6</f>
        <v>0.66344892221180896</v>
      </c>
      <c r="X5" s="22">
        <f t="shared" si="1"/>
        <v>0.7047919849668417</v>
      </c>
      <c r="Y5" s="22">
        <f t="shared" si="1"/>
        <v>0.62823294296956378</v>
      </c>
      <c r="Z5" s="24">
        <f t="shared" si="1"/>
        <v>0.25783535311324701</v>
      </c>
      <c r="AA5" s="24">
        <f>(AA6-Z6)/Z6</f>
        <v>0.21999999999999997</v>
      </c>
      <c r="AB5" s="24">
        <f t="shared" si="1"/>
        <v>0.21999999999999995</v>
      </c>
      <c r="AC5" s="24">
        <f t="shared" si="1"/>
        <v>0.21999999999999992</v>
      </c>
      <c r="AD5" s="24">
        <f t="shared" si="1"/>
        <v>0.22000000000000003</v>
      </c>
      <c r="AE5" s="24">
        <f t="shared" si="1"/>
        <v>0.21999999999999989</v>
      </c>
      <c r="AF5" s="24">
        <f t="shared" si="1"/>
        <v>0.22000000000000003</v>
      </c>
      <c r="AG5" s="24">
        <f t="shared" si="1"/>
        <v>0.21999999999999992</v>
      </c>
      <c r="AH5" s="24">
        <f t="shared" si="1"/>
        <v>1.0000000000000007E-2</v>
      </c>
    </row>
    <row r="6" spans="1:107" s="3" customFormat="1" x14ac:dyDescent="0.2">
      <c r="B6" s="3" t="s">
        <v>7</v>
      </c>
      <c r="C6" s="4"/>
      <c r="D6" s="4"/>
      <c r="E6" s="4">
        <v>154.67500000000001</v>
      </c>
      <c r="F6" s="4">
        <v>177.53100000000001</v>
      </c>
      <c r="G6" s="4">
        <v>198.54900000000001</v>
      </c>
      <c r="H6" s="4">
        <v>233.54900000000001</v>
      </c>
      <c r="I6" s="4">
        <v>270.488</v>
      </c>
      <c r="J6" s="4">
        <v>326.19799999999998</v>
      </c>
      <c r="K6" s="4">
        <v>363.03</v>
      </c>
      <c r="L6" s="4">
        <v>406.13799999999998</v>
      </c>
      <c r="M6" s="4">
        <v>436.53300000000002</v>
      </c>
      <c r="N6" s="4">
        <v>469.399</v>
      </c>
      <c r="O6" s="3">
        <v>481.714</v>
      </c>
      <c r="P6" s="3">
        <v>509.64</v>
      </c>
      <c r="Q6" s="3">
        <v>547.53599999999994</v>
      </c>
      <c r="R6" s="3">
        <v>589.649</v>
      </c>
      <c r="S6" s="3">
        <v>611</v>
      </c>
      <c r="T6" s="3">
        <f>(620+624)/2</f>
        <v>622</v>
      </c>
      <c r="V6" s="3">
        <v>362.78</v>
      </c>
      <c r="W6" s="3">
        <v>603.46600000000001</v>
      </c>
      <c r="X6" s="3">
        <v>1028.7840000000001</v>
      </c>
      <c r="Y6" s="3">
        <f>SUM($K$6:$N$6)</f>
        <v>1675.1</v>
      </c>
      <c r="Z6" s="3">
        <v>2107</v>
      </c>
      <c r="AA6" s="3">
        <f t="shared" ref="AA6:AG6" si="2">Z6*(1+$V$23)</f>
        <v>2570.54</v>
      </c>
      <c r="AB6" s="3">
        <f t="shared" si="2"/>
        <v>3136.0587999999998</v>
      </c>
      <c r="AC6" s="3">
        <f t="shared" si="2"/>
        <v>3825.9917359999995</v>
      </c>
      <c r="AD6" s="3">
        <f t="shared" si="2"/>
        <v>4667.7099179199995</v>
      </c>
      <c r="AE6" s="3">
        <f t="shared" si="2"/>
        <v>5694.6060998623989</v>
      </c>
      <c r="AF6" s="3">
        <f t="shared" si="2"/>
        <v>6947.4194418321267</v>
      </c>
      <c r="AG6" s="3">
        <f t="shared" si="2"/>
        <v>8475.851719035194</v>
      </c>
      <c r="AH6" s="3">
        <f>AG6*(1+$V$24)</f>
        <v>8560.610236225546</v>
      </c>
      <c r="AI6" s="3">
        <f t="shared" ref="AI6:CT6" si="3">AH6*(1+$V$24)</f>
        <v>8646.2163385878011</v>
      </c>
      <c r="AJ6" s="3">
        <f t="shared" si="3"/>
        <v>8732.6785019736799</v>
      </c>
      <c r="AK6" s="3">
        <f t="shared" si="3"/>
        <v>8820.005286993417</v>
      </c>
      <c r="AL6" s="3">
        <f t="shared" si="3"/>
        <v>8908.2053398633507</v>
      </c>
      <c r="AM6" s="3">
        <f t="shared" si="3"/>
        <v>8997.2873932619841</v>
      </c>
      <c r="AN6" s="3">
        <f t="shared" si="3"/>
        <v>9087.2602671946042</v>
      </c>
      <c r="AO6" s="3">
        <f t="shared" si="3"/>
        <v>9178.1328698665511</v>
      </c>
      <c r="AP6" s="3">
        <f t="shared" si="3"/>
        <v>9269.9141985652168</v>
      </c>
      <c r="AQ6" s="3">
        <f t="shared" si="3"/>
        <v>9362.6133405508699</v>
      </c>
      <c r="AR6" s="3">
        <f t="shared" si="3"/>
        <v>9456.2394739563788</v>
      </c>
      <c r="AS6" s="3">
        <f t="shared" si="3"/>
        <v>9550.8018686959422</v>
      </c>
      <c r="AT6" s="3">
        <f t="shared" si="3"/>
        <v>9646.3098873829022</v>
      </c>
      <c r="AU6" s="3">
        <f t="shared" si="3"/>
        <v>9742.7729862567321</v>
      </c>
      <c r="AV6" s="3">
        <f t="shared" si="3"/>
        <v>9840.2007161192996</v>
      </c>
      <c r="AW6" s="3">
        <f t="shared" si="3"/>
        <v>9938.6027232804936</v>
      </c>
      <c r="AX6" s="3">
        <f t="shared" si="3"/>
        <v>10037.988750513299</v>
      </c>
      <c r="AY6" s="3">
        <f t="shared" si="3"/>
        <v>10138.368638018432</v>
      </c>
      <c r="AZ6" s="3">
        <f t="shared" si="3"/>
        <v>10239.752324398616</v>
      </c>
      <c r="BA6" s="3">
        <f t="shared" si="3"/>
        <v>10342.149847642602</v>
      </c>
      <c r="BB6" s="3">
        <f t="shared" si="3"/>
        <v>10445.571346119028</v>
      </c>
      <c r="BC6" s="3">
        <f t="shared" si="3"/>
        <v>10550.027059580218</v>
      </c>
      <c r="BD6" s="3">
        <f t="shared" si="3"/>
        <v>10655.527330176021</v>
      </c>
      <c r="BE6" s="3">
        <f t="shared" si="3"/>
        <v>10762.082603477782</v>
      </c>
      <c r="BF6" s="3">
        <f t="shared" si="3"/>
        <v>10869.70342951256</v>
      </c>
      <c r="BG6" s="3">
        <f t="shared" si="3"/>
        <v>10978.400463807686</v>
      </c>
      <c r="BH6" s="3">
        <f t="shared" si="3"/>
        <v>11088.184468445763</v>
      </c>
      <c r="BI6" s="3">
        <f t="shared" si="3"/>
        <v>11199.066313130221</v>
      </c>
      <c r="BJ6" s="3">
        <f t="shared" si="3"/>
        <v>11311.056976261523</v>
      </c>
      <c r="BK6" s="3">
        <f t="shared" si="3"/>
        <v>11424.167546024139</v>
      </c>
      <c r="BL6" s="3">
        <f t="shared" si="3"/>
        <v>11538.40922148438</v>
      </c>
      <c r="BM6" s="3">
        <f t="shared" si="3"/>
        <v>11653.793313699225</v>
      </c>
      <c r="BN6" s="3">
        <f t="shared" si="3"/>
        <v>11770.331246836218</v>
      </c>
      <c r="BO6" s="3">
        <f t="shared" si="3"/>
        <v>11888.03455930458</v>
      </c>
      <c r="BP6" s="3">
        <f t="shared" si="3"/>
        <v>12006.914904897627</v>
      </c>
      <c r="BQ6" s="3">
        <f t="shared" si="3"/>
        <v>12126.984053946604</v>
      </c>
      <c r="BR6" s="3">
        <f t="shared" si="3"/>
        <v>12248.25389448607</v>
      </c>
      <c r="BS6" s="3">
        <f t="shared" si="3"/>
        <v>12370.736433430931</v>
      </c>
      <c r="BT6" s="3">
        <f t="shared" si="3"/>
        <v>12494.443797765241</v>
      </c>
      <c r="BU6" s="3">
        <f t="shared" si="3"/>
        <v>12619.388235742894</v>
      </c>
      <c r="BV6" s="3">
        <f t="shared" si="3"/>
        <v>12745.582118100323</v>
      </c>
      <c r="BW6" s="3">
        <f t="shared" si="3"/>
        <v>12873.037939281327</v>
      </c>
      <c r="BX6" s="3">
        <f t="shared" si="3"/>
        <v>13001.76831867414</v>
      </c>
      <c r="BY6" s="3">
        <f t="shared" si="3"/>
        <v>13131.786001860881</v>
      </c>
      <c r="BZ6" s="3">
        <f t="shared" si="3"/>
        <v>13263.10386187949</v>
      </c>
      <c r="CA6" s="3">
        <f t="shared" si="3"/>
        <v>13395.734900498284</v>
      </c>
      <c r="CB6" s="3">
        <f t="shared" si="3"/>
        <v>13529.692249503267</v>
      </c>
      <c r="CC6" s="3">
        <f t="shared" si="3"/>
        <v>13664.989171998299</v>
      </c>
      <c r="CD6" s="3">
        <f t="shared" si="3"/>
        <v>13801.639063718281</v>
      </c>
      <c r="CE6" s="3">
        <f t="shared" si="3"/>
        <v>13939.655454355465</v>
      </c>
      <c r="CF6" s="3">
        <f t="shared" si="3"/>
        <v>14079.05200889902</v>
      </c>
      <c r="CG6" s="3">
        <f t="shared" si="3"/>
        <v>14219.842528988011</v>
      </c>
      <c r="CH6" s="3">
        <f t="shared" si="3"/>
        <v>14362.040954277891</v>
      </c>
      <c r="CI6" s="3">
        <f t="shared" si="3"/>
        <v>14505.661363820669</v>
      </c>
      <c r="CJ6" s="3">
        <f t="shared" si="3"/>
        <v>14650.717977458877</v>
      </c>
      <c r="CK6" s="3">
        <f t="shared" si="3"/>
        <v>14797.225157233466</v>
      </c>
      <c r="CL6" s="3">
        <f t="shared" si="3"/>
        <v>14945.197408805801</v>
      </c>
      <c r="CM6" s="3">
        <f t="shared" si="3"/>
        <v>15094.64938289386</v>
      </c>
      <c r="CN6" s="3">
        <f t="shared" si="3"/>
        <v>15245.595876722798</v>
      </c>
      <c r="CO6" s="3">
        <f t="shared" si="3"/>
        <v>15398.051835490027</v>
      </c>
      <c r="CP6" s="3">
        <f t="shared" si="3"/>
        <v>15552.032353844927</v>
      </c>
      <c r="CQ6" s="3">
        <f t="shared" si="3"/>
        <v>15707.552677383375</v>
      </c>
      <c r="CR6" s="3">
        <f t="shared" si="3"/>
        <v>15864.628204157209</v>
      </c>
      <c r="CS6" s="3">
        <f t="shared" si="3"/>
        <v>16023.274486198781</v>
      </c>
      <c r="CT6" s="3">
        <f t="shared" si="3"/>
        <v>16183.507231060768</v>
      </c>
      <c r="CU6" s="3">
        <f t="shared" ref="CU6:DC6" si="4">CT6*(1+$V$24)</f>
        <v>16345.342303371377</v>
      </c>
      <c r="CV6" s="3">
        <f t="shared" si="4"/>
        <v>16508.795726405089</v>
      </c>
      <c r="CW6" s="3">
        <f t="shared" si="4"/>
        <v>16673.883683669141</v>
      </c>
      <c r="CX6" s="3">
        <f t="shared" si="4"/>
        <v>16840.622520505833</v>
      </c>
      <c r="CY6" s="3">
        <f t="shared" si="4"/>
        <v>17009.02874571089</v>
      </c>
      <c r="CZ6" s="3">
        <f t="shared" si="4"/>
        <v>17179.119033167997</v>
      </c>
      <c r="DA6" s="3">
        <f t="shared" si="4"/>
        <v>17350.910223499679</v>
      </c>
      <c r="DB6" s="3">
        <f t="shared" si="4"/>
        <v>17524.419325734674</v>
      </c>
      <c r="DC6" s="3">
        <f t="shared" si="4"/>
        <v>17699.66351899202</v>
      </c>
    </row>
    <row r="7" spans="1:107" s="5" customFormat="1" x14ac:dyDescent="0.2">
      <c r="B7" s="5" t="s">
        <v>20</v>
      </c>
      <c r="C7" s="6"/>
      <c r="D7" s="6"/>
      <c r="E7" s="6">
        <v>33.984000000000002</v>
      </c>
      <c r="F7" s="6">
        <v>40.856000000000002</v>
      </c>
      <c r="G7" s="6">
        <v>46.665999999999997</v>
      </c>
      <c r="H7" s="6">
        <v>57.097999999999999</v>
      </c>
      <c r="I7" s="6">
        <v>63.332000000000001</v>
      </c>
      <c r="J7" s="6">
        <v>67.149000000000001</v>
      </c>
      <c r="K7" s="6">
        <v>74.462000000000003</v>
      </c>
      <c r="L7" s="6">
        <v>81.924999999999997</v>
      </c>
      <c r="M7" s="6">
        <v>93.599000000000004</v>
      </c>
      <c r="N7" s="6">
        <v>96.757000000000005</v>
      </c>
      <c r="O7" s="5">
        <v>99.914000000000001</v>
      </c>
      <c r="P7" s="5">
        <v>101.846</v>
      </c>
      <c r="Q7" s="5">
        <v>103.319</v>
      </c>
      <c r="R7" s="5">
        <v>104.82899999999999</v>
      </c>
      <c r="S7" s="5">
        <v>110.098</v>
      </c>
      <c r="V7" s="3">
        <v>362.78</v>
      </c>
      <c r="W7" s="3">
        <v>603.46600000000001</v>
      </c>
      <c r="X7" s="3">
        <v>1028.7840000000001</v>
      </c>
      <c r="Y7" s="3">
        <f>SUM($K$6:$N$6)</f>
        <v>1675.1</v>
      </c>
      <c r="Z7" s="5">
        <f>SUM(O6:R6)</f>
        <v>2128.5389999999998</v>
      </c>
      <c r="AA7" s="3">
        <f>(2590+2610)/2</f>
        <v>2600</v>
      </c>
      <c r="AB7" s="3">
        <f t="shared" ref="AB7:AG7" si="5">AA7*(1+$X$23)</f>
        <v>3380</v>
      </c>
      <c r="AC7" s="3">
        <f t="shared" si="5"/>
        <v>4394</v>
      </c>
      <c r="AD7" s="3">
        <f t="shared" si="5"/>
        <v>5712.2</v>
      </c>
      <c r="AE7" s="3">
        <f t="shared" si="5"/>
        <v>7425.86</v>
      </c>
      <c r="AF7" s="3">
        <f t="shared" si="5"/>
        <v>9653.6180000000004</v>
      </c>
      <c r="AG7" s="3">
        <f t="shared" si="5"/>
        <v>12549.7034</v>
      </c>
      <c r="AH7" s="3">
        <f>AG7*(1+$V$24)</f>
        <v>12675.200434</v>
      </c>
      <c r="AI7" s="3">
        <f>AH7*(1+$V$24)</f>
        <v>12801.95243834</v>
      </c>
      <c r="AJ7" s="3">
        <f t="shared" ref="AJ7:CU7" si="6">AI7*(1+$V$24)</f>
        <v>12929.971962723401</v>
      </c>
      <c r="AK7" s="3">
        <f t="shared" si="6"/>
        <v>13059.271682350634</v>
      </c>
      <c r="AL7" s="3">
        <f t="shared" si="6"/>
        <v>13189.864399174141</v>
      </c>
      <c r="AM7" s="3">
        <f t="shared" si="6"/>
        <v>13321.763043165882</v>
      </c>
      <c r="AN7" s="3">
        <f t="shared" si="6"/>
        <v>13454.98067359754</v>
      </c>
      <c r="AO7" s="3">
        <f t="shared" si="6"/>
        <v>13589.530480333515</v>
      </c>
      <c r="AP7" s="3">
        <f t="shared" si="6"/>
        <v>13725.425785136849</v>
      </c>
      <c r="AQ7" s="3">
        <f t="shared" si="6"/>
        <v>13862.680042988219</v>
      </c>
      <c r="AR7" s="3">
        <f t="shared" si="6"/>
        <v>14001.3068434181</v>
      </c>
      <c r="AS7" s="3">
        <f t="shared" si="6"/>
        <v>14141.319911852281</v>
      </c>
      <c r="AT7" s="3">
        <f t="shared" si="6"/>
        <v>14282.733110970803</v>
      </c>
      <c r="AU7" s="3">
        <f t="shared" si="6"/>
        <v>14425.56044208051</v>
      </c>
      <c r="AV7" s="3">
        <f t="shared" si="6"/>
        <v>14569.816046501315</v>
      </c>
      <c r="AW7" s="3">
        <f t="shared" si="6"/>
        <v>14715.514206966329</v>
      </c>
      <c r="AX7" s="3">
        <f t="shared" si="6"/>
        <v>14862.669349035992</v>
      </c>
      <c r="AY7" s="3">
        <f t="shared" si="6"/>
        <v>15011.296042526352</v>
      </c>
      <c r="AZ7" s="3">
        <f t="shared" si="6"/>
        <v>15161.409002951616</v>
      </c>
      <c r="BA7" s="3">
        <f t="shared" si="6"/>
        <v>15313.023092981131</v>
      </c>
      <c r="BB7" s="3">
        <f t="shared" si="6"/>
        <v>15466.153323910943</v>
      </c>
      <c r="BC7" s="3">
        <f t="shared" si="6"/>
        <v>15620.814857150053</v>
      </c>
      <c r="BD7" s="3">
        <f t="shared" si="6"/>
        <v>15777.023005721554</v>
      </c>
      <c r="BE7" s="3">
        <f t="shared" si="6"/>
        <v>15934.79323577877</v>
      </c>
      <c r="BF7" s="3">
        <f t="shared" si="6"/>
        <v>16094.141168136559</v>
      </c>
      <c r="BG7" s="3">
        <f t="shared" si="6"/>
        <v>16255.082579817925</v>
      </c>
      <c r="BH7" s="3">
        <f t="shared" si="6"/>
        <v>16417.633405616103</v>
      </c>
      <c r="BI7" s="3">
        <f t="shared" si="6"/>
        <v>16581.809739672266</v>
      </c>
      <c r="BJ7" s="3">
        <f t="shared" si="6"/>
        <v>16747.627837068991</v>
      </c>
      <c r="BK7" s="3">
        <f t="shared" si="6"/>
        <v>16915.104115439681</v>
      </c>
      <c r="BL7" s="3">
        <f t="shared" si="6"/>
        <v>17084.255156594078</v>
      </c>
      <c r="BM7" s="3">
        <f t="shared" si="6"/>
        <v>17255.097708160018</v>
      </c>
      <c r="BN7" s="3">
        <f t="shared" si="6"/>
        <v>17427.648685241616</v>
      </c>
      <c r="BO7" s="3">
        <f t="shared" si="6"/>
        <v>17601.925172094034</v>
      </c>
      <c r="BP7" s="3">
        <f t="shared" si="6"/>
        <v>17777.944423814974</v>
      </c>
      <c r="BQ7" s="3">
        <f t="shared" si="6"/>
        <v>17955.723868053123</v>
      </c>
      <c r="BR7" s="3">
        <f t="shared" si="6"/>
        <v>18135.281106733655</v>
      </c>
      <c r="BS7" s="3">
        <f t="shared" si="6"/>
        <v>18316.633917800991</v>
      </c>
      <c r="BT7" s="3">
        <f t="shared" si="6"/>
        <v>18499.800256979001</v>
      </c>
      <c r="BU7" s="3">
        <f t="shared" si="6"/>
        <v>18684.798259548792</v>
      </c>
      <c r="BV7" s="3">
        <f t="shared" si="6"/>
        <v>18871.646242144281</v>
      </c>
      <c r="BW7" s="3">
        <f t="shared" si="6"/>
        <v>19060.362704565723</v>
      </c>
      <c r="BX7" s="3">
        <f t="shared" si="6"/>
        <v>19250.96633161138</v>
      </c>
      <c r="BY7" s="3">
        <f t="shared" si="6"/>
        <v>19443.475994927496</v>
      </c>
      <c r="BZ7" s="3">
        <f t="shared" si="6"/>
        <v>19637.910754876772</v>
      </c>
      <c r="CA7" s="3">
        <f t="shared" si="6"/>
        <v>19834.289862425539</v>
      </c>
      <c r="CB7" s="3">
        <f t="shared" si="6"/>
        <v>20032.632761049794</v>
      </c>
      <c r="CC7" s="3">
        <f t="shared" si="6"/>
        <v>20232.959088660293</v>
      </c>
      <c r="CD7" s="3">
        <f t="shared" si="6"/>
        <v>20435.288679546895</v>
      </c>
      <c r="CE7" s="3">
        <f t="shared" si="6"/>
        <v>20639.641566342365</v>
      </c>
      <c r="CF7" s="3">
        <f t="shared" si="6"/>
        <v>20846.03798200579</v>
      </c>
      <c r="CG7" s="3">
        <f t="shared" si="6"/>
        <v>21054.498361825848</v>
      </c>
      <c r="CH7" s="3">
        <f t="shared" si="6"/>
        <v>21265.043345444108</v>
      </c>
      <c r="CI7" s="3">
        <f t="shared" si="6"/>
        <v>21477.693778898549</v>
      </c>
      <c r="CJ7" s="3">
        <f t="shared" si="6"/>
        <v>21692.470716687534</v>
      </c>
      <c r="CK7" s="3">
        <f t="shared" si="6"/>
        <v>21909.39542385441</v>
      </c>
      <c r="CL7" s="3">
        <f t="shared" si="6"/>
        <v>22128.489378092956</v>
      </c>
      <c r="CM7" s="3">
        <f t="shared" si="6"/>
        <v>22349.774271873885</v>
      </c>
      <c r="CN7" s="3">
        <f t="shared" si="6"/>
        <v>22573.272014592625</v>
      </c>
      <c r="CO7" s="3">
        <f t="shared" si="6"/>
        <v>22799.004734738552</v>
      </c>
      <c r="CP7" s="3">
        <f t="shared" si="6"/>
        <v>23026.994782085938</v>
      </c>
      <c r="CQ7" s="3">
        <f t="shared" si="6"/>
        <v>23257.264729906798</v>
      </c>
      <c r="CR7" s="3">
        <f t="shared" si="6"/>
        <v>23489.837377205866</v>
      </c>
      <c r="CS7" s="3">
        <f t="shared" si="6"/>
        <v>23724.735750977925</v>
      </c>
      <c r="CT7" s="3">
        <f t="shared" si="6"/>
        <v>23961.983108487704</v>
      </c>
      <c r="CU7" s="3">
        <f t="shared" si="6"/>
        <v>24201.602939572582</v>
      </c>
      <c r="CV7" s="3">
        <f t="shared" ref="CV7:DC7" si="7">CU7*(1+$V$24)</f>
        <v>24443.618968968309</v>
      </c>
      <c r="CW7" s="3">
        <f t="shared" si="7"/>
        <v>24688.055158657993</v>
      </c>
      <c r="CX7" s="3">
        <f t="shared" si="7"/>
        <v>24934.935710244572</v>
      </c>
      <c r="CY7" s="3">
        <f t="shared" si="7"/>
        <v>25184.285067347017</v>
      </c>
      <c r="CZ7" s="3">
        <f t="shared" si="7"/>
        <v>25436.127918020487</v>
      </c>
      <c r="DA7" s="3">
        <f t="shared" si="7"/>
        <v>25690.489197200692</v>
      </c>
      <c r="DB7" s="3">
        <f t="shared" si="7"/>
        <v>25947.3940891727</v>
      </c>
      <c r="DC7" s="3">
        <f t="shared" si="7"/>
        <v>26206.868030064426</v>
      </c>
    </row>
    <row r="8" spans="1:107" s="5" customFormat="1" x14ac:dyDescent="0.2">
      <c r="B8" s="5" t="s">
        <v>21</v>
      </c>
      <c r="C8" s="6"/>
      <c r="D8" s="6"/>
      <c r="E8" s="6">
        <f t="shared" ref="E8:S8" si="8">+E6-E7</f>
        <v>120.691</v>
      </c>
      <c r="F8" s="6">
        <f t="shared" si="8"/>
        <v>136.67500000000001</v>
      </c>
      <c r="G8" s="6">
        <f t="shared" si="8"/>
        <v>151.88300000000001</v>
      </c>
      <c r="H8" s="6">
        <f t="shared" si="8"/>
        <v>176.45100000000002</v>
      </c>
      <c r="I8" s="6">
        <f t="shared" si="8"/>
        <v>207.15600000000001</v>
      </c>
      <c r="J8" s="6">
        <f t="shared" si="8"/>
        <v>259.04899999999998</v>
      </c>
      <c r="K8" s="6">
        <f t="shared" si="8"/>
        <v>288.56799999999998</v>
      </c>
      <c r="L8" s="6">
        <f t="shared" si="8"/>
        <v>324.21299999999997</v>
      </c>
      <c r="M8" s="6">
        <f t="shared" si="8"/>
        <v>342.93400000000003</v>
      </c>
      <c r="N8" s="6">
        <f t="shared" si="8"/>
        <v>372.642</v>
      </c>
      <c r="O8" s="6">
        <f t="shared" si="8"/>
        <v>381.8</v>
      </c>
      <c r="P8" s="6">
        <f t="shared" si="8"/>
        <v>407.79399999999998</v>
      </c>
      <c r="Q8" s="6">
        <f t="shared" si="8"/>
        <v>444.21699999999993</v>
      </c>
      <c r="R8" s="6">
        <f t="shared" si="8"/>
        <v>484.82</v>
      </c>
      <c r="S8" s="6">
        <f t="shared" si="8"/>
        <v>500.90199999999999</v>
      </c>
      <c r="Z8" s="24">
        <f t="shared" ref="Z8:AH8" si="9">(Z7-Y7)/Y7</f>
        <v>0.27069368992895937</v>
      </c>
      <c r="AA8" s="22">
        <f t="shared" si="9"/>
        <v>0.22149511942228933</v>
      </c>
      <c r="AB8" s="22">
        <f t="shared" si="9"/>
        <v>0.3</v>
      </c>
      <c r="AC8" s="22">
        <f t="shared" si="9"/>
        <v>0.3</v>
      </c>
      <c r="AD8" s="22">
        <f t="shared" si="9"/>
        <v>0.29999999999999993</v>
      </c>
      <c r="AE8" s="22">
        <f t="shared" si="9"/>
        <v>0.3</v>
      </c>
      <c r="AF8" s="22">
        <f t="shared" si="9"/>
        <v>0.3000000000000001</v>
      </c>
      <c r="AG8" s="22">
        <f t="shared" si="9"/>
        <v>0.3</v>
      </c>
      <c r="AH8" s="22">
        <f t="shared" si="9"/>
        <v>9.9999999999999985E-3</v>
      </c>
    </row>
    <row r="9" spans="1:107" s="5" customFormat="1" x14ac:dyDescent="0.2">
      <c r="B9" s="5" t="s">
        <v>22</v>
      </c>
      <c r="C9" s="6"/>
      <c r="D9" s="6"/>
      <c r="E9" s="6">
        <v>56.44</v>
      </c>
      <c r="F9" s="6">
        <v>67.697999999999993</v>
      </c>
      <c r="G9" s="6">
        <v>79.266000000000005</v>
      </c>
      <c r="H9" s="6">
        <v>94.778999999999996</v>
      </c>
      <c r="I9" s="6">
        <v>112.675</v>
      </c>
      <c r="J9" s="6">
        <v>133.04900000000001</v>
      </c>
      <c r="K9" s="6">
        <v>150.608</v>
      </c>
      <c r="L9" s="6">
        <v>177.69900000000001</v>
      </c>
      <c r="M9" s="6">
        <v>205.38800000000001</v>
      </c>
      <c r="N9" s="6">
        <v>218.65600000000001</v>
      </c>
      <c r="O9" s="5">
        <v>229.47800000000001</v>
      </c>
      <c r="P9" s="5">
        <v>239.494</v>
      </c>
      <c r="Q9" s="5">
        <v>240.22499999999999</v>
      </c>
      <c r="R9" s="5">
        <v>253.25</v>
      </c>
      <c r="S9" s="5">
        <v>269.988</v>
      </c>
    </row>
    <row r="10" spans="1:107" s="5" customFormat="1" x14ac:dyDescent="0.2">
      <c r="B10" s="5" t="s">
        <v>23</v>
      </c>
      <c r="C10" s="6"/>
      <c r="D10" s="6"/>
      <c r="E10" s="6">
        <v>57.142000000000003</v>
      </c>
      <c r="F10" s="6">
        <v>60.033999999999999</v>
      </c>
      <c r="G10" s="6">
        <v>64.352999999999994</v>
      </c>
      <c r="H10" s="6">
        <v>70.412000000000006</v>
      </c>
      <c r="I10" s="6">
        <v>75.826999999999998</v>
      </c>
      <c r="J10" s="6">
        <v>88.905000000000001</v>
      </c>
      <c r="K10" s="6">
        <v>101.166</v>
      </c>
      <c r="L10" s="6">
        <v>115.27</v>
      </c>
      <c r="M10" s="6">
        <v>129.49299999999999</v>
      </c>
      <c r="N10" s="6">
        <v>149.35900000000001</v>
      </c>
      <c r="O10" s="5">
        <v>144.971</v>
      </c>
      <c r="P10" s="5">
        <v>147.45500000000001</v>
      </c>
      <c r="Q10" s="5">
        <v>156.87</v>
      </c>
      <c r="R10" s="5">
        <v>159.97999999999999</v>
      </c>
      <c r="S10" s="5">
        <v>173.881</v>
      </c>
    </row>
    <row r="11" spans="1:107" s="5" customFormat="1" x14ac:dyDescent="0.2">
      <c r="B11" s="5" t="s">
        <v>24</v>
      </c>
      <c r="C11" s="6"/>
      <c r="D11" s="6"/>
      <c r="E11" s="6">
        <v>16.376000000000001</v>
      </c>
      <c r="F11" s="6">
        <v>17.881</v>
      </c>
      <c r="G11" s="6">
        <v>21.094000000000001</v>
      </c>
      <c r="H11" s="6">
        <v>21.146000000000001</v>
      </c>
      <c r="I11" s="6">
        <v>23.548999999999999</v>
      </c>
      <c r="J11" s="6">
        <v>28.64</v>
      </c>
      <c r="K11" s="6">
        <v>26.38</v>
      </c>
      <c r="L11" s="6">
        <v>34.383000000000003</v>
      </c>
      <c r="M11" s="6">
        <v>39.395000000000003</v>
      </c>
      <c r="N11" s="6">
        <v>39.255000000000003</v>
      </c>
      <c r="O11" s="5">
        <v>42.320999999999998</v>
      </c>
      <c r="P11" s="5">
        <v>42.670999999999999</v>
      </c>
      <c r="Q11" s="5">
        <v>51.351999999999997</v>
      </c>
      <c r="R11" s="5">
        <v>43.847999999999999</v>
      </c>
      <c r="S11" s="5">
        <v>45.29</v>
      </c>
    </row>
    <row r="12" spans="1:107" s="5" customFormat="1" x14ac:dyDescent="0.2">
      <c r="B12" s="5" t="s">
        <v>25</v>
      </c>
      <c r="C12" s="6"/>
      <c r="D12" s="6"/>
      <c r="E12" s="6">
        <f t="shared" ref="E12:S12" si="10">SUM(E9:E11)</f>
        <v>129.958</v>
      </c>
      <c r="F12" s="6">
        <f t="shared" si="10"/>
        <v>145.613</v>
      </c>
      <c r="G12" s="6">
        <f t="shared" si="10"/>
        <v>164.71299999999999</v>
      </c>
      <c r="H12" s="6">
        <f t="shared" si="10"/>
        <v>186.33699999999999</v>
      </c>
      <c r="I12" s="6">
        <f t="shared" si="10"/>
        <v>212.05100000000002</v>
      </c>
      <c r="J12" s="6">
        <f t="shared" si="10"/>
        <v>250.59399999999999</v>
      </c>
      <c r="K12" s="6">
        <f t="shared" si="10"/>
        <v>278.154</v>
      </c>
      <c r="L12" s="6">
        <f t="shared" si="10"/>
        <v>327.35199999999998</v>
      </c>
      <c r="M12" s="6">
        <f t="shared" si="10"/>
        <v>374.27599999999995</v>
      </c>
      <c r="N12" s="6">
        <f t="shared" si="10"/>
        <v>407.27</v>
      </c>
      <c r="O12" s="6">
        <f t="shared" si="10"/>
        <v>416.77</v>
      </c>
      <c r="P12" s="6">
        <f t="shared" si="10"/>
        <v>429.62</v>
      </c>
      <c r="Q12" s="6">
        <f t="shared" si="10"/>
        <v>448.447</v>
      </c>
      <c r="R12" s="6">
        <f t="shared" si="10"/>
        <v>457.07800000000003</v>
      </c>
      <c r="S12" s="6">
        <f t="shared" si="10"/>
        <v>489.15900000000005</v>
      </c>
    </row>
    <row r="13" spans="1:107" s="5" customFormat="1" x14ac:dyDescent="0.2">
      <c r="B13" s="5" t="s">
        <v>26</v>
      </c>
      <c r="C13" s="6"/>
      <c r="D13" s="6"/>
      <c r="E13" s="6">
        <f t="shared" ref="E13:S13" si="11">E8-E12</f>
        <v>-9.2669999999999959</v>
      </c>
      <c r="F13" s="6">
        <f t="shared" si="11"/>
        <v>-8.9379999999999882</v>
      </c>
      <c r="G13" s="6">
        <f t="shared" si="11"/>
        <v>-12.829999999999984</v>
      </c>
      <c r="H13" s="6">
        <f t="shared" si="11"/>
        <v>-9.8859999999999673</v>
      </c>
      <c r="I13" s="6">
        <f t="shared" si="11"/>
        <v>-4.8950000000000102</v>
      </c>
      <c r="J13" s="6">
        <f t="shared" si="11"/>
        <v>8.4549999999999841</v>
      </c>
      <c r="K13" s="6">
        <f t="shared" si="11"/>
        <v>10.413999999999987</v>
      </c>
      <c r="L13" s="6">
        <f>L8-L12</f>
        <v>-3.13900000000001</v>
      </c>
      <c r="M13" s="6">
        <f t="shared" si="11"/>
        <v>-31.341999999999928</v>
      </c>
      <c r="N13" s="6">
        <f t="shared" si="11"/>
        <v>-34.627999999999986</v>
      </c>
      <c r="O13" s="6">
        <f t="shared" si="11"/>
        <v>-34.96999999999997</v>
      </c>
      <c r="P13" s="6">
        <f t="shared" si="11"/>
        <v>-21.826000000000022</v>
      </c>
      <c r="Q13" s="6">
        <f t="shared" si="11"/>
        <v>-4.230000000000075</v>
      </c>
      <c r="R13" s="6">
        <f t="shared" si="11"/>
        <v>27.741999999999962</v>
      </c>
      <c r="S13" s="6">
        <f t="shared" si="11"/>
        <v>11.742999999999938</v>
      </c>
    </row>
    <row r="14" spans="1:107" s="5" customFormat="1" x14ac:dyDescent="0.2">
      <c r="B14" s="5" t="s">
        <v>27</v>
      </c>
      <c r="C14" s="6"/>
      <c r="D14" s="6"/>
      <c r="E14" s="6">
        <v>-5.2880000000000003</v>
      </c>
      <c r="F14" s="6">
        <v>-6.2290000000000001</v>
      </c>
      <c r="G14" s="6">
        <f>-5.472+5.773</f>
        <v>0.30099999999999927</v>
      </c>
      <c r="H14" s="6">
        <f>-5.064+5.292</f>
        <v>0.22799999999999976</v>
      </c>
      <c r="I14" s="6">
        <v>0.128</v>
      </c>
      <c r="J14" s="6">
        <f>-5.604+5.681</f>
        <v>7.6999999999999957E-2</v>
      </c>
      <c r="K14" s="6">
        <f>-5.247+5.687</f>
        <v>0.44000000000000039</v>
      </c>
      <c r="L14" s="6">
        <f>-4.541+7.669</f>
        <v>3.1279999999999992</v>
      </c>
      <c r="M14" s="6">
        <f>12.011-2.885</f>
        <v>9.1259999999999994</v>
      </c>
      <c r="N14" s="6">
        <f>11.793-2.175</f>
        <v>9.6179999999999986</v>
      </c>
      <c r="O14" s="5">
        <f>16.727-2.181</f>
        <v>14.545999999999999</v>
      </c>
      <c r="P14" s="5">
        <f>22.624-1.526</f>
        <v>21.097999999999999</v>
      </c>
      <c r="Q14" s="5">
        <f>-1.303+29.883</f>
        <v>28.58</v>
      </c>
      <c r="R14" s="5">
        <f>-1.292+30.817</f>
        <v>29.524999999999999</v>
      </c>
      <c r="S14" s="5">
        <f>-1.374+35.563</f>
        <v>34.189</v>
      </c>
    </row>
    <row r="15" spans="1:107" s="5" customFormat="1" x14ac:dyDescent="0.2">
      <c r="B15" s="5" t="s">
        <v>28</v>
      </c>
      <c r="C15" s="6"/>
      <c r="D15" s="6"/>
      <c r="E15" s="6">
        <f t="shared" ref="E15:S15" si="12">+E13+E14</f>
        <v>-14.554999999999996</v>
      </c>
      <c r="F15" s="6">
        <f t="shared" si="12"/>
        <v>-15.166999999999987</v>
      </c>
      <c r="G15" s="6">
        <f t="shared" si="12"/>
        <v>-12.528999999999986</v>
      </c>
      <c r="H15" s="6">
        <f t="shared" si="12"/>
        <v>-9.6579999999999675</v>
      </c>
      <c r="I15" s="6">
        <f t="shared" si="12"/>
        <v>-4.7670000000000101</v>
      </c>
      <c r="J15" s="6">
        <f t="shared" si="12"/>
        <v>8.531999999999984</v>
      </c>
      <c r="K15" s="6">
        <f t="shared" si="12"/>
        <v>10.853999999999989</v>
      </c>
      <c r="L15" s="6">
        <f t="shared" si="12"/>
        <v>-1.1000000000010779E-2</v>
      </c>
      <c r="M15" s="6">
        <f t="shared" si="12"/>
        <v>-22.21599999999993</v>
      </c>
      <c r="N15" s="6">
        <f t="shared" si="12"/>
        <v>-25.009999999999987</v>
      </c>
      <c r="O15" s="6">
        <f t="shared" si="12"/>
        <v>-20.423999999999971</v>
      </c>
      <c r="P15" s="6">
        <f t="shared" si="12"/>
        <v>-0.72800000000002285</v>
      </c>
      <c r="Q15" s="6">
        <f t="shared" si="12"/>
        <v>24.349999999999923</v>
      </c>
      <c r="R15" s="6">
        <f t="shared" si="12"/>
        <v>57.26699999999996</v>
      </c>
      <c r="S15" s="6">
        <f t="shared" si="12"/>
        <v>45.931999999999938</v>
      </c>
    </row>
    <row r="16" spans="1:107" s="5" customFormat="1" x14ac:dyDescent="0.2">
      <c r="B16" s="5" t="s">
        <v>31</v>
      </c>
      <c r="C16" s="6"/>
      <c r="D16" s="6"/>
      <c r="E16" s="6">
        <v>0.59499999999999997</v>
      </c>
      <c r="F16" s="6">
        <v>0.99299999999999999</v>
      </c>
      <c r="G16" s="6">
        <v>-0.53900000000000003</v>
      </c>
      <c r="H16" s="6">
        <v>-2.96</v>
      </c>
      <c r="I16" s="6">
        <v>-0.71699999999999997</v>
      </c>
      <c r="J16" s="6">
        <v>1.363</v>
      </c>
      <c r="K16" s="6">
        <v>1.1160000000000001</v>
      </c>
      <c r="L16" s="6">
        <v>4.8680000000000003</v>
      </c>
      <c r="M16" s="6">
        <v>2.9260000000000002</v>
      </c>
      <c r="N16" s="6">
        <v>3.18</v>
      </c>
      <c r="O16" s="5">
        <v>3.6619999999999999</v>
      </c>
      <c r="P16" s="5">
        <v>3.0609999999999999</v>
      </c>
      <c r="Q16" s="5">
        <v>1.67</v>
      </c>
      <c r="R16" s="5">
        <v>3.274</v>
      </c>
      <c r="S16" s="5">
        <f>3.554</f>
        <v>3.5539999999999998</v>
      </c>
    </row>
    <row r="17" spans="2:24" s="5" customFormat="1" x14ac:dyDescent="0.2">
      <c r="B17" s="5" t="s">
        <v>29</v>
      </c>
      <c r="C17" s="6"/>
      <c r="D17" s="6"/>
      <c r="E17" s="6">
        <f t="shared" ref="E17:S17" si="13">+E15-E16</f>
        <v>-15.149999999999997</v>
      </c>
      <c r="F17" s="6">
        <f t="shared" si="13"/>
        <v>-16.159999999999986</v>
      </c>
      <c r="G17" s="6">
        <f t="shared" si="13"/>
        <v>-11.989999999999986</v>
      </c>
      <c r="H17" s="6">
        <f t="shared" si="13"/>
        <v>-6.6979999999999675</v>
      </c>
      <c r="I17" s="6">
        <f t="shared" si="13"/>
        <v>-4.0500000000000105</v>
      </c>
      <c r="J17" s="6">
        <f t="shared" si="13"/>
        <v>7.1689999999999845</v>
      </c>
      <c r="K17" s="6">
        <f t="shared" si="13"/>
        <v>9.7379999999999889</v>
      </c>
      <c r="L17" s="6">
        <f t="shared" si="13"/>
        <v>-4.8790000000000111</v>
      </c>
      <c r="M17" s="6">
        <f t="shared" si="13"/>
        <v>-25.141999999999932</v>
      </c>
      <c r="N17" s="6">
        <f t="shared" si="13"/>
        <v>-28.189999999999987</v>
      </c>
      <c r="O17" s="6">
        <f t="shared" si="13"/>
        <v>-24.08599999999997</v>
      </c>
      <c r="P17" s="6">
        <f t="shared" si="13"/>
        <v>-3.7890000000000228</v>
      </c>
      <c r="Q17" s="6">
        <f t="shared" si="13"/>
        <v>22.679999999999922</v>
      </c>
      <c r="R17" s="6">
        <f t="shared" si="13"/>
        <v>53.992999999999959</v>
      </c>
      <c r="S17" s="6">
        <f t="shared" si="13"/>
        <v>42.377999999999936</v>
      </c>
    </row>
    <row r="18" spans="2:24" s="1" customFormat="1" x14ac:dyDescent="0.2">
      <c r="B18" s="1" t="s">
        <v>30</v>
      </c>
      <c r="C18" s="7"/>
      <c r="D18" s="7"/>
      <c r="E18" s="7">
        <f t="shared" ref="E18:S18" si="14">+E17/E19</f>
        <v>-5.0073705850856368E-2</v>
      </c>
      <c r="F18" s="7">
        <f t="shared" si="14"/>
        <v>-5.3147929500060795E-2</v>
      </c>
      <c r="G18" s="7">
        <f t="shared" si="14"/>
        <v>-3.9178653352241861E-2</v>
      </c>
      <c r="H18" s="7">
        <f t="shared" si="14"/>
        <v>-2.1745411809011676E-2</v>
      </c>
      <c r="I18" s="7">
        <f t="shared" si="14"/>
        <v>-1.3054114947122809E-2</v>
      </c>
      <c r="J18" s="7">
        <f t="shared" si="14"/>
        <v>2.0727021455604115E-2</v>
      </c>
      <c r="K18" s="7">
        <f t="shared" si="14"/>
        <v>2.8171540321927365E-2</v>
      </c>
      <c r="L18" s="7">
        <f t="shared" si="14"/>
        <v>-1.5498975523753589E-2</v>
      </c>
      <c r="M18" s="7">
        <f t="shared" si="14"/>
        <v>-7.9565809044589805E-2</v>
      </c>
      <c r="N18" s="7">
        <f t="shared" si="14"/>
        <v>-8.8829928028536453E-2</v>
      </c>
      <c r="O18" s="7">
        <f t="shared" si="14"/>
        <v>-7.5437068960117162E-2</v>
      </c>
      <c r="P18" s="7">
        <f t="shared" si="14"/>
        <v>-1.1759229086169245E-2</v>
      </c>
      <c r="Q18" s="7">
        <f t="shared" si="14"/>
        <v>6.9665219915406279E-2</v>
      </c>
      <c r="R18" s="7">
        <f t="shared" si="14"/>
        <v>0.16416485504492304</v>
      </c>
      <c r="S18" s="7">
        <f t="shared" si="14"/>
        <v>0.12771920941755102</v>
      </c>
    </row>
    <row r="19" spans="2:24" s="5" customFormat="1" x14ac:dyDescent="0.2">
      <c r="B19" s="5" t="s">
        <v>1</v>
      </c>
      <c r="C19" s="6"/>
      <c r="D19" s="6"/>
      <c r="E19" s="6">
        <v>302.55399999999997</v>
      </c>
      <c r="F19" s="6">
        <v>304.05700000000002</v>
      </c>
      <c r="G19" s="6">
        <v>306.03399999999999</v>
      </c>
      <c r="H19" s="6">
        <v>308.01900000000001</v>
      </c>
      <c r="I19" s="6">
        <v>310.24700000000001</v>
      </c>
      <c r="J19" s="6">
        <v>345.87700000000001</v>
      </c>
      <c r="K19" s="6">
        <v>345.66800000000001</v>
      </c>
      <c r="L19" s="6">
        <v>314.79500000000002</v>
      </c>
      <c r="M19" s="6">
        <v>315.99</v>
      </c>
      <c r="N19" s="6">
        <v>317.34800000000001</v>
      </c>
      <c r="O19" s="5">
        <v>319.286</v>
      </c>
      <c r="P19" s="5">
        <v>322.21499999999997</v>
      </c>
      <c r="Q19" s="5">
        <v>325.55700000000002</v>
      </c>
      <c r="R19" s="5">
        <v>328.89499999999998</v>
      </c>
      <c r="S19" s="5">
        <v>331.80599999999998</v>
      </c>
    </row>
    <row r="21" spans="2:24" s="11" customFormat="1" x14ac:dyDescent="0.2">
      <c r="B21" s="3" t="s">
        <v>45</v>
      </c>
      <c r="C21" s="9"/>
      <c r="D21" s="9"/>
      <c r="E21" s="9"/>
      <c r="F21" s="9"/>
      <c r="G21" s="9"/>
      <c r="H21" s="9"/>
      <c r="I21" s="10">
        <f t="shared" ref="I21:K21" si="15">+I6/E6-1</f>
        <v>0.74875060610958455</v>
      </c>
      <c r="J21" s="10">
        <f t="shared" si="15"/>
        <v>0.83741431074009598</v>
      </c>
      <c r="K21" s="10">
        <f t="shared" si="15"/>
        <v>0.82841515192723181</v>
      </c>
      <c r="L21" s="10">
        <f t="shared" ref="L21:S21" si="16">+L6/H6-1</f>
        <v>0.73898411040081502</v>
      </c>
      <c r="M21" s="10">
        <f t="shared" si="16"/>
        <v>0.61387196474520134</v>
      </c>
      <c r="N21" s="10">
        <f t="shared" si="16"/>
        <v>0.43900023911857233</v>
      </c>
      <c r="O21" s="10">
        <f t="shared" si="16"/>
        <v>0.32692614935404807</v>
      </c>
      <c r="P21" s="10">
        <f t="shared" si="16"/>
        <v>0.25484441249033574</v>
      </c>
      <c r="Q21" s="10">
        <f t="shared" si="16"/>
        <v>0.25428318134024219</v>
      </c>
      <c r="R21" s="10">
        <f t="shared" si="16"/>
        <v>0.25617864545940661</v>
      </c>
      <c r="S21" s="10">
        <f t="shared" si="16"/>
        <v>0.26838746642198474</v>
      </c>
    </row>
    <row r="22" spans="2:24" x14ac:dyDescent="0.2">
      <c r="B22" s="5" t="s">
        <v>46</v>
      </c>
      <c r="E22" s="12">
        <f t="shared" ref="E22:H22" si="17">+E8/E6</f>
        <v>0.78028770001616288</v>
      </c>
      <c r="F22" s="12">
        <f t="shared" si="17"/>
        <v>0.76986554460911061</v>
      </c>
      <c r="G22" s="12">
        <f t="shared" si="17"/>
        <v>0.7649648197674126</v>
      </c>
      <c r="H22" s="12">
        <f t="shared" si="17"/>
        <v>0.75552025485015994</v>
      </c>
      <c r="I22" s="12">
        <f t="shared" ref="I22:K22" si="18">+I8/I6</f>
        <v>0.76586022300434775</v>
      </c>
      <c r="J22" s="12">
        <f t="shared" si="18"/>
        <v>0.79414649997854059</v>
      </c>
      <c r="K22" s="12">
        <f t="shared" si="18"/>
        <v>0.79488747486433631</v>
      </c>
      <c r="L22" s="12">
        <f>+L8/L6</f>
        <v>0.79828284967178642</v>
      </c>
      <c r="M22" s="12">
        <f t="shared" ref="M22:S22" si="19">+M8/M6</f>
        <v>0.78558551129009724</v>
      </c>
      <c r="N22" s="12">
        <f t="shared" si="19"/>
        <v>0.79387045988593929</v>
      </c>
      <c r="O22" s="12">
        <f t="shared" si="19"/>
        <v>0.79258647247121738</v>
      </c>
      <c r="P22" s="12">
        <f t="shared" si="19"/>
        <v>0.8001608978887057</v>
      </c>
      <c r="Q22" s="12">
        <f t="shared" si="19"/>
        <v>0.81130190526285029</v>
      </c>
      <c r="R22" s="12">
        <f t="shared" si="19"/>
        <v>0.82221796356815668</v>
      </c>
      <c r="S22" s="12">
        <f t="shared" si="19"/>
        <v>0.81980687397708674</v>
      </c>
      <c r="U22" t="s">
        <v>71</v>
      </c>
      <c r="W22" t="s">
        <v>72</v>
      </c>
      <c r="X22" t="s">
        <v>73</v>
      </c>
    </row>
    <row r="23" spans="2:24" x14ac:dyDescent="0.2">
      <c r="U23" s="15" t="s">
        <v>62</v>
      </c>
      <c r="V23" s="23">
        <v>0.22</v>
      </c>
      <c r="W23" s="15" t="s">
        <v>62</v>
      </c>
      <c r="X23" s="23">
        <v>0.3</v>
      </c>
    </row>
    <row r="24" spans="2:24" s="5" customFormat="1" x14ac:dyDescent="0.2">
      <c r="B24" s="5" t="s">
        <v>3</v>
      </c>
      <c r="C24" s="6"/>
      <c r="D24" s="6"/>
      <c r="E24" s="6"/>
      <c r="F24" s="6"/>
      <c r="G24" s="6"/>
      <c r="H24" s="6"/>
      <c r="I24" s="6"/>
      <c r="J24" s="6"/>
      <c r="K24" s="6">
        <f>271.686+1399.323+3.424</f>
        <v>1674.433</v>
      </c>
      <c r="L24" s="6">
        <f>238.859+1464.681+3.214</f>
        <v>1706.7539999999999</v>
      </c>
      <c r="M24" s="6"/>
      <c r="N24" s="6"/>
      <c r="U24" s="17" t="s">
        <v>61</v>
      </c>
      <c r="V24" s="16">
        <v>0.01</v>
      </c>
    </row>
    <row r="25" spans="2:24" s="5" customFormat="1" x14ac:dyDescent="0.2">
      <c r="B25" s="5" t="s">
        <v>33</v>
      </c>
      <c r="C25" s="6"/>
      <c r="D25" s="6"/>
      <c r="E25" s="6"/>
      <c r="F25" s="6"/>
      <c r="G25" s="6"/>
      <c r="H25" s="6"/>
      <c r="I25" s="6"/>
      <c r="J25" s="6"/>
      <c r="K25" s="6">
        <v>275.34199999999998</v>
      </c>
      <c r="L25" s="6">
        <v>305.50099999999998</v>
      </c>
      <c r="M25" s="6"/>
      <c r="N25" s="6"/>
      <c r="U25" s="17" t="s">
        <v>60</v>
      </c>
      <c r="V25" s="16">
        <v>0.1</v>
      </c>
    </row>
    <row r="26" spans="2:24" s="5" customFormat="1" x14ac:dyDescent="0.2">
      <c r="B26" s="5" t="s">
        <v>34</v>
      </c>
      <c r="C26" s="6"/>
      <c r="D26" s="6"/>
      <c r="E26" s="6"/>
      <c r="F26" s="6"/>
      <c r="G26" s="6"/>
      <c r="H26" s="6"/>
      <c r="I26" s="6"/>
      <c r="J26" s="6"/>
      <c r="K26" s="6">
        <f>24.688+42.753</f>
        <v>67.441000000000003</v>
      </c>
      <c r="L26" s="6">
        <f>27.345+46.84</f>
        <v>74.185000000000002</v>
      </c>
      <c r="M26" s="6"/>
      <c r="N26" s="6"/>
      <c r="U26" s="17" t="s">
        <v>63</v>
      </c>
      <c r="V26" s="18">
        <f>NPV(V25,V6:DC6)</f>
        <v>48462.55326232707</v>
      </c>
      <c r="W26" s="17" t="s">
        <v>63</v>
      </c>
      <c r="X26" s="26">
        <f>NPV($V$25,V7:DC7)</f>
        <v>66780.466791614104</v>
      </c>
    </row>
    <row r="27" spans="2:24" s="5" customFormat="1" x14ac:dyDescent="0.2">
      <c r="B27" s="5" t="s">
        <v>35</v>
      </c>
      <c r="C27" s="6"/>
      <c r="D27" s="6"/>
      <c r="E27" s="6"/>
      <c r="F27" s="6"/>
      <c r="G27" s="6"/>
      <c r="H27" s="6"/>
      <c r="I27" s="6"/>
      <c r="J27" s="6"/>
      <c r="K27" s="6">
        <v>32.631999999999998</v>
      </c>
      <c r="L27" s="6">
        <v>33.201999999999998</v>
      </c>
      <c r="M27" s="6"/>
      <c r="N27" s="6"/>
      <c r="U27" s="17" t="s">
        <v>1</v>
      </c>
      <c r="V27" s="21">
        <f>Main!$O$3</f>
        <v>332</v>
      </c>
      <c r="W27" s="17" t="s">
        <v>1</v>
      </c>
      <c r="X27" s="21">
        <f>Main!$O$3</f>
        <v>332</v>
      </c>
    </row>
    <row r="28" spans="2:24" s="5" customFormat="1" x14ac:dyDescent="0.2">
      <c r="B28" s="5" t="s">
        <v>36</v>
      </c>
      <c r="C28" s="6"/>
      <c r="D28" s="6"/>
      <c r="E28" s="6"/>
      <c r="F28" s="6"/>
      <c r="G28" s="6"/>
      <c r="H28" s="6"/>
      <c r="I28" s="6"/>
      <c r="J28" s="6"/>
      <c r="K28" s="6">
        <v>90.712999999999994</v>
      </c>
      <c r="L28" s="6">
        <v>97.790999999999997</v>
      </c>
      <c r="M28" s="6"/>
      <c r="N28" s="6"/>
      <c r="U28" s="17" t="s">
        <v>64</v>
      </c>
      <c r="V28" s="19">
        <f>V26/V27</f>
        <v>145.97154597086467</v>
      </c>
      <c r="W28" s="17" t="s">
        <v>64</v>
      </c>
      <c r="X28" s="19">
        <f>X26/X27</f>
        <v>201.14598431209069</v>
      </c>
    </row>
    <row r="29" spans="2:24" s="5" customFormat="1" x14ac:dyDescent="0.2">
      <c r="B29" s="5" t="s">
        <v>37</v>
      </c>
      <c r="C29" s="6"/>
      <c r="D29" s="6"/>
      <c r="E29" s="6"/>
      <c r="F29" s="6"/>
      <c r="G29" s="6"/>
      <c r="H29" s="6"/>
      <c r="I29" s="6"/>
      <c r="J29" s="6"/>
      <c r="K29" s="6">
        <v>61.920999999999999</v>
      </c>
      <c r="L29" s="6">
        <v>64.016000000000005</v>
      </c>
      <c r="M29" s="6"/>
      <c r="N29" s="6"/>
      <c r="U29" s="17" t="s">
        <v>65</v>
      </c>
      <c r="V29" s="20">
        <f>(V28-Main!$O$2)/Main!$O$2</f>
        <v>0.24464142198895519</v>
      </c>
      <c r="W29" s="17" t="s">
        <v>65</v>
      </c>
      <c r="X29" s="20">
        <f>(X28-Main!$O$2)/Main!$O$2</f>
        <v>0.71509195354784005</v>
      </c>
    </row>
    <row r="30" spans="2:24" s="5" customFormat="1" x14ac:dyDescent="0.2">
      <c r="B30" s="5" t="s">
        <v>38</v>
      </c>
      <c r="C30" s="6"/>
      <c r="D30" s="6"/>
      <c r="E30" s="6"/>
      <c r="F30" s="6"/>
      <c r="G30" s="6"/>
      <c r="H30" s="6"/>
      <c r="I30" s="6"/>
      <c r="J30" s="6"/>
      <c r="K30" s="6">
        <f>292.032+14.088</f>
        <v>306.12</v>
      </c>
      <c r="L30" s="6">
        <f>334.687+17.96</f>
        <v>352.64699999999999</v>
      </c>
      <c r="M30" s="6"/>
      <c r="N30" s="6"/>
      <c r="U30" s="17" t="s">
        <v>66</v>
      </c>
      <c r="V30" s="18">
        <f>V27*V28</f>
        <v>48462.55326232707</v>
      </c>
      <c r="W30" s="17" t="s">
        <v>66</v>
      </c>
      <c r="X30" s="18">
        <f>X27*X28</f>
        <v>66780.466791614104</v>
      </c>
    </row>
    <row r="31" spans="2:24" s="5" customFormat="1" x14ac:dyDescent="0.2">
      <c r="B31" s="5" t="s">
        <v>39</v>
      </c>
      <c r="C31" s="6"/>
      <c r="D31" s="6"/>
      <c r="E31" s="6"/>
      <c r="F31" s="6"/>
      <c r="G31" s="6"/>
      <c r="H31" s="6"/>
      <c r="I31" s="6"/>
      <c r="J31" s="6"/>
      <c r="K31" s="6">
        <v>20.413</v>
      </c>
      <c r="L31" s="6">
        <v>20.390999999999998</v>
      </c>
      <c r="M31" s="6"/>
      <c r="N31" s="6"/>
    </row>
    <row r="32" spans="2:24" s="5" customFormat="1" x14ac:dyDescent="0.2">
      <c r="B32" s="5" t="s">
        <v>32</v>
      </c>
      <c r="C32" s="6"/>
      <c r="D32" s="6"/>
      <c r="E32" s="6"/>
      <c r="F32" s="6"/>
      <c r="G32" s="6"/>
      <c r="H32" s="6"/>
      <c r="I32" s="6"/>
      <c r="J32" s="6"/>
      <c r="K32" s="6">
        <f>SUM(K24:K31)</f>
        <v>2529.0149999999999</v>
      </c>
      <c r="L32" s="6">
        <f>SUM(L24:L31)</f>
        <v>2654.4870000000001</v>
      </c>
      <c r="M32" s="6"/>
      <c r="N32" s="6"/>
    </row>
    <row r="34" spans="2:14" s="5" customFormat="1" x14ac:dyDescent="0.2">
      <c r="B34" s="5" t="s">
        <v>40</v>
      </c>
      <c r="C34" s="6"/>
      <c r="D34" s="6"/>
      <c r="E34" s="6"/>
      <c r="F34" s="6"/>
      <c r="G34" s="6"/>
      <c r="H34" s="6"/>
      <c r="I34" s="6"/>
      <c r="J34" s="6"/>
      <c r="K34" s="6">
        <v>18.629000000000001</v>
      </c>
      <c r="L34" s="6">
        <v>47.65</v>
      </c>
      <c r="M34" s="6"/>
      <c r="N34" s="6"/>
    </row>
    <row r="35" spans="2:14" s="5" customFormat="1" x14ac:dyDescent="0.2">
      <c r="B35" s="5" t="s">
        <v>41</v>
      </c>
      <c r="C35" s="6"/>
      <c r="D35" s="6"/>
      <c r="E35" s="6"/>
      <c r="F35" s="6"/>
      <c r="G35" s="6"/>
      <c r="H35" s="6"/>
      <c r="I35" s="6"/>
      <c r="J35" s="6"/>
      <c r="K35" s="6">
        <v>108.211</v>
      </c>
      <c r="L35" s="6">
        <v>111.622</v>
      </c>
      <c r="M35" s="6"/>
      <c r="N35" s="6"/>
    </row>
    <row r="36" spans="2:14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>
        <f>20.32+51.817</f>
        <v>72.137</v>
      </c>
      <c r="L36" s="6">
        <f>22.357+51.771</f>
        <v>74.128</v>
      </c>
      <c r="M36" s="6"/>
      <c r="N36" s="6"/>
    </row>
    <row r="37" spans="2:14" s="5" customFormat="1" x14ac:dyDescent="0.2">
      <c r="B37" s="5" t="s">
        <v>42</v>
      </c>
      <c r="C37" s="6"/>
      <c r="D37" s="6"/>
      <c r="E37" s="6"/>
      <c r="F37" s="6"/>
      <c r="G37" s="6"/>
      <c r="H37" s="6"/>
      <c r="I37" s="6"/>
      <c r="J37" s="6"/>
      <c r="K37" s="6">
        <f>454.812+12.798</f>
        <v>467.61</v>
      </c>
      <c r="L37" s="6">
        <f>444.247+14.526</f>
        <v>458.77300000000002</v>
      </c>
      <c r="M37" s="6"/>
      <c r="N37" s="6"/>
    </row>
    <row r="38" spans="2:14" s="5" customFormat="1" x14ac:dyDescent="0.2">
      <c r="B38" s="5" t="s">
        <v>4</v>
      </c>
      <c r="C38" s="6"/>
      <c r="D38" s="6"/>
      <c r="E38" s="6"/>
      <c r="F38" s="6"/>
      <c r="G38" s="6"/>
      <c r="H38" s="6"/>
      <c r="I38" s="6"/>
      <c r="J38" s="6"/>
      <c r="K38" s="6">
        <v>736.31799999999998</v>
      </c>
      <c r="L38" s="6">
        <v>737.16</v>
      </c>
      <c r="M38" s="6"/>
      <c r="N38" s="6"/>
    </row>
    <row r="39" spans="2:14" s="5" customFormat="1" x14ac:dyDescent="0.2">
      <c r="B39" s="5" t="s">
        <v>39</v>
      </c>
      <c r="C39" s="6"/>
      <c r="D39" s="6"/>
      <c r="E39" s="6"/>
      <c r="F39" s="6"/>
      <c r="G39" s="6"/>
      <c r="H39" s="6"/>
      <c r="I39" s="6"/>
      <c r="J39" s="6"/>
      <c r="K39" s="6">
        <v>9.2530000000000001</v>
      </c>
      <c r="L39" s="6">
        <v>10.034000000000001</v>
      </c>
      <c r="M39" s="6"/>
      <c r="N39" s="6"/>
    </row>
    <row r="40" spans="2:14" s="5" customFormat="1" x14ac:dyDescent="0.2">
      <c r="B40" s="5" t="s">
        <v>43</v>
      </c>
      <c r="C40" s="6"/>
      <c r="D40" s="6"/>
      <c r="E40" s="6"/>
      <c r="F40" s="6"/>
      <c r="G40" s="6"/>
      <c r="H40" s="6"/>
      <c r="I40" s="6"/>
      <c r="J40" s="6"/>
      <c r="K40" s="6">
        <v>1116.857</v>
      </c>
      <c r="L40" s="6">
        <v>1215.1199999999999</v>
      </c>
      <c r="M40" s="6"/>
      <c r="N40" s="6"/>
    </row>
    <row r="41" spans="2:14" s="5" customFormat="1" x14ac:dyDescent="0.2">
      <c r="B41" s="5" t="s">
        <v>44</v>
      </c>
      <c r="C41" s="6"/>
      <c r="D41" s="6"/>
      <c r="E41" s="6"/>
      <c r="F41" s="6"/>
      <c r="G41" s="6"/>
      <c r="H41" s="6"/>
      <c r="I41" s="6"/>
      <c r="J41" s="6"/>
      <c r="K41" s="6">
        <f>SUM(K34:K40)</f>
        <v>2529.0149999999999</v>
      </c>
      <c r="L41" s="6">
        <f>SUM(L34:L40)</f>
        <v>2654.4870000000001</v>
      </c>
      <c r="M41" s="6"/>
      <c r="N41" s="6"/>
    </row>
    <row r="43" spans="2:14" s="5" customFormat="1" x14ac:dyDescent="0.2">
      <c r="B43" s="5" t="s">
        <v>48</v>
      </c>
      <c r="C43" s="6"/>
      <c r="D43" s="6"/>
      <c r="E43" s="6"/>
      <c r="F43" s="6"/>
      <c r="G43" s="6"/>
      <c r="H43" s="6"/>
      <c r="I43" s="6"/>
      <c r="J43" s="6"/>
      <c r="K43" s="6">
        <f>+K17</f>
        <v>9.7379999999999889</v>
      </c>
      <c r="L43" s="6"/>
      <c r="M43" s="6"/>
      <c r="N43" s="6"/>
    </row>
    <row r="44" spans="2:14" s="5" customFormat="1" x14ac:dyDescent="0.2">
      <c r="B44" s="5" t="s">
        <v>49</v>
      </c>
      <c r="C44" s="6"/>
      <c r="D44" s="6"/>
      <c r="E44" s="6"/>
      <c r="F44" s="6"/>
      <c r="G44" s="6"/>
      <c r="H44" s="6"/>
      <c r="I44" s="6"/>
      <c r="J44" s="6"/>
      <c r="K44" s="6">
        <v>9.7379999999999995</v>
      </c>
      <c r="L44" s="6"/>
      <c r="M44" s="6"/>
      <c r="N44" s="6"/>
    </row>
    <row r="45" spans="2:14" s="5" customFormat="1" x14ac:dyDescent="0.2">
      <c r="B45" s="5" t="s">
        <v>50</v>
      </c>
      <c r="C45" s="6"/>
      <c r="D45" s="6"/>
      <c r="E45" s="6"/>
      <c r="F45" s="6"/>
      <c r="G45" s="6"/>
      <c r="H45" s="6"/>
      <c r="I45" s="6"/>
      <c r="J45" s="6"/>
      <c r="K45" s="6">
        <v>7.3940000000000001</v>
      </c>
      <c r="L45" s="6"/>
      <c r="M45" s="6"/>
      <c r="N45" s="6"/>
    </row>
    <row r="46" spans="2:14" s="5" customFormat="1" x14ac:dyDescent="0.2">
      <c r="B46" s="5" t="s">
        <v>51</v>
      </c>
      <c r="C46" s="6"/>
      <c r="D46" s="6"/>
      <c r="E46" s="6"/>
      <c r="F46" s="6"/>
      <c r="G46" s="6"/>
      <c r="H46" s="6"/>
      <c r="I46" s="6"/>
      <c r="J46" s="6"/>
      <c r="K46" s="6">
        <v>3.9590000000000001</v>
      </c>
      <c r="L46" s="6"/>
      <c r="M46" s="6"/>
      <c r="N46" s="6"/>
    </row>
    <row r="47" spans="2:14" s="5" customFormat="1" x14ac:dyDescent="0.2">
      <c r="B47" s="5" t="s">
        <v>52</v>
      </c>
      <c r="C47" s="6"/>
      <c r="D47" s="6"/>
      <c r="E47" s="6"/>
      <c r="F47" s="6"/>
      <c r="G47" s="6"/>
      <c r="H47" s="6"/>
      <c r="I47" s="6"/>
      <c r="J47" s="6"/>
      <c r="K47" s="6">
        <v>0.84</v>
      </c>
      <c r="L47" s="6"/>
      <c r="M47" s="6"/>
      <c r="N47" s="6"/>
    </row>
    <row r="48" spans="2:14" s="5" customFormat="1" x14ac:dyDescent="0.2">
      <c r="B48" s="5" t="s">
        <v>53</v>
      </c>
      <c r="C48" s="6"/>
      <c r="D48" s="6"/>
      <c r="E48" s="6"/>
      <c r="F48" s="6"/>
      <c r="G48" s="6"/>
      <c r="H48" s="6"/>
      <c r="I48" s="6"/>
      <c r="J48" s="6"/>
      <c r="K48" s="6">
        <v>6.0220000000000002</v>
      </c>
      <c r="L48" s="6"/>
      <c r="M48" s="6"/>
      <c r="N48" s="6"/>
    </row>
    <row r="49" spans="2:14" s="5" customFormat="1" x14ac:dyDescent="0.2">
      <c r="B49" s="5" t="s">
        <v>54</v>
      </c>
      <c r="C49" s="6"/>
      <c r="D49" s="6"/>
      <c r="E49" s="6"/>
      <c r="F49" s="6"/>
      <c r="G49" s="6"/>
      <c r="H49" s="6"/>
      <c r="I49" s="6"/>
      <c r="J49" s="6"/>
      <c r="K49" s="6">
        <v>66.884</v>
      </c>
      <c r="L49" s="6"/>
      <c r="M49" s="6"/>
      <c r="N49" s="6"/>
    </row>
    <row r="50" spans="2:14" s="5" customFormat="1" x14ac:dyDescent="0.2">
      <c r="B50" s="5" t="s">
        <v>37</v>
      </c>
      <c r="C50" s="6"/>
      <c r="D50" s="6"/>
      <c r="E50" s="6"/>
      <c r="F50" s="6"/>
      <c r="G50" s="6"/>
      <c r="H50" s="6"/>
      <c r="I50" s="6"/>
      <c r="J50" s="6"/>
      <c r="K50" s="6">
        <v>4.4109999999999996</v>
      </c>
      <c r="L50" s="6"/>
      <c r="M50" s="6"/>
      <c r="N50" s="6"/>
    </row>
    <row r="51" spans="2:14" s="5" customFormat="1" x14ac:dyDescent="0.2">
      <c r="B51" s="5" t="s">
        <v>33</v>
      </c>
      <c r="C51" s="6"/>
      <c r="D51" s="6"/>
      <c r="E51" s="6"/>
      <c r="F51" s="6"/>
      <c r="G51" s="6"/>
      <c r="H51" s="6"/>
      <c r="I51" s="6"/>
      <c r="J51" s="6"/>
      <c r="K51" s="6">
        <v>0.79800000000000004</v>
      </c>
      <c r="L51" s="6"/>
      <c r="M51" s="6"/>
      <c r="N51" s="6"/>
    </row>
    <row r="52" spans="2:14" s="5" customFormat="1" x14ac:dyDescent="0.2">
      <c r="B52" s="5" t="s">
        <v>55</v>
      </c>
      <c r="C52" s="6"/>
      <c r="D52" s="6"/>
      <c r="E52" s="6"/>
      <c r="F52" s="6"/>
      <c r="G52" s="6"/>
      <c r="H52" s="6"/>
      <c r="I52" s="6"/>
      <c r="J52" s="6"/>
      <c r="K52" s="6">
        <v>0.82299999999999995</v>
      </c>
      <c r="L52" s="6"/>
      <c r="M52" s="6"/>
      <c r="N52" s="6"/>
    </row>
    <row r="53" spans="2:14" s="5" customFormat="1" x14ac:dyDescent="0.2">
      <c r="B53" s="5" t="s">
        <v>56</v>
      </c>
      <c r="C53" s="6"/>
      <c r="D53" s="6"/>
      <c r="E53" s="6"/>
      <c r="F53" s="6"/>
      <c r="G53" s="6"/>
      <c r="H53" s="6"/>
      <c r="I53" s="6"/>
      <c r="J53" s="6"/>
      <c r="K53" s="6">
        <f>-7.319-8.166-8.391-0.805-7.624-2.911+81.735</f>
        <v>46.518999999999998</v>
      </c>
      <c r="L53" s="6"/>
      <c r="M53" s="6"/>
      <c r="N53" s="6"/>
    </row>
    <row r="54" spans="2:14" s="5" customFormat="1" x14ac:dyDescent="0.2">
      <c r="B54" s="5" t="s">
        <v>57</v>
      </c>
      <c r="C54" s="6"/>
      <c r="D54" s="6"/>
      <c r="E54" s="6"/>
      <c r="F54" s="6"/>
      <c r="G54" s="6"/>
      <c r="H54" s="6"/>
      <c r="I54" s="6"/>
      <c r="J54" s="6"/>
      <c r="K54" s="6">
        <f>SUM(K44:K53)</f>
        <v>147.38799999999998</v>
      </c>
      <c r="L54" s="6"/>
      <c r="M54" s="6"/>
      <c r="N54" s="6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2022-09-02T02:52:19Z</dcterms:created>
  <dcterms:modified xsi:type="dcterms:W3CDTF">2024-05-09T04:47:52Z</dcterms:modified>
</cp:coreProperties>
</file>