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4AD1F8EA-B0B3-4E19-B439-A2D6F3CF8FB8}" xr6:coauthVersionLast="47" xr6:coauthVersionMax="47" xr10:uidLastSave="{00000000-0000-0000-0000-000000000000}"/>
  <bookViews>
    <workbookView xWindow="-108" yWindow="-108" windowWidth="23256" windowHeight="12456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6" i="2" l="1"/>
  <c r="AB17" i="2"/>
  <c r="X36" i="2"/>
  <c r="S23" i="2"/>
  <c r="S24" i="2" s="1"/>
  <c r="S26" i="2" s="1"/>
  <c r="S27" i="2" s="1"/>
  <c r="R23" i="2"/>
  <c r="R25" i="2"/>
  <c r="S22" i="2"/>
  <c r="S21" i="2"/>
  <c r="S17" i="2"/>
  <c r="S16" i="2"/>
  <c r="T11" i="2"/>
  <c r="T13" i="2" s="1"/>
  <c r="S15" i="2"/>
  <c r="R21" i="2"/>
  <c r="R20" i="2"/>
  <c r="R19" i="2"/>
  <c r="R18" i="2"/>
  <c r="AB13" i="2"/>
  <c r="AB3" i="2"/>
  <c r="S13" i="2"/>
  <c r="S12" i="2"/>
  <c r="Q23" i="2"/>
  <c r="Q21" i="2"/>
  <c r="P21" i="2"/>
  <c r="P22" i="2" s="1"/>
  <c r="P24" i="2" s="1"/>
  <c r="Q13" i="2"/>
  <c r="Q12" i="2"/>
  <c r="Q15" i="2" s="1"/>
  <c r="Q17" i="2" s="1"/>
  <c r="P12" i="2"/>
  <c r="P15" i="2" s="1"/>
  <c r="M12" i="2"/>
  <c r="P13" i="2"/>
  <c r="M13" i="2"/>
  <c r="L13" i="2"/>
  <c r="P25" i="2"/>
  <c r="Y36" i="2"/>
  <c r="AH30" i="2"/>
  <c r="AG30" i="2"/>
  <c r="AF30" i="2"/>
  <c r="AE30" i="2"/>
  <c r="O7" i="2"/>
  <c r="R7" i="2" s="1"/>
  <c r="K23" i="2"/>
  <c r="O23" i="2"/>
  <c r="O21" i="2"/>
  <c r="T14" i="2" l="1"/>
  <c r="T12" i="2"/>
  <c r="P16" i="2"/>
  <c r="R16" i="2" s="1"/>
  <c r="P26" i="2"/>
  <c r="P27" i="2" s="1"/>
  <c r="Q22" i="2"/>
  <c r="Q24" i="2" s="1"/>
  <c r="Q26" i="2" s="1"/>
  <c r="Q27" i="2" s="1"/>
  <c r="R12" i="2"/>
  <c r="AB4" i="2"/>
  <c r="AC4" i="2" s="1"/>
  <c r="AD4" i="2" s="1"/>
  <c r="AE4" i="2" s="1"/>
  <c r="AF4" i="2" l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T15" i="2"/>
  <c r="T30" i="2" s="1"/>
  <c r="AC30" i="2"/>
  <c r="AD30" i="2"/>
  <c r="AB30" i="2"/>
  <c r="Z30" i="2"/>
  <c r="Y30" i="2"/>
  <c r="X30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5" i="2"/>
  <c r="J20" i="2"/>
  <c r="J19" i="2"/>
  <c r="J18" i="2"/>
  <c r="J16" i="2"/>
  <c r="J14" i="2"/>
  <c r="N25" i="2"/>
  <c r="N20" i="2"/>
  <c r="N19" i="2"/>
  <c r="N18" i="2"/>
  <c r="N14" i="2"/>
  <c r="I8" i="2"/>
  <c r="M7" i="2"/>
  <c r="I7" i="2" s="1"/>
  <c r="M23" i="2"/>
  <c r="I23" i="2"/>
  <c r="M21" i="2"/>
  <c r="I21" i="2"/>
  <c r="I15" i="2"/>
  <c r="I17" i="2" s="1"/>
  <c r="I22" i="2" s="1"/>
  <c r="I24" i="2" s="1"/>
  <c r="I26" i="2" s="1"/>
  <c r="I27" i="2" s="1"/>
  <c r="M15" i="2"/>
  <c r="G8" i="2"/>
  <c r="G7" i="2"/>
  <c r="H8" i="2"/>
  <c r="H23" i="2"/>
  <c r="L23" i="2"/>
  <c r="H21" i="2"/>
  <c r="H17" i="2"/>
  <c r="L7" i="2"/>
  <c r="H7" i="2" s="1"/>
  <c r="L21" i="2"/>
  <c r="Y35" i="2" l="1"/>
  <c r="Y37" i="2" s="1"/>
  <c r="Y39" i="2" s="1"/>
  <c r="J21" i="2"/>
  <c r="M30" i="2"/>
  <c r="H22" i="2"/>
  <c r="H24" i="2" s="1"/>
  <c r="H26" i="2" s="1"/>
  <c r="H27" i="2" s="1"/>
  <c r="N21" i="2"/>
  <c r="M17" i="2"/>
  <c r="N23" i="2"/>
  <c r="AC3" i="2"/>
  <c r="M22" i="2"/>
  <c r="M24" i="2" s="1"/>
  <c r="M26" i="2" s="1"/>
  <c r="M27" i="2" s="1"/>
  <c r="AD3" i="2" l="1"/>
  <c r="AE3" i="2" s="1"/>
  <c r="AF3" i="2" s="1"/>
  <c r="AG3" i="2" s="1"/>
  <c r="AH3" i="2" s="1"/>
  <c r="AI3" i="2" s="1"/>
  <c r="Q30" i="2"/>
  <c r="Y38" i="2"/>
  <c r="AJ3" i="2" l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X35" i="2" l="1"/>
  <c r="X37" i="2" s="1"/>
  <c r="K11" i="2"/>
  <c r="G11" i="2"/>
  <c r="K71" i="2"/>
  <c r="K65" i="2"/>
  <c r="K66" i="2" s="1"/>
  <c r="K61" i="2"/>
  <c r="K62" i="2" s="1"/>
  <c r="K48" i="2"/>
  <c r="K47" i="2"/>
  <c r="K46" i="2"/>
  <c r="K39" i="2"/>
  <c r="K33" i="2"/>
  <c r="K35" i="2"/>
  <c r="G23" i="2"/>
  <c r="J23" i="2" s="1"/>
  <c r="G21" i="2"/>
  <c r="K21" i="2"/>
  <c r="K16" i="2"/>
  <c r="N16" i="2" s="1"/>
  <c r="L4" i="1"/>
  <c r="L7" i="1" s="1"/>
  <c r="X38" i="2" l="1"/>
  <c r="X41" i="2"/>
  <c r="Y41" i="2" s="1"/>
  <c r="Y42" i="2" s="1"/>
  <c r="L12" i="2"/>
  <c r="L15" i="2" s="1"/>
  <c r="K13" i="2"/>
  <c r="O13" i="2"/>
  <c r="X39" i="2"/>
  <c r="K15" i="2"/>
  <c r="N11" i="2"/>
  <c r="R13" i="2" s="1"/>
  <c r="R15" i="2" s="1"/>
  <c r="R17" i="2" s="1"/>
  <c r="R22" i="2" s="1"/>
  <c r="R24" i="2" s="1"/>
  <c r="R26" i="2" s="1"/>
  <c r="G15" i="2"/>
  <c r="J11" i="2"/>
  <c r="J15" i="2" s="1"/>
  <c r="J17" i="2" s="1"/>
  <c r="J22" i="2" s="1"/>
  <c r="J24" i="2" s="1"/>
  <c r="J26" i="2" s="1"/>
  <c r="J27" i="2" s="1"/>
  <c r="K73" i="2"/>
  <c r="K42" i="2"/>
  <c r="K51" i="2"/>
  <c r="N12" i="2" l="1"/>
  <c r="O12" i="2"/>
  <c r="O15" i="2" s="1"/>
  <c r="K12" i="2"/>
  <c r="L30" i="2"/>
  <c r="P30" i="2"/>
  <c r="L17" i="2"/>
  <c r="L22" i="2" s="1"/>
  <c r="L24" i="2" s="1"/>
  <c r="L26" i="2" s="1"/>
  <c r="L27" i="2" s="1"/>
  <c r="N13" i="2"/>
  <c r="N15" i="2" s="1"/>
  <c r="G17" i="2"/>
  <c r="G22" i="2" s="1"/>
  <c r="G24" i="2" s="1"/>
  <c r="G26" i="2" s="1"/>
  <c r="G27" i="2" s="1"/>
  <c r="Y15" i="2"/>
  <c r="K17" i="2"/>
  <c r="K22" i="2" s="1"/>
  <c r="K24" i="2" s="1"/>
  <c r="K26" i="2" s="1"/>
  <c r="K27" i="2" s="1"/>
  <c r="O30" i="2"/>
  <c r="K30" i="2"/>
  <c r="O17" i="2" l="1"/>
  <c r="O22" i="2" s="1"/>
  <c r="O24" i="2" s="1"/>
  <c r="O26" i="2" s="1"/>
  <c r="O27" i="2" s="1"/>
  <c r="W12" i="2"/>
  <c r="S30" i="2"/>
  <c r="AA15" i="2"/>
  <c r="K54" i="2"/>
  <c r="Z15" i="2"/>
  <c r="N17" i="2"/>
  <c r="N22" i="2" s="1"/>
  <c r="N24" i="2" s="1"/>
  <c r="N26" i="2" s="1"/>
  <c r="N27" i="2" s="1"/>
  <c r="N30" i="2"/>
  <c r="R30" i="2" l="1"/>
  <c r="AB15" i="2" l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AA30" i="2"/>
  <c r="R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<sst xmlns="http://schemas.openxmlformats.org/spreadsheetml/2006/main" count="139" uniqueCount="127">
  <si>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</si>
  <si>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</si>
  <si>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</si>
  <si>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</si>
  <si>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</si>
  <si>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</si>
  <si>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</si>
  <si>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</si>
  <si>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</si>
  <si>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</si>
  <si>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</si>
  <si>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</si>
  <si>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</si>
  <si>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</si>
  <si>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</si>
  <si>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</si>
  <si>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</si>
  <si>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</si>
  <si>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</si>
  <si>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</si>
  <si>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</si>
  <si>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</si>
  <si>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</si>
  <si>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</si>
  <si>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</si>
  <si>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</si>
  <si>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</si>
  <si>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</si>
  <si>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</si>
  <si>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</si>
  <si>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</si>
  <si>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</si>
  <si>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</si>
  <si>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</si>
  <si>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</si>
  <si>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</si>
  <si>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</si>
  <si>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</si>
  <si>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</si>
  <si>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</si>
  <si>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</si>
  <si>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</si>
  <si>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</si>
  <si>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</si>
  <si>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</si>
  <si>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</si>
  <si>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</si>
  <si>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</si>
  <si>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</si>
  <si>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</si>
  <si>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</si>
  <si>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</si>
  <si>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</si>
  <si>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</si>
  <si>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</si>
  <si>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</si>
  <si>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</si>
  <si>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</si>
  <si>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</si>
  <si>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</si>
  <si>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</si>
  <si>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</si>
  <si>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</si>
  <si>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</si>
  <si>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</si>
  <si>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</si>
  <si>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</si>
  <si>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</si>
  <si>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</si>
  <si>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</si>
  <si>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</si>
  <si>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</si>
  <si>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</si>
  <si>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</si>
  <si>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</si>
  <si>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</si>
  <si>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</si>
  <si>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</si>
  <si>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</si>
  <si>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</si>
  <si>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</si>
  <si>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</si>
  <si>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</si>
  <si>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</si>
  <si>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</si>
  <si>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</si>
  <si>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</si>
  <si>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</si>
  <si>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</si>
  <si>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</si>
  <si>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</si>
  <si>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</si>
  <si>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</si>
  <si>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</si>
  <si>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</si>
  <si>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</si>
  <si>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</si>
  <si>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</si>
  <si>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</si>
  <si>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</si>
  <si>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</si>
  <si>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</si>
  <si>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</si>
  <si>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</si>
  <si>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</si>
  <si>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</si>
  <si>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</si>
  <si>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</si>
  <si>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</si>
  <si>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</si>
  <si>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</si>
  <si>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</si>
  <si>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</si>
  <si>
    <t>Q223</t>
  </si>
  <si>
    <t>If Rev Target is Met</t>
  </si>
  <si>
    <t>Based on Growth %</t>
  </si>
  <si>
    <t>Q323</t>
  </si>
  <si>
    <t>Q423</t>
  </si>
  <si>
    <t>FY23 (Proj)</t>
  </si>
  <si>
    <t>Sub Growth % YOY</t>
  </si>
  <si>
    <t>Sub Growth % QoQ</t>
  </si>
  <si>
    <t>Q124</t>
  </si>
  <si>
    <t>^ Bottom line shows If growth decelerates to 15% before terminal rate</t>
  </si>
  <si>
    <t>Q224</t>
  </si>
  <si>
    <t>Projected</t>
  </si>
  <si>
    <t>Guided Sub Rev</t>
  </si>
  <si>
    <t>Estimated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</si>
</sst>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4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  <xf numFmtId="14" fontId="0" fillId="0" borderId="0" xfId="0" applyNumberFormat="1"/>
    <xf numFmtId="3" fontId="6" fillId="0" borderId="0" xfId="0" applyNumberFormat="1" applyFont="1"/>
    <xf numFmtId="9" fontId="0" fillId="0" borderId="0" xfId="4" applyFont="1" applyAlignment="1">
      <alignment horizontal="right"/>
    </xf>
    <xf numFmtId="9" fontId="1" fillId="0" borderId="0" xfId="4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3" fontId="0" fillId="2" borderId="0" xfId="0" applyNumberFormat="1" applyFill="1"/>
    <xf numFmtId="9" fontId="0" fillId="2" borderId="0" xfId="4" applyFont="1" applyFill="1" applyAlignment="1">
      <alignment horizontal="right"/>
    </xf>
    <xf numFmtId="9" fontId="1" fillId="2" borderId="0" xfId="4" applyFont="1" applyFill="1" applyAlignment="1">
      <alignment horizontal="right"/>
    </xf>
    <xf numFmtId="43" fontId="0" fillId="2" borderId="0" xfId="2" applyFont="1" applyFill="1"/>
    <xf numFmtId="3" fontId="1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0" fillId="0" borderId="0" xfId="4" applyFont="1" applyFill="1" applyAlignment="1">
      <alignment horizontal="right"/>
    </xf>
    <xf numFmtId="9" fontId="1" fillId="0" borderId="0" xfId="4" applyFont="1" applyFill="1" applyAlignment="1">
      <alignment horizontal="right"/>
    </xf>
    <xf numFmtId="43" fontId="0" fillId="0" borderId="0" xfId="2" applyFont="1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opLeftCell="E1" workbookViewId="0">
      <selection activeCell="L3" sqref="L3"/>
    </sheetView>
  </sheetViews>
  <sheetFormatPr defaultRowHeight="13.2" x14ac:dyDescent="0.25"/>
  <sheetData>
    <row r="2" spans="2:13" x14ac:dyDescent="0.25">
      <c r="B2" t="s">
        <v>64</v>
      </c>
      <c r="K2" t="s">
        <v>0</v>
      </c>
      <c r="L2" s="1">
        <v>646</v>
      </c>
    </row>
    <row r="3" spans="2:13" x14ac:dyDescent="0.25">
      <c r="B3" t="s">
        <v>65</v>
      </c>
      <c r="K3" t="s">
        <v>1</v>
      </c>
      <c r="L3" s="2">
        <v>205</v>
      </c>
      <c r="M3" s="3" t="s">
        <v>117</v>
      </c>
    </row>
    <row r="4" spans="2:13" x14ac:dyDescent="0.25">
      <c r="B4" t="s">
        <v>66</v>
      </c>
      <c r="K4" t="s">
        <v>2</v>
      </c>
      <c r="L4" s="2">
        <f>+L2*L3</f>
        <v>132430</v>
      </c>
    </row>
    <row r="5" spans="2:13" x14ac:dyDescent="0.25">
      <c r="B5" t="s">
        <v>67</v>
      </c>
      <c r="K5" t="s">
        <v>3</v>
      </c>
      <c r="L5" s="2">
        <v>4880</v>
      </c>
      <c r="M5" s="3" t="s">
        <v>117</v>
      </c>
    </row>
    <row r="6" spans="2:13" x14ac:dyDescent="0.25">
      <c r="K6" t="s">
        <v>4</v>
      </c>
      <c r="L6" s="2">
        <v>2280</v>
      </c>
      <c r="M6" s="3" t="s">
        <v>117</v>
      </c>
    </row>
    <row r="7" spans="2:13" x14ac:dyDescent="0.25">
      <c r="K7" t="s">
        <v>5</v>
      </c>
      <c r="L7" s="2">
        <f>+L4-L5+L6</f>
        <v>129830</v>
      </c>
      <c r="M7" s="3"/>
    </row>
    <row r="8" spans="2:13" x14ac:dyDescent="0.25">
      <c r="B8" s="10" t="s">
        <v>73</v>
      </c>
    </row>
    <row r="9" spans="2:13" x14ac:dyDescent="0.25">
      <c r="B9" t="s">
        <v>74</v>
      </c>
    </row>
    <row r="10" spans="2:13" x14ac:dyDescent="0.25">
      <c r="B10" t="s">
        <v>75</v>
      </c>
      <c r="K10" t="s">
        <v>91</v>
      </c>
    </row>
    <row r="11" spans="2:13" x14ac:dyDescent="0.25">
      <c r="B11" t="s">
        <v>76</v>
      </c>
    </row>
    <row r="12" spans="2:13" x14ac:dyDescent="0.25">
      <c r="B12" t="s">
        <v>77</v>
      </c>
    </row>
    <row r="13" spans="2:13" x14ac:dyDescent="0.25">
      <c r="B13" t="s">
        <v>78</v>
      </c>
    </row>
    <row r="14" spans="2:13" x14ac:dyDescent="0.25">
      <c r="B14" t="s">
        <v>79</v>
      </c>
    </row>
    <row r="15" spans="2:13" x14ac:dyDescent="0.25">
      <c r="B15" t="s">
        <v>80</v>
      </c>
    </row>
    <row r="16" spans="2:13" x14ac:dyDescent="0.25">
      <c r="B16" t="s">
        <v>81</v>
      </c>
    </row>
    <row r="17" spans="2:2" x14ac:dyDescent="0.25">
      <c r="B17" t="s">
        <v>82</v>
      </c>
    </row>
    <row r="18" spans="2:2" x14ac:dyDescent="0.25">
      <c r="B18" t="s">
        <v>83</v>
      </c>
    </row>
    <row r="19" spans="2:2" x14ac:dyDescent="0.25">
      <c r="B19" t="s">
        <v>84</v>
      </c>
    </row>
    <row r="20" spans="2:2" x14ac:dyDescent="0.25">
      <c r="B20" t="s">
        <v>85</v>
      </c>
    </row>
    <row r="21" spans="2:2" x14ac:dyDescent="0.25">
      <c r="B21" t="s">
        <v>86</v>
      </c>
    </row>
    <row r="22" spans="2:2" x14ac:dyDescent="0.25">
      <c r="B22" t="s">
        <v>87</v>
      </c>
    </row>
    <row r="23" spans="2:2" x14ac:dyDescent="0.25">
      <c r="B23" t="s">
        <v>88</v>
      </c>
    </row>
    <row r="24" spans="2:2" x14ac:dyDescent="0.25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S73"/>
  <sheetViews>
    <sheetView tabSelected="1" workbookViewId="0">
      <pane xSplit="2" ySplit="2" topLeftCell="Q20" activePane="bottomRight" state="frozen"/>
      <selection pane="topRight" activeCell="C1" sqref="C1"/>
      <selection pane="bottomLeft" activeCell="A3" sqref="A3"/>
      <selection pane="bottomRight" activeCell="X35" sqref="X35"/>
    </sheetView>
  </sheetViews>
  <sheetFormatPr defaultRowHeight="13.2" x14ac:dyDescent="0.25"/>
  <cols>
    <col min="1" max="1" width="5" bestFit="1" customWidth="1"/>
    <col min="2" max="2" width="16.88671875" bestFit="1" customWidth="1"/>
    <col min="3" max="10" width="9.109375" style="3"/>
    <col min="11" max="13" width="11.109375" style="3" bestFit="1" customWidth="1"/>
    <col min="14" max="14" width="12.33203125" style="3" bestFit="1" customWidth="1"/>
    <col min="15" max="15" width="11.109375" bestFit="1" customWidth="1"/>
    <col min="16" max="19" width="11.109375" customWidth="1"/>
    <col min="20" max="20" width="11.109375" style="25" customWidth="1"/>
    <col min="21" max="21" width="11.109375" customWidth="1"/>
    <col min="22" max="22" width="16.6640625" bestFit="1" customWidth="1"/>
    <col min="23" max="23" width="12.6640625" bestFit="1" customWidth="1"/>
    <col min="24" max="24" width="14.5546875" bestFit="1" customWidth="1"/>
    <col min="25" max="25" width="15" bestFit="1" customWidth="1"/>
    <col min="26" max="26" width="9.6640625" bestFit="1" customWidth="1"/>
    <col min="28" max="28" width="10.109375" bestFit="1" customWidth="1"/>
  </cols>
  <sheetData>
    <row r="1" spans="1:97" x14ac:dyDescent="0.25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  <c r="O1" s="21">
        <v>45016</v>
      </c>
      <c r="P1" s="21">
        <v>45107</v>
      </c>
      <c r="Q1" s="21">
        <v>45199</v>
      </c>
      <c r="R1" s="21">
        <v>45291</v>
      </c>
      <c r="S1" s="21">
        <v>45382</v>
      </c>
    </row>
    <row r="2" spans="1:97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113</v>
      </c>
      <c r="Q2" s="3" t="s">
        <v>116</v>
      </c>
      <c r="R2" s="3" t="s">
        <v>117</v>
      </c>
      <c r="S2" s="3" t="s">
        <v>121</v>
      </c>
      <c r="T2" s="26" t="s">
        <v>123</v>
      </c>
      <c r="U2" s="3"/>
      <c r="V2" s="3" t="s">
        <v>118</v>
      </c>
      <c r="W2" s="3" t="s">
        <v>104</v>
      </c>
      <c r="X2" s="3" t="s">
        <v>103</v>
      </c>
      <c r="Y2" s="3" t="s">
        <v>100</v>
      </c>
      <c r="Z2" s="3" t="s">
        <v>101</v>
      </c>
      <c r="AA2" s="3" t="s">
        <v>102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</row>
    <row r="3" spans="1:97" s="2" customFormat="1" x14ac:dyDescent="0.25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O3" s="2">
        <v>1344</v>
      </c>
      <c r="T3" s="27"/>
      <c r="V3" s="2" t="s">
        <v>115</v>
      </c>
      <c r="W3" s="2">
        <v>3450</v>
      </c>
      <c r="X3" s="2">
        <v>4519</v>
      </c>
      <c r="Y3" s="2">
        <v>5896</v>
      </c>
      <c r="Z3" s="2">
        <v>7245</v>
      </c>
      <c r="AA3" s="2">
        <v>8972</v>
      </c>
      <c r="AB3" s="2">
        <f t="shared" ref="AB3:AH3" si="0">AA3*(1+$X$32)</f>
        <v>10945.84</v>
      </c>
      <c r="AC3" s="2">
        <f t="shared" si="0"/>
        <v>13353.924800000001</v>
      </c>
      <c r="AD3" s="22">
        <f t="shared" si="0"/>
        <v>16291.788256</v>
      </c>
      <c r="AE3" s="2">
        <f t="shared" si="0"/>
        <v>19875.981672319998</v>
      </c>
      <c r="AF3" s="2">
        <f t="shared" si="0"/>
        <v>24248.697640230399</v>
      </c>
      <c r="AG3" s="2">
        <f t="shared" si="0"/>
        <v>29583.411121081088</v>
      </c>
      <c r="AH3" s="2">
        <f t="shared" si="0"/>
        <v>36091.761567718924</v>
      </c>
      <c r="AI3" s="2">
        <f t="shared" ref="AI3:BN3" si="1">AH3*(1+$X$33)</f>
        <v>36452.679183396111</v>
      </c>
      <c r="AJ3" s="2">
        <f t="shared" si="1"/>
        <v>36817.20597523007</v>
      </c>
      <c r="AK3" s="2">
        <f t="shared" si="1"/>
        <v>37185.378034982372</v>
      </c>
      <c r="AL3" s="2">
        <f t="shared" si="1"/>
        <v>37557.231815332198</v>
      </c>
      <c r="AM3" s="2">
        <f t="shared" si="1"/>
        <v>37932.804133485522</v>
      </c>
      <c r="AN3" s="2">
        <f t="shared" si="1"/>
        <v>38312.132174820377</v>
      </c>
      <c r="AO3" s="2">
        <f t="shared" si="1"/>
        <v>38695.253496568585</v>
      </c>
      <c r="AP3" s="2">
        <f t="shared" si="1"/>
        <v>39082.206031534268</v>
      </c>
      <c r="AQ3" s="2">
        <f t="shared" si="1"/>
        <v>39473.028091849614</v>
      </c>
      <c r="AR3" s="2">
        <f t="shared" si="1"/>
        <v>39867.758372768112</v>
      </c>
      <c r="AS3" s="2">
        <f t="shared" si="1"/>
        <v>40266.435956495792</v>
      </c>
      <c r="AT3" s="2">
        <f t="shared" si="1"/>
        <v>40669.100316060751</v>
      </c>
      <c r="AU3" s="2">
        <f t="shared" si="1"/>
        <v>41075.79131922136</v>
      </c>
      <c r="AV3" s="2">
        <f t="shared" si="1"/>
        <v>41486.549232413578</v>
      </c>
      <c r="AW3" s="2">
        <f t="shared" si="1"/>
        <v>41901.414724737711</v>
      </c>
      <c r="AX3" s="2">
        <f t="shared" si="1"/>
        <v>42320.428871985088</v>
      </c>
      <c r="AY3" s="2">
        <f t="shared" si="1"/>
        <v>42743.633160704936</v>
      </c>
      <c r="AZ3" s="2">
        <f t="shared" si="1"/>
        <v>43171.069492311988</v>
      </c>
      <c r="BA3" s="2">
        <f t="shared" si="1"/>
        <v>43602.780187235112</v>
      </c>
      <c r="BB3" s="2">
        <f t="shared" si="1"/>
        <v>44038.807989107467</v>
      </c>
      <c r="BC3" s="2">
        <f t="shared" si="1"/>
        <v>44479.196068998543</v>
      </c>
      <c r="BD3" s="2">
        <f t="shared" si="1"/>
        <v>44923.988029688531</v>
      </c>
      <c r="BE3" s="2">
        <f t="shared" si="1"/>
        <v>45373.22790998542</v>
      </c>
      <c r="BF3" s="2">
        <f t="shared" si="1"/>
        <v>45826.960189085272</v>
      </c>
      <c r="BG3" s="2">
        <f t="shared" si="1"/>
        <v>46285.229790976126</v>
      </c>
      <c r="BH3" s="2">
        <f t="shared" si="1"/>
        <v>46748.082088885887</v>
      </c>
      <c r="BI3" s="2">
        <f t="shared" si="1"/>
        <v>47215.562909774744</v>
      </c>
      <c r="BJ3" s="2">
        <f t="shared" si="1"/>
        <v>47687.71853887249</v>
      </c>
      <c r="BK3" s="2">
        <f t="shared" si="1"/>
        <v>48164.595724261213</v>
      </c>
      <c r="BL3" s="2">
        <f t="shared" si="1"/>
        <v>48646.241681503823</v>
      </c>
      <c r="BM3" s="2">
        <f t="shared" si="1"/>
        <v>49132.704098318864</v>
      </c>
      <c r="BN3" s="2">
        <f t="shared" si="1"/>
        <v>49624.031139302053</v>
      </c>
      <c r="BO3" s="2">
        <f t="shared" ref="BO3:CS3" si="2">BN3*(1+$X$33)</f>
        <v>50120.271450695072</v>
      </c>
      <c r="BP3" s="2">
        <f t="shared" si="2"/>
        <v>50621.474165202024</v>
      </c>
      <c r="BQ3" s="2">
        <f t="shared" si="2"/>
        <v>51127.688906854048</v>
      </c>
      <c r="BR3" s="2">
        <f t="shared" si="2"/>
        <v>51638.965795922588</v>
      </c>
      <c r="BS3" s="2">
        <f t="shared" si="2"/>
        <v>52155.355453881813</v>
      </c>
      <c r="BT3" s="2">
        <f t="shared" si="2"/>
        <v>52676.909008420633</v>
      </c>
      <c r="BU3" s="2">
        <f t="shared" si="2"/>
        <v>53203.678098504839</v>
      </c>
      <c r="BV3" s="2">
        <f t="shared" si="2"/>
        <v>53735.714879489889</v>
      </c>
      <c r="BW3" s="2">
        <f t="shared" si="2"/>
        <v>54273.072028284791</v>
      </c>
      <c r="BX3" s="2">
        <f t="shared" si="2"/>
        <v>54815.802748567636</v>
      </c>
      <c r="BY3" s="2">
        <f t="shared" si="2"/>
        <v>55363.960776053311</v>
      </c>
      <c r="BZ3" s="2">
        <f t="shared" si="2"/>
        <v>55917.600383813842</v>
      </c>
      <c r="CA3" s="2">
        <f t="shared" si="2"/>
        <v>56476.776387651982</v>
      </c>
      <c r="CB3" s="2">
        <f t="shared" si="2"/>
        <v>57041.544151528506</v>
      </c>
      <c r="CC3" s="2">
        <f t="shared" si="2"/>
        <v>57611.959593043794</v>
      </c>
      <c r="CD3" s="2">
        <f t="shared" si="2"/>
        <v>58188.079188974232</v>
      </c>
      <c r="CE3" s="2">
        <f t="shared" si="2"/>
        <v>58769.959980863976</v>
      </c>
      <c r="CF3" s="2">
        <f t="shared" si="2"/>
        <v>59357.659580672618</v>
      </c>
      <c r="CG3" s="2">
        <f t="shared" si="2"/>
        <v>59951.236176479346</v>
      </c>
      <c r="CH3" s="2">
        <f t="shared" si="2"/>
        <v>60550.748538244137</v>
      </c>
      <c r="CI3" s="2">
        <f t="shared" si="2"/>
        <v>61156.256023626578</v>
      </c>
      <c r="CJ3" s="2">
        <f t="shared" si="2"/>
        <v>61767.818583862841</v>
      </c>
      <c r="CK3" s="2">
        <f t="shared" si="2"/>
        <v>62385.496769701473</v>
      </c>
      <c r="CL3" s="2">
        <f t="shared" si="2"/>
        <v>63009.351737398487</v>
      </c>
      <c r="CM3" s="2">
        <f t="shared" si="2"/>
        <v>63639.445254772472</v>
      </c>
      <c r="CN3" s="2">
        <f t="shared" si="2"/>
        <v>64275.8397073202</v>
      </c>
      <c r="CO3" s="2">
        <f t="shared" si="2"/>
        <v>64918.598104393401</v>
      </c>
      <c r="CP3" s="2">
        <f t="shared" si="2"/>
        <v>65567.784085437335</v>
      </c>
      <c r="CQ3" s="2">
        <f t="shared" si="2"/>
        <v>66223.461926291711</v>
      </c>
      <c r="CR3" s="2">
        <f t="shared" si="2"/>
        <v>66885.696545554631</v>
      </c>
      <c r="CS3" s="2">
        <f t="shared" si="2"/>
        <v>67554.553511010177</v>
      </c>
    </row>
    <row r="4" spans="1:97" s="2" customFormat="1" x14ac:dyDescent="0.25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  <c r="O4" s="2">
        <v>532</v>
      </c>
      <c r="T4" s="27"/>
      <c r="V4" s="2" t="s">
        <v>114</v>
      </c>
      <c r="W4" s="2">
        <v>3450</v>
      </c>
      <c r="X4" s="2">
        <v>4519</v>
      </c>
      <c r="Y4" s="2">
        <v>5896</v>
      </c>
      <c r="Z4" s="2">
        <v>7245</v>
      </c>
      <c r="AA4" s="2">
        <v>8812</v>
      </c>
      <c r="AB4" s="2">
        <f>AA4*(1+0.22)</f>
        <v>10750.64</v>
      </c>
      <c r="AC4" s="2">
        <f>AB4*(1+0.22)</f>
        <v>13115.780799999999</v>
      </c>
      <c r="AD4" s="7">
        <f>AC4*(1+0.22)</f>
        <v>16001.252575999997</v>
      </c>
      <c r="AE4" s="2">
        <f>AD4*(1+0.15)</f>
        <v>18401.440462399994</v>
      </c>
      <c r="AF4" s="2">
        <f>AE4*(1+0.15)</f>
        <v>21161.656531759993</v>
      </c>
      <c r="AG4" s="2">
        <f>AF4*(1+0.15)</f>
        <v>24335.905011523988</v>
      </c>
      <c r="AH4" s="2">
        <f>AG4*(1+0.15)</f>
        <v>27986.290763252586</v>
      </c>
      <c r="AI4" s="2">
        <f t="shared" ref="AI4:BN4" si="3">AH4*(1+$X$33)</f>
        <v>28266.153670885113</v>
      </c>
      <c r="AJ4" s="2">
        <f t="shared" si="3"/>
        <v>28548.815207593965</v>
      </c>
      <c r="AK4" s="2">
        <f t="shared" si="3"/>
        <v>28834.303359669906</v>
      </c>
      <c r="AL4" s="2">
        <f t="shared" si="3"/>
        <v>29122.646393266605</v>
      </c>
      <c r="AM4" s="2">
        <f t="shared" si="3"/>
        <v>29413.872857199272</v>
      </c>
      <c r="AN4" s="2">
        <f t="shared" si="3"/>
        <v>29708.011585771266</v>
      </c>
      <c r="AO4" s="2">
        <f t="shared" si="3"/>
        <v>30005.091701628979</v>
      </c>
      <c r="AP4" s="2">
        <f t="shared" si="3"/>
        <v>30305.14261864527</v>
      </c>
      <c r="AQ4" s="2">
        <f t="shared" si="3"/>
        <v>30608.194044831722</v>
      </c>
      <c r="AR4" s="2">
        <f t="shared" si="3"/>
        <v>30914.275985280041</v>
      </c>
      <c r="AS4" s="2">
        <f t="shared" si="3"/>
        <v>31223.41874513284</v>
      </c>
      <c r="AT4" s="2">
        <f t="shared" si="3"/>
        <v>31535.652932584169</v>
      </c>
      <c r="AU4" s="2">
        <f t="shared" si="3"/>
        <v>31851.009461910013</v>
      </c>
      <c r="AV4" s="2">
        <f t="shared" si="3"/>
        <v>32169.519556529114</v>
      </c>
      <c r="AW4" s="2">
        <f t="shared" si="3"/>
        <v>32491.214752094405</v>
      </c>
      <c r="AX4" s="2">
        <f t="shared" si="3"/>
        <v>32816.126899615352</v>
      </c>
      <c r="AY4" s="2">
        <f t="shared" si="3"/>
        <v>33144.288168611507</v>
      </c>
      <c r="AZ4" s="2">
        <f t="shared" si="3"/>
        <v>33475.731050297625</v>
      </c>
      <c r="BA4" s="2">
        <f t="shared" si="3"/>
        <v>33810.488360800598</v>
      </c>
      <c r="BB4" s="2">
        <f t="shared" si="3"/>
        <v>34148.593244408607</v>
      </c>
      <c r="BC4" s="2">
        <f t="shared" si="3"/>
        <v>34490.079176852691</v>
      </c>
      <c r="BD4" s="2">
        <f t="shared" si="3"/>
        <v>34834.979968621221</v>
      </c>
      <c r="BE4" s="2">
        <f t="shared" si="3"/>
        <v>35183.329768307434</v>
      </c>
      <c r="BF4" s="2">
        <f t="shared" si="3"/>
        <v>35535.163065990506</v>
      </c>
      <c r="BG4" s="2">
        <f t="shared" si="3"/>
        <v>35890.514696650411</v>
      </c>
      <c r="BH4" s="2">
        <f t="shared" si="3"/>
        <v>36249.419843616917</v>
      </c>
      <c r="BI4" s="2">
        <f t="shared" si="3"/>
        <v>36611.914042053089</v>
      </c>
      <c r="BJ4" s="2">
        <f t="shared" si="3"/>
        <v>36978.03318247362</v>
      </c>
      <c r="BK4" s="2">
        <f t="shared" si="3"/>
        <v>37347.813514298359</v>
      </c>
      <c r="BL4" s="2">
        <f t="shared" si="3"/>
        <v>37721.291649441344</v>
      </c>
      <c r="BM4" s="2">
        <f t="shared" si="3"/>
        <v>38098.504565935757</v>
      </c>
      <c r="BN4" s="2">
        <f t="shared" si="3"/>
        <v>38479.489611595112</v>
      </c>
      <c r="BO4" s="2">
        <f t="shared" ref="BO4:CS4" si="4">BN4*(1+$X$33)</f>
        <v>38864.284507711061</v>
      </c>
      <c r="BP4" s="2">
        <f t="shared" si="4"/>
        <v>39252.927352788174</v>
      </c>
      <c r="BQ4" s="2">
        <f t="shared" si="4"/>
        <v>39645.45662631606</v>
      </c>
      <c r="BR4" s="2">
        <f t="shared" si="4"/>
        <v>40041.911192579224</v>
      </c>
      <c r="BS4" s="2">
        <f t="shared" si="4"/>
        <v>40442.33030450502</v>
      </c>
      <c r="BT4" s="2">
        <f t="shared" si="4"/>
        <v>40846.753607550068</v>
      </c>
      <c r="BU4" s="2">
        <f t="shared" si="4"/>
        <v>41255.221143625567</v>
      </c>
      <c r="BV4" s="2">
        <f t="shared" si="4"/>
        <v>41667.773355061821</v>
      </c>
      <c r="BW4" s="2">
        <f t="shared" si="4"/>
        <v>42084.451088612441</v>
      </c>
      <c r="BX4" s="2">
        <f t="shared" si="4"/>
        <v>42505.295599498568</v>
      </c>
      <c r="BY4" s="2">
        <f t="shared" si="4"/>
        <v>42930.348555493554</v>
      </c>
      <c r="BZ4" s="2">
        <f t="shared" si="4"/>
        <v>43359.652041048488</v>
      </c>
      <c r="CA4" s="2">
        <f t="shared" si="4"/>
        <v>43793.248561458975</v>
      </c>
      <c r="CB4" s="2">
        <f t="shared" si="4"/>
        <v>44231.181047073565</v>
      </c>
      <c r="CC4" s="2">
        <f t="shared" si="4"/>
        <v>44673.492857544305</v>
      </c>
      <c r="CD4" s="2">
        <f t="shared" si="4"/>
        <v>45120.227786119751</v>
      </c>
      <c r="CE4" s="2">
        <f t="shared" si="4"/>
        <v>45571.430063980952</v>
      </c>
      <c r="CF4" s="2">
        <f t="shared" si="4"/>
        <v>46027.144364620763</v>
      </c>
      <c r="CG4" s="2">
        <f t="shared" si="4"/>
        <v>46487.415808266967</v>
      </c>
      <c r="CH4" s="2">
        <f t="shared" si="4"/>
        <v>46952.289966349636</v>
      </c>
      <c r="CI4" s="2">
        <f t="shared" si="4"/>
        <v>47421.812866013133</v>
      </c>
      <c r="CJ4" s="2">
        <f t="shared" si="4"/>
        <v>47896.030994673267</v>
      </c>
      <c r="CK4" s="2">
        <f t="shared" si="4"/>
        <v>48374.991304620002</v>
      </c>
      <c r="CL4" s="2">
        <f t="shared" si="4"/>
        <v>48858.741217666204</v>
      </c>
      <c r="CM4" s="2">
        <f t="shared" si="4"/>
        <v>49347.328629842865</v>
      </c>
      <c r="CN4" s="2">
        <f t="shared" si="4"/>
        <v>49840.801916141296</v>
      </c>
      <c r="CO4" s="2">
        <f t="shared" si="4"/>
        <v>50339.209935302708</v>
      </c>
      <c r="CP4" s="2">
        <f t="shared" si="4"/>
        <v>50842.602034655734</v>
      </c>
      <c r="CQ4" s="2">
        <f t="shared" si="4"/>
        <v>51351.028055002294</v>
      </c>
      <c r="CR4" s="2">
        <f t="shared" si="4"/>
        <v>51864.538335552315</v>
      </c>
      <c r="CS4" s="2">
        <f t="shared" si="4"/>
        <v>52383.183718907836</v>
      </c>
    </row>
    <row r="5" spans="1:97" s="2" customFormat="1" x14ac:dyDescent="0.25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  <c r="O5" s="2">
        <v>220</v>
      </c>
      <c r="T5" s="27"/>
      <c r="AE5" s="2" t="s">
        <v>122</v>
      </c>
    </row>
    <row r="6" spans="1:97" s="2" customFormat="1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T6" s="27"/>
    </row>
    <row r="7" spans="1:97" s="2" customFormat="1" x14ac:dyDescent="0.25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  <c r="O7" s="2">
        <f>0.5*O8</f>
        <v>7000</v>
      </c>
      <c r="P7" s="2">
        <v>7200</v>
      </c>
      <c r="R7" s="2">
        <f>1.24*O7</f>
        <v>8680</v>
      </c>
      <c r="S7" s="2">
        <v>8450</v>
      </c>
      <c r="T7" s="27"/>
    </row>
    <row r="8" spans="1:97" s="2" customFormat="1" x14ac:dyDescent="0.25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  <c r="O8" s="2">
        <v>14000</v>
      </c>
      <c r="P8" s="2">
        <v>14200</v>
      </c>
      <c r="S8" s="2">
        <v>17700</v>
      </c>
      <c r="T8" s="27"/>
    </row>
    <row r="9" spans="1:97" s="2" customFormat="1" x14ac:dyDescent="0.25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  <c r="O9" s="2">
        <v>1790</v>
      </c>
      <c r="T9" s="27"/>
    </row>
    <row r="10" spans="1:97" x14ac:dyDescent="0.25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  <c r="O10" s="3">
        <v>234</v>
      </c>
      <c r="P10" s="3"/>
      <c r="Q10" s="3"/>
      <c r="R10" s="3"/>
      <c r="S10" s="3"/>
      <c r="T10" s="26"/>
      <c r="U10" s="3"/>
      <c r="V10" s="13"/>
      <c r="W10" s="13"/>
      <c r="X10" s="13"/>
      <c r="Y10" s="13"/>
    </row>
    <row r="11" spans="1:97" s="2" customFormat="1" x14ac:dyDescent="0.25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  <c r="O11" s="2">
        <v>2024</v>
      </c>
      <c r="P11" s="2">
        <v>2075</v>
      </c>
      <c r="Q11" s="2">
        <v>2216</v>
      </c>
      <c r="R11" s="2">
        <v>2365</v>
      </c>
      <c r="S11" s="2">
        <v>2523</v>
      </c>
      <c r="T11" s="27">
        <f>(2525+2530)/2</f>
        <v>2527.5</v>
      </c>
    </row>
    <row r="12" spans="1:97" s="2" customFormat="1" x14ac:dyDescent="0.25">
      <c r="B12" s="2" t="s">
        <v>120</v>
      </c>
      <c r="C12" s="5"/>
      <c r="D12" s="5"/>
      <c r="E12" s="5"/>
      <c r="F12" s="5"/>
      <c r="G12" s="23"/>
      <c r="H12" s="23"/>
      <c r="I12" s="23"/>
      <c r="J12" s="23"/>
      <c r="K12" s="23">
        <f t="shared" ref="K12:T12" si="5">(K11-J11)/J11</f>
        <v>7.091267235718976E-2</v>
      </c>
      <c r="L12" s="23">
        <f t="shared" si="5"/>
        <v>1.6554261189454321E-2</v>
      </c>
      <c r="M12" s="23">
        <f t="shared" si="5"/>
        <v>5.066344993968637E-2</v>
      </c>
      <c r="N12" s="23">
        <f t="shared" si="5"/>
        <v>6.7738231917336397E-2</v>
      </c>
      <c r="O12" s="23">
        <f t="shared" si="5"/>
        <v>8.8172043010752682E-2</v>
      </c>
      <c r="P12" s="23">
        <f t="shared" si="5"/>
        <v>2.5197628458498024E-2</v>
      </c>
      <c r="Q12" s="23">
        <f t="shared" si="5"/>
        <v>6.7951807228915667E-2</v>
      </c>
      <c r="R12" s="23">
        <f t="shared" si="5"/>
        <v>6.7238267148014438E-2</v>
      </c>
      <c r="S12" s="23">
        <f t="shared" si="5"/>
        <v>6.6807610993657507E-2</v>
      </c>
      <c r="T12" s="28">
        <f t="shared" si="5"/>
        <v>1.7835909631391202E-3</v>
      </c>
      <c r="U12" s="35"/>
      <c r="W12" s="2">
        <f>8600-SUM(O15:P15)</f>
        <v>4353.394166019335</v>
      </c>
      <c r="AB12" s="13"/>
    </row>
    <row r="13" spans="1:97" s="2" customFormat="1" x14ac:dyDescent="0.25">
      <c r="B13" s="2" t="s">
        <v>119</v>
      </c>
      <c r="C13" s="5"/>
      <c r="D13" s="5"/>
      <c r="E13" s="5"/>
      <c r="F13" s="5"/>
      <c r="G13" s="23"/>
      <c r="H13" s="23"/>
      <c r="I13" s="23"/>
      <c r="J13" s="23"/>
      <c r="K13" s="24">
        <f t="shared" ref="K13:T13" si="6">(K11-G11)/G11</f>
        <v>0.26140757927300851</v>
      </c>
      <c r="L13" s="24">
        <f t="shared" si="6"/>
        <v>0.24661654135338346</v>
      </c>
      <c r="M13" s="24">
        <f t="shared" si="6"/>
        <v>0.22074281709880869</v>
      </c>
      <c r="N13" s="24">
        <f t="shared" si="6"/>
        <v>0.22127380170715694</v>
      </c>
      <c r="O13" s="24">
        <f t="shared" si="6"/>
        <v>0.24095646842427959</v>
      </c>
      <c r="P13" s="24">
        <f t="shared" si="6"/>
        <v>0.25150784077201449</v>
      </c>
      <c r="Q13" s="24">
        <f t="shared" si="6"/>
        <v>0.27210103329506313</v>
      </c>
      <c r="R13" s="24">
        <f t="shared" si="6"/>
        <v>0.271505376344086</v>
      </c>
      <c r="S13" s="24">
        <f t="shared" si="6"/>
        <v>0.24654150197628458</v>
      </c>
      <c r="T13" s="29">
        <f t="shared" si="6"/>
        <v>0.21807228915662652</v>
      </c>
      <c r="U13" s="36"/>
      <c r="AB13" s="2">
        <f>AB11+R14*4</f>
        <v>288</v>
      </c>
    </row>
    <row r="14" spans="1:97" s="2" customFormat="1" x14ac:dyDescent="0.25">
      <c r="B14" s="2" t="s">
        <v>21</v>
      </c>
      <c r="C14" s="5"/>
      <c r="D14" s="5"/>
      <c r="E14" s="5"/>
      <c r="F14" s="5"/>
      <c r="G14" s="5">
        <v>67</v>
      </c>
      <c r="H14" s="5">
        <v>79</v>
      </c>
      <c r="I14" s="5">
        <v>85</v>
      </c>
      <c r="J14" s="5">
        <f>323-SUM(G14:I14)</f>
        <v>92</v>
      </c>
      <c r="K14" s="5">
        <v>91</v>
      </c>
      <c r="L14" s="5">
        <v>94</v>
      </c>
      <c r="M14" s="5">
        <v>89</v>
      </c>
      <c r="N14" s="5">
        <f>354-SUM(K14:M14)</f>
        <v>80</v>
      </c>
      <c r="O14" s="2">
        <v>72</v>
      </c>
      <c r="P14" s="2">
        <v>75</v>
      </c>
      <c r="Q14" s="2">
        <v>72</v>
      </c>
      <c r="R14" s="2">
        <v>72</v>
      </c>
      <c r="S14" s="2">
        <v>80</v>
      </c>
      <c r="T14" s="30">
        <f>3%*T11</f>
        <v>75.825000000000003</v>
      </c>
      <c r="U14" s="37"/>
    </row>
    <row r="15" spans="1:97" s="7" customFormat="1" x14ac:dyDescent="0.25">
      <c r="B15" s="7" t="s">
        <v>8</v>
      </c>
      <c r="C15" s="8"/>
      <c r="D15" s="8"/>
      <c r="E15" s="8"/>
      <c r="F15" s="8"/>
      <c r="G15" s="8">
        <f>+G11+G14</f>
        <v>1360</v>
      </c>
      <c r="H15" s="8">
        <v>1409</v>
      </c>
      <c r="I15" s="8">
        <f>SUM(I11:I14)</f>
        <v>1512</v>
      </c>
      <c r="J15" s="8">
        <f>SUM(J11:J14)</f>
        <v>1615</v>
      </c>
      <c r="K15" s="8">
        <f>+K11+K14</f>
        <v>1722</v>
      </c>
      <c r="L15" s="8">
        <f t="shared" ref="L15:T15" si="7">SUM(L11:L14)</f>
        <v>1752.2631708025428</v>
      </c>
      <c r="M15" s="8">
        <f t="shared" si="7"/>
        <v>1831.2714062670386</v>
      </c>
      <c r="N15" s="8">
        <f t="shared" si="7"/>
        <v>1940.2890120336244</v>
      </c>
      <c r="O15" s="8">
        <f t="shared" si="7"/>
        <v>2096.3291285114346</v>
      </c>
      <c r="P15" s="8">
        <f t="shared" si="7"/>
        <v>2150.2767054692304</v>
      </c>
      <c r="Q15" s="8">
        <f t="shared" si="7"/>
        <v>2288.3400528405241</v>
      </c>
      <c r="R15" s="8">
        <f t="shared" si="7"/>
        <v>2437.3387436434923</v>
      </c>
      <c r="S15" s="8">
        <f t="shared" si="7"/>
        <v>2603.3133491129702</v>
      </c>
      <c r="T15" s="31">
        <f t="shared" si="7"/>
        <v>2603.5448558801195</v>
      </c>
      <c r="U15" s="8"/>
      <c r="V15" s="2" t="s">
        <v>124</v>
      </c>
      <c r="W15" s="2">
        <v>3460.4369999999999</v>
      </c>
      <c r="X15" s="2">
        <v>4519.4840000000004</v>
      </c>
      <c r="Y15" s="2">
        <f>SUM(G15:J15)</f>
        <v>5896</v>
      </c>
      <c r="Z15" s="2">
        <f>SUM(K15:N15)</f>
        <v>7245.8235891032054</v>
      </c>
      <c r="AA15" s="2">
        <f>SUM($O$15:$R$15)</f>
        <v>8972.284630464681</v>
      </c>
      <c r="AB15" s="2">
        <f>AA15*(1+$X$32)</f>
        <v>10946.187249166911</v>
      </c>
      <c r="AC15" s="2">
        <f>AB15*(1+$X$32)</f>
        <v>13354.34844398363</v>
      </c>
      <c r="AD15" s="22">
        <f t="shared" ref="AD15" si="8">AC15*(1+$X$32)</f>
        <v>16292.305101660029</v>
      </c>
      <c r="AE15" s="2">
        <f t="shared" ref="AE15" si="9">AD15*(1+$X$32)</f>
        <v>19876.612224025237</v>
      </c>
      <c r="AF15" s="2">
        <f t="shared" ref="AF15" si="10">AE15*(1+$X$32)</f>
        <v>24249.466913310789</v>
      </c>
      <c r="AG15" s="2">
        <f t="shared" ref="AG15" si="11">AF15*(1+$X$32)</f>
        <v>29584.349634239163</v>
      </c>
      <c r="AH15" s="2">
        <f t="shared" ref="AH15:AJ15" si="12">AG15*(1+$X$32)</f>
        <v>36092.906553771776</v>
      </c>
      <c r="AI15" s="2">
        <f t="shared" si="12"/>
        <v>44033.345995601565</v>
      </c>
      <c r="AJ15" s="2">
        <f t="shared" si="12"/>
        <v>53720.682114633906</v>
      </c>
      <c r="AK15" s="7">
        <f t="shared" ref="AK15:BP15" si="13">AJ15*(1+$X$33)</f>
        <v>54257.888935780247</v>
      </c>
      <c r="AL15" s="7">
        <f t="shared" si="13"/>
        <v>54800.467825138054</v>
      </c>
      <c r="AM15" s="7">
        <f t="shared" si="13"/>
        <v>55348.472503389436</v>
      </c>
      <c r="AN15" s="7">
        <f t="shared" si="13"/>
        <v>55901.957228423329</v>
      </c>
      <c r="AO15" s="7">
        <f t="shared" si="13"/>
        <v>56460.976800707562</v>
      </c>
      <c r="AP15" s="7">
        <f t="shared" si="13"/>
        <v>57025.586568714636</v>
      </c>
      <c r="AQ15" s="7">
        <f t="shared" si="13"/>
        <v>57595.842434401784</v>
      </c>
      <c r="AR15" s="7">
        <f t="shared" si="13"/>
        <v>58171.800858745803</v>
      </c>
      <c r="AS15" s="7">
        <f t="shared" si="13"/>
        <v>58753.51886733326</v>
      </c>
      <c r="AT15" s="7">
        <f t="shared" si="13"/>
        <v>59341.054056006593</v>
      </c>
      <c r="AU15" s="7">
        <f t="shared" si="13"/>
        <v>59934.464596566657</v>
      </c>
      <c r="AV15" s="7">
        <f t="shared" si="13"/>
        <v>60533.809242532327</v>
      </c>
      <c r="AW15" s="7">
        <f t="shared" si="13"/>
        <v>61139.147334957648</v>
      </c>
      <c r="AX15" s="7">
        <f t="shared" si="13"/>
        <v>61750.538808307225</v>
      </c>
      <c r="AY15" s="7">
        <f t="shared" si="13"/>
        <v>62368.044196390299</v>
      </c>
      <c r="AZ15" s="7">
        <f t="shared" si="13"/>
        <v>62991.724638354201</v>
      </c>
      <c r="BA15" s="7">
        <f t="shared" si="13"/>
        <v>63621.641884737743</v>
      </c>
      <c r="BB15" s="7">
        <f t="shared" si="13"/>
        <v>64257.858303585119</v>
      </c>
      <c r="BC15" s="7">
        <f t="shared" si="13"/>
        <v>64900.43688662097</v>
      </c>
      <c r="BD15" s="7">
        <f t="shared" si="13"/>
        <v>65549.441255487181</v>
      </c>
      <c r="BE15" s="7">
        <f t="shared" si="13"/>
        <v>66204.935668042061</v>
      </c>
      <c r="BF15" s="7">
        <f t="shared" si="13"/>
        <v>66866.985024722482</v>
      </c>
      <c r="BG15" s="7">
        <f t="shared" si="13"/>
        <v>67535.65487496971</v>
      </c>
      <c r="BH15" s="7">
        <f t="shared" si="13"/>
        <v>68211.011423719407</v>
      </c>
      <c r="BI15" s="7">
        <f t="shared" si="13"/>
        <v>68893.121537956598</v>
      </c>
      <c r="BJ15" s="7">
        <f t="shared" si="13"/>
        <v>69582.05275333616</v>
      </c>
      <c r="BK15" s="7">
        <f t="shared" si="13"/>
        <v>70277.87328086952</v>
      </c>
      <c r="BL15" s="7">
        <f t="shared" si="13"/>
        <v>70980.65201367822</v>
      </c>
      <c r="BM15" s="7">
        <f t="shared" si="13"/>
        <v>71690.458533815006</v>
      </c>
      <c r="BN15" s="7">
        <f t="shared" si="13"/>
        <v>72407.36311915316</v>
      </c>
      <c r="BO15" s="7">
        <f t="shared" si="13"/>
        <v>73131.436750344699</v>
      </c>
      <c r="BP15" s="7">
        <f t="shared" si="13"/>
        <v>73862.751117848151</v>
      </c>
      <c r="BQ15" s="7">
        <f t="shared" ref="BQ15:CQ15" si="14">BP15*(1+$X$33)</f>
        <v>74601.378629026629</v>
      </c>
      <c r="BR15" s="7">
        <f t="shared" si="14"/>
        <v>75347.392415316892</v>
      </c>
      <c r="BS15" s="7">
        <f t="shared" si="14"/>
        <v>76100.866339470056</v>
      </c>
      <c r="BT15" s="7">
        <f t="shared" si="14"/>
        <v>76861.875002864763</v>
      </c>
      <c r="BU15" s="7">
        <f t="shared" si="14"/>
        <v>77630.49375289341</v>
      </c>
      <c r="BV15" s="7">
        <f t="shared" si="14"/>
        <v>78406.798690422351</v>
      </c>
      <c r="BW15" s="7">
        <f t="shared" si="14"/>
        <v>79190.866677326572</v>
      </c>
      <c r="BX15" s="7">
        <f t="shared" si="14"/>
        <v>79982.775344099835</v>
      </c>
      <c r="BY15" s="7">
        <f t="shared" si="14"/>
        <v>80782.603097540836</v>
      </c>
      <c r="BZ15" s="7">
        <f t="shared" si="14"/>
        <v>81590.429128516247</v>
      </c>
      <c r="CA15" s="7">
        <f t="shared" si="14"/>
        <v>82406.333419801405</v>
      </c>
      <c r="CB15" s="7">
        <f t="shared" si="14"/>
        <v>83230.396753999419</v>
      </c>
      <c r="CC15" s="7">
        <f t="shared" si="14"/>
        <v>84062.700721539411</v>
      </c>
      <c r="CD15" s="7">
        <f t="shared" si="14"/>
        <v>84903.327728754812</v>
      </c>
      <c r="CE15" s="7">
        <f t="shared" si="14"/>
        <v>85752.361006042367</v>
      </c>
      <c r="CF15" s="7">
        <f t="shared" si="14"/>
        <v>86609.88461610279</v>
      </c>
      <c r="CG15" s="7">
        <f t="shared" si="14"/>
        <v>87475.983462263815</v>
      </c>
      <c r="CH15" s="7">
        <f t="shared" si="14"/>
        <v>88350.74329688646</v>
      </c>
      <c r="CI15" s="7">
        <f t="shared" si="14"/>
        <v>89234.250729855325</v>
      </c>
      <c r="CJ15" s="7">
        <f t="shared" si="14"/>
        <v>90126.59323715388</v>
      </c>
      <c r="CK15" s="7">
        <f t="shared" si="14"/>
        <v>91027.859169525414</v>
      </c>
      <c r="CL15" s="7">
        <f t="shared" si="14"/>
        <v>91938.137761220671</v>
      </c>
      <c r="CM15" s="7">
        <f t="shared" si="14"/>
        <v>92857.519138832882</v>
      </c>
      <c r="CN15" s="7">
        <f t="shared" si="14"/>
        <v>93786.094330221211</v>
      </c>
      <c r="CO15" s="7">
        <f t="shared" si="14"/>
        <v>94723.955273523417</v>
      </c>
      <c r="CP15" s="7">
        <f t="shared" si="14"/>
        <v>95671.194826258652</v>
      </c>
      <c r="CQ15" s="7">
        <f t="shared" si="14"/>
        <v>96627.906774521238</v>
      </c>
      <c r="CR15" s="7">
        <f t="shared" ref="CR15:CS15" si="15">CQ15*(1+$X$33)</f>
        <v>97594.185842266452</v>
      </c>
      <c r="CS15" s="7">
        <f t="shared" si="15"/>
        <v>98570.127700689118</v>
      </c>
    </row>
    <row r="16" spans="1:97" s="2" customFormat="1" x14ac:dyDescent="0.25">
      <c r="B16" s="2" t="s">
        <v>22</v>
      </c>
      <c r="C16" s="5"/>
      <c r="D16" s="5"/>
      <c r="E16" s="5"/>
      <c r="F16" s="5"/>
      <c r="G16" s="5">
        <v>299</v>
      </c>
      <c r="H16" s="5">
        <v>329</v>
      </c>
      <c r="I16" s="5">
        <v>350</v>
      </c>
      <c r="J16" s="5">
        <f>1353-SUM(G16:I16)</f>
        <v>375</v>
      </c>
      <c r="K16" s="5">
        <f>275+94</f>
        <v>369</v>
      </c>
      <c r="L16" s="5">
        <v>389</v>
      </c>
      <c r="M16" s="5">
        <v>400</v>
      </c>
      <c r="N16" s="5">
        <f>1573-SUM(K16:M16)</f>
        <v>415</v>
      </c>
      <c r="O16" s="2">
        <v>438</v>
      </c>
      <c r="P16" s="2">
        <f>P15-P17</f>
        <v>471.27670546923036</v>
      </c>
      <c r="Q16" s="2">
        <v>496</v>
      </c>
      <c r="R16" s="2">
        <f>1921-SUM(O16:Q16)</f>
        <v>515.72329453076964</v>
      </c>
      <c r="S16" s="2">
        <f>520</f>
        <v>520</v>
      </c>
      <c r="T16" s="27"/>
      <c r="V16" s="2" t="s">
        <v>126</v>
      </c>
      <c r="AB16" s="2">
        <f>1.03*$AB$17</f>
        <v>10884.525</v>
      </c>
      <c r="AC16" s="13"/>
      <c r="AD16" s="13"/>
    </row>
    <row r="17" spans="2:38" s="2" customFormat="1" x14ac:dyDescent="0.25">
      <c r="B17" s="2" t="s">
        <v>23</v>
      </c>
      <c r="C17" s="5"/>
      <c r="D17" s="5"/>
      <c r="E17" s="5"/>
      <c r="F17" s="5"/>
      <c r="G17" s="5">
        <f>+G15-G16</f>
        <v>1061</v>
      </c>
      <c r="H17" s="5">
        <f>+H15-H16</f>
        <v>1080</v>
      </c>
      <c r="I17" s="5">
        <f>+I15-I16</f>
        <v>1162</v>
      </c>
      <c r="J17" s="5">
        <f>+J15-J16</f>
        <v>1240</v>
      </c>
      <c r="K17" s="5">
        <f>+K15-K16</f>
        <v>1353</v>
      </c>
      <c r="L17" s="5">
        <f>L15-L16</f>
        <v>1363.2631708025428</v>
      </c>
      <c r="M17" s="5">
        <f>M15-M16</f>
        <v>1431.2714062670386</v>
      </c>
      <c r="N17" s="5">
        <f>N15-N16</f>
        <v>1525.2890120336244</v>
      </c>
      <c r="O17" s="5">
        <f>O15-O16</f>
        <v>1658.3291285114346</v>
      </c>
      <c r="P17" s="5">
        <v>1679</v>
      </c>
      <c r="Q17" s="5">
        <f>Q15-Q16</f>
        <v>1792.3400528405241</v>
      </c>
      <c r="R17" s="5">
        <f>R15-R16</f>
        <v>1921.6154491127227</v>
      </c>
      <c r="S17" s="5">
        <f>S15-S16</f>
        <v>2083.3133491129702</v>
      </c>
      <c r="T17" s="32"/>
      <c r="U17" s="5"/>
      <c r="V17" s="2" t="s">
        <v>125</v>
      </c>
      <c r="X17" s="13"/>
      <c r="Y17" s="13"/>
      <c r="Z17" s="13"/>
      <c r="AB17" s="2">
        <f>(10560+10575)/2</f>
        <v>10567.5</v>
      </c>
    </row>
    <row r="18" spans="2:38" s="2" customFormat="1" x14ac:dyDescent="0.25">
      <c r="B18" s="2" t="s">
        <v>24</v>
      </c>
      <c r="C18" s="5"/>
      <c r="D18" s="5"/>
      <c r="E18" s="5"/>
      <c r="F18" s="5"/>
      <c r="G18" s="5">
        <v>524</v>
      </c>
      <c r="H18" s="5">
        <v>557</v>
      </c>
      <c r="I18" s="5">
        <v>579</v>
      </c>
      <c r="J18" s="5">
        <f>2292-SUM(G18:I18)</f>
        <v>632</v>
      </c>
      <c r="K18" s="5">
        <v>673</v>
      </c>
      <c r="L18" s="5">
        <v>722</v>
      </c>
      <c r="M18" s="5">
        <v>697</v>
      </c>
      <c r="N18" s="5">
        <f>2814-SUM(K18:M18)</f>
        <v>722</v>
      </c>
      <c r="O18" s="2">
        <v>823</v>
      </c>
      <c r="P18" s="2">
        <v>832</v>
      </c>
      <c r="Q18" s="2">
        <v>799</v>
      </c>
      <c r="R18" s="2">
        <f>3301-SUM(O18:Q18)</f>
        <v>847</v>
      </c>
      <c r="S18" s="2">
        <v>923</v>
      </c>
      <c r="T18" s="27"/>
    </row>
    <row r="19" spans="2:38" s="2" customFormat="1" x14ac:dyDescent="0.25">
      <c r="B19" s="2" t="s">
        <v>25</v>
      </c>
      <c r="C19" s="5"/>
      <c r="D19" s="5"/>
      <c r="E19" s="5"/>
      <c r="F19" s="5"/>
      <c r="G19" s="5">
        <v>314</v>
      </c>
      <c r="H19" s="5">
        <v>333</v>
      </c>
      <c r="I19" s="5">
        <v>358</v>
      </c>
      <c r="J19" s="5">
        <f>1397-SUM(G19:I19)</f>
        <v>392</v>
      </c>
      <c r="K19" s="5">
        <v>414</v>
      </c>
      <c r="L19" s="5">
        <v>444</v>
      </c>
      <c r="M19" s="5">
        <v>456</v>
      </c>
      <c r="N19" s="5">
        <f>1768-SUM(K19:M19)</f>
        <v>454</v>
      </c>
      <c r="O19" s="2">
        <v>492</v>
      </c>
      <c r="P19" s="2">
        <v>521</v>
      </c>
      <c r="Q19" s="2">
        <v>549</v>
      </c>
      <c r="R19" s="2">
        <f>2124-SUM(O19:Q19)</f>
        <v>562</v>
      </c>
      <c r="S19" s="2">
        <v>606</v>
      </c>
      <c r="T19" s="27"/>
    </row>
    <row r="20" spans="2:38" s="2" customFormat="1" x14ac:dyDescent="0.25">
      <c r="B20" s="2" t="s">
        <v>26</v>
      </c>
      <c r="C20" s="5"/>
      <c r="D20" s="5"/>
      <c r="E20" s="5"/>
      <c r="F20" s="5"/>
      <c r="G20" s="5">
        <v>126</v>
      </c>
      <c r="H20" s="5">
        <v>139</v>
      </c>
      <c r="I20" s="5">
        <v>151</v>
      </c>
      <c r="J20" s="5">
        <f>597-SUM(G20:I20)</f>
        <v>181</v>
      </c>
      <c r="K20" s="5">
        <v>179</v>
      </c>
      <c r="L20" s="5">
        <v>175</v>
      </c>
      <c r="M20" s="5">
        <v>187</v>
      </c>
      <c r="N20" s="5">
        <f>735-SUM(K20:M20)</f>
        <v>194</v>
      </c>
      <c r="O20" s="2">
        <v>199</v>
      </c>
      <c r="P20" s="2">
        <v>209</v>
      </c>
      <c r="Q20" s="2">
        <v>213</v>
      </c>
      <c r="R20" s="2">
        <f>863-SUM(O20:Q20)</f>
        <v>242</v>
      </c>
      <c r="S20" s="2">
        <v>222</v>
      </c>
      <c r="T20" s="27"/>
    </row>
    <row r="21" spans="2:38" s="2" customFormat="1" x14ac:dyDescent="0.25">
      <c r="B21" s="2" t="s">
        <v>27</v>
      </c>
      <c r="C21" s="5"/>
      <c r="D21" s="5"/>
      <c r="E21" s="5"/>
      <c r="F21" s="5"/>
      <c r="G21" s="5">
        <f t="shared" ref="G21:S21" si="16">SUM(G18:G20)</f>
        <v>964</v>
      </c>
      <c r="H21" s="5">
        <f t="shared" si="16"/>
        <v>1029</v>
      </c>
      <c r="I21" s="5">
        <f t="shared" si="16"/>
        <v>1088</v>
      </c>
      <c r="J21" s="5">
        <f t="shared" si="16"/>
        <v>1205</v>
      </c>
      <c r="K21" s="5">
        <f t="shared" si="16"/>
        <v>1266</v>
      </c>
      <c r="L21" s="5">
        <f t="shared" si="16"/>
        <v>1341</v>
      </c>
      <c r="M21" s="5">
        <f t="shared" si="16"/>
        <v>1340</v>
      </c>
      <c r="N21" s="5">
        <f t="shared" si="16"/>
        <v>1370</v>
      </c>
      <c r="O21" s="5">
        <f t="shared" si="16"/>
        <v>1514</v>
      </c>
      <c r="P21" s="5">
        <f t="shared" si="16"/>
        <v>1562</v>
      </c>
      <c r="Q21" s="5">
        <f t="shared" si="16"/>
        <v>1561</v>
      </c>
      <c r="R21" s="5">
        <f t="shared" si="16"/>
        <v>1651</v>
      </c>
      <c r="S21" s="5">
        <f t="shared" si="16"/>
        <v>1751</v>
      </c>
      <c r="T21" s="32"/>
      <c r="U21" s="5"/>
    </row>
    <row r="22" spans="2:38" s="2" customFormat="1" x14ac:dyDescent="0.25">
      <c r="B22" s="2" t="s">
        <v>28</v>
      </c>
      <c r="C22" s="5"/>
      <c r="D22" s="5"/>
      <c r="E22" s="5"/>
      <c r="F22" s="5"/>
      <c r="G22" s="5">
        <f t="shared" ref="G22:S22" si="17">G17-G21</f>
        <v>97</v>
      </c>
      <c r="H22" s="5">
        <f t="shared" si="17"/>
        <v>51</v>
      </c>
      <c r="I22" s="5">
        <f t="shared" si="17"/>
        <v>74</v>
      </c>
      <c r="J22" s="5">
        <f t="shared" si="17"/>
        <v>35</v>
      </c>
      <c r="K22" s="5">
        <f t="shared" si="17"/>
        <v>87</v>
      </c>
      <c r="L22" s="5">
        <f t="shared" si="17"/>
        <v>22.263170802542845</v>
      </c>
      <c r="M22" s="5">
        <f t="shared" si="17"/>
        <v>91.271406267038628</v>
      </c>
      <c r="N22" s="5">
        <f t="shared" si="17"/>
        <v>155.28901203362443</v>
      </c>
      <c r="O22" s="5">
        <f t="shared" si="17"/>
        <v>144.32912851143465</v>
      </c>
      <c r="P22" s="5">
        <f t="shared" si="17"/>
        <v>117</v>
      </c>
      <c r="Q22" s="5">
        <f t="shared" si="17"/>
        <v>231.34005284052409</v>
      </c>
      <c r="R22" s="5">
        <f t="shared" si="17"/>
        <v>270.61544911272267</v>
      </c>
      <c r="S22" s="5">
        <f t="shared" si="17"/>
        <v>332.31334911297017</v>
      </c>
      <c r="T22" s="32"/>
      <c r="U22" s="5"/>
    </row>
    <row r="23" spans="2:38" s="2" customFormat="1" x14ac:dyDescent="0.25">
      <c r="B23" s="2" t="s">
        <v>33</v>
      </c>
      <c r="C23" s="5"/>
      <c r="D23" s="5"/>
      <c r="E23" s="5"/>
      <c r="F23" s="5"/>
      <c r="G23" s="5">
        <f>-7+9</f>
        <v>2</v>
      </c>
      <c r="H23" s="5">
        <f>-7+6</f>
        <v>-1</v>
      </c>
      <c r="I23" s="5">
        <f>-7+1</f>
        <v>-6</v>
      </c>
      <c r="J23" s="5">
        <f>-28+20-SUM(G23:I23)</f>
        <v>-3</v>
      </c>
      <c r="K23" s="5">
        <f>6-8</f>
        <v>-2</v>
      </c>
      <c r="L23" s="5">
        <f>-6+13</f>
        <v>7</v>
      </c>
      <c r="M23" s="5">
        <f>-8+19</f>
        <v>11</v>
      </c>
      <c r="N23" s="5">
        <f>-27+71-SUM(K23:M23)</f>
        <v>28</v>
      </c>
      <c r="O23" s="2">
        <f>60-16</f>
        <v>44</v>
      </c>
      <c r="P23" s="2">
        <v>74</v>
      </c>
      <c r="Q23" s="2">
        <f>82-14</f>
        <v>68</v>
      </c>
      <c r="R23" s="2">
        <f>302+56-SUM(O23:Q23)</f>
        <v>172</v>
      </c>
      <c r="S23" s="2">
        <f>101-8</f>
        <v>93</v>
      </c>
      <c r="T23" s="27"/>
    </row>
    <row r="24" spans="2:38" s="2" customFormat="1" x14ac:dyDescent="0.25">
      <c r="B24" s="2" t="s">
        <v>32</v>
      </c>
      <c r="C24" s="5"/>
      <c r="D24" s="5"/>
      <c r="E24" s="5"/>
      <c r="F24" s="5"/>
      <c r="G24" s="5">
        <f t="shared" ref="G24:S24" si="18">G22+G23</f>
        <v>99</v>
      </c>
      <c r="H24" s="5">
        <f t="shared" si="18"/>
        <v>50</v>
      </c>
      <c r="I24" s="5">
        <f t="shared" si="18"/>
        <v>68</v>
      </c>
      <c r="J24" s="5">
        <f t="shared" si="18"/>
        <v>32</v>
      </c>
      <c r="K24" s="5">
        <f t="shared" si="18"/>
        <v>85</v>
      </c>
      <c r="L24" s="5">
        <f t="shared" si="18"/>
        <v>29.263170802542845</v>
      </c>
      <c r="M24" s="5">
        <f t="shared" si="18"/>
        <v>102.27140626703863</v>
      </c>
      <c r="N24" s="5">
        <f t="shared" si="18"/>
        <v>183.28901203362443</v>
      </c>
      <c r="O24" s="5">
        <f t="shared" si="18"/>
        <v>188.32912851143465</v>
      </c>
      <c r="P24" s="5">
        <f t="shared" si="18"/>
        <v>191</v>
      </c>
      <c r="Q24" s="5">
        <f t="shared" si="18"/>
        <v>299.34005284052409</v>
      </c>
      <c r="R24" s="5">
        <f t="shared" si="18"/>
        <v>442.61544911272267</v>
      </c>
      <c r="S24" s="5">
        <f t="shared" si="18"/>
        <v>425.31334911297017</v>
      </c>
      <c r="T24" s="32"/>
      <c r="U24" s="5"/>
    </row>
    <row r="25" spans="2:38" s="2" customFormat="1" x14ac:dyDescent="0.25">
      <c r="B25" s="2" t="s">
        <v>31</v>
      </c>
      <c r="C25" s="5"/>
      <c r="D25" s="5"/>
      <c r="E25" s="5"/>
      <c r="F25" s="5"/>
      <c r="G25" s="5">
        <v>17</v>
      </c>
      <c r="H25" s="5">
        <v>-9</v>
      </c>
      <c r="I25" s="5">
        <v>5</v>
      </c>
      <c r="J25" s="5">
        <f>19-SUM(G25:I25)</f>
        <v>6</v>
      </c>
      <c r="K25" s="5">
        <v>10</v>
      </c>
      <c r="L25" s="5">
        <v>9</v>
      </c>
      <c r="M25" s="5">
        <v>22</v>
      </c>
      <c r="N25" s="5">
        <f>74-SUM(K25:M25)</f>
        <v>33</v>
      </c>
      <c r="O25" s="2">
        <v>38</v>
      </c>
      <c r="P25" s="2">
        <f>29</f>
        <v>29</v>
      </c>
      <c r="Q25" s="2">
        <v>57</v>
      </c>
      <c r="R25" s="2">
        <f>-723-SUM(O25:Q25)</f>
        <v>-847</v>
      </c>
      <c r="S25" s="2">
        <v>78</v>
      </c>
      <c r="T25" s="27"/>
    </row>
    <row r="26" spans="2:38" s="2" customFormat="1" x14ac:dyDescent="0.25">
      <c r="B26" s="2" t="s">
        <v>30</v>
      </c>
      <c r="C26" s="5"/>
      <c r="D26" s="5"/>
      <c r="E26" s="5"/>
      <c r="F26" s="5"/>
      <c r="G26" s="5">
        <f t="shared" ref="G26:S26" si="19">+G24-G25</f>
        <v>82</v>
      </c>
      <c r="H26" s="5">
        <f t="shared" si="19"/>
        <v>59</v>
      </c>
      <c r="I26" s="5">
        <f t="shared" si="19"/>
        <v>63</v>
      </c>
      <c r="J26" s="5">
        <f t="shared" si="19"/>
        <v>26</v>
      </c>
      <c r="K26" s="5">
        <f t="shared" si="19"/>
        <v>75</v>
      </c>
      <c r="L26" s="5">
        <f t="shared" si="19"/>
        <v>20.263170802542845</v>
      </c>
      <c r="M26" s="5">
        <f t="shared" si="19"/>
        <v>80.271406267038628</v>
      </c>
      <c r="N26" s="5">
        <f t="shared" si="19"/>
        <v>150.28901203362443</v>
      </c>
      <c r="O26" s="5">
        <f t="shared" si="19"/>
        <v>150.32912851143465</v>
      </c>
      <c r="P26" s="5">
        <f t="shared" si="19"/>
        <v>162</v>
      </c>
      <c r="Q26" s="5">
        <f t="shared" si="19"/>
        <v>242.34005284052409</v>
      </c>
      <c r="R26" s="5">
        <f>(+R24-R25)-SUM(O26:Q26)</f>
        <v>734.94626776076393</v>
      </c>
      <c r="S26" s="5">
        <f t="shared" si="19"/>
        <v>347.31334911297017</v>
      </c>
      <c r="T26" s="32"/>
      <c r="U26" s="5"/>
    </row>
    <row r="27" spans="2:38" x14ac:dyDescent="0.25">
      <c r="B27" t="s">
        <v>29</v>
      </c>
      <c r="G27" s="4">
        <f t="shared" ref="G27:S27" si="20">G26/G28</f>
        <v>0.40540273300769275</v>
      </c>
      <c r="H27" s="4">
        <f t="shared" si="20"/>
        <v>0.29825847382655513</v>
      </c>
      <c r="I27" s="4">
        <f t="shared" si="20"/>
        <v>0.31015690000640006</v>
      </c>
      <c r="J27" s="4">
        <f t="shared" si="20"/>
        <v>0.12797353900978012</v>
      </c>
      <c r="K27" s="4">
        <f t="shared" si="20"/>
        <v>0.36982248520710059</v>
      </c>
      <c r="L27" s="4">
        <f t="shared" si="20"/>
        <v>9.9818575381984465E-2</v>
      </c>
      <c r="M27" s="4">
        <f t="shared" si="20"/>
        <v>0.39519008998103899</v>
      </c>
      <c r="N27" s="4">
        <f t="shared" si="20"/>
        <v>0.73839394715220696</v>
      </c>
      <c r="O27" s="4">
        <f t="shared" si="20"/>
        <v>0.7359586832242484</v>
      </c>
      <c r="P27" s="4">
        <f t="shared" si="20"/>
        <v>0.79024390243902443</v>
      </c>
      <c r="Q27" s="4">
        <f t="shared" si="20"/>
        <v>1.1748282786763629</v>
      </c>
      <c r="R27" s="4">
        <f t="shared" si="20"/>
        <v>3.5747978645016754</v>
      </c>
      <c r="S27" s="4">
        <f t="shared" si="20"/>
        <v>1.6942114590876594</v>
      </c>
      <c r="T27" s="33"/>
      <c r="U27" s="4"/>
    </row>
    <row r="28" spans="2:38" s="2" customFormat="1" x14ac:dyDescent="0.25">
      <c r="B28" s="2" t="s">
        <v>1</v>
      </c>
      <c r="C28" s="5"/>
      <c r="D28" s="5"/>
      <c r="E28" s="5"/>
      <c r="F28" s="5"/>
      <c r="G28" s="5">
        <v>202.268</v>
      </c>
      <c r="H28" s="5">
        <v>197.815</v>
      </c>
      <c r="I28" s="5">
        <v>203.12299999999999</v>
      </c>
      <c r="J28" s="5">
        <v>203.167</v>
      </c>
      <c r="K28" s="5">
        <v>202.8</v>
      </c>
      <c r="L28" s="5">
        <v>203</v>
      </c>
      <c r="M28" s="5">
        <v>203.12100000000001</v>
      </c>
      <c r="N28" s="5">
        <v>203.535</v>
      </c>
      <c r="O28" s="2">
        <v>204.26300000000001</v>
      </c>
      <c r="P28" s="2">
        <v>205</v>
      </c>
      <c r="Q28" s="2">
        <v>206.27699999999999</v>
      </c>
      <c r="R28" s="2">
        <v>205.59100000000001</v>
      </c>
      <c r="S28" s="2">
        <v>205</v>
      </c>
      <c r="T28" s="27"/>
    </row>
    <row r="30" spans="2:38" x14ac:dyDescent="0.25">
      <c r="B30" s="2" t="s">
        <v>48</v>
      </c>
      <c r="H30" s="9"/>
      <c r="I30" s="9"/>
      <c r="J30" s="9"/>
      <c r="K30" s="9">
        <f t="shared" ref="K30:R30" si="21">K15/G15-1</f>
        <v>0.26617647058823524</v>
      </c>
      <c r="L30" s="9">
        <f t="shared" si="21"/>
        <v>0.24362183875269183</v>
      </c>
      <c r="M30" s="9">
        <f t="shared" si="21"/>
        <v>0.21115833747820023</v>
      </c>
      <c r="N30" s="9">
        <f t="shared" si="21"/>
        <v>0.20141734491246099</v>
      </c>
      <c r="O30" s="9">
        <f t="shared" si="21"/>
        <v>0.21738044629003173</v>
      </c>
      <c r="P30" s="9">
        <f t="shared" si="21"/>
        <v>0.2271425555810751</v>
      </c>
      <c r="Q30" s="9">
        <f t="shared" si="21"/>
        <v>0.24959088260172124</v>
      </c>
      <c r="R30" s="9">
        <f t="shared" si="21"/>
        <v>0.2561730384118952</v>
      </c>
      <c r="S30" s="9">
        <f>S15/O15-1</f>
        <v>0.2418438086396939</v>
      </c>
      <c r="T30" s="34">
        <f>T15/P15-1</f>
        <v>0.21079526614319044</v>
      </c>
      <c r="U30" s="9"/>
      <c r="X30" s="13">
        <f>(X3-W3)/W3</f>
        <v>0.30985507246376809</v>
      </c>
      <c r="Y30" s="13">
        <f>(Y3-X3)/X3</f>
        <v>0.30471343217526003</v>
      </c>
      <c r="Z30" s="13">
        <f>(Z3-Y3)/Y3</f>
        <v>0.22879918588873813</v>
      </c>
      <c r="AA30" s="13">
        <f>(AA15-Z15)/Z15</f>
        <v>0.23826981434627428</v>
      </c>
      <c r="AB30" s="12">
        <f t="shared" ref="AB30:AH30" si="22">$X$32</f>
        <v>0.22</v>
      </c>
      <c r="AC30" s="12">
        <f t="shared" si="22"/>
        <v>0.22</v>
      </c>
      <c r="AD30" s="12">
        <f t="shared" si="22"/>
        <v>0.22</v>
      </c>
      <c r="AE30" s="12">
        <f t="shared" si="22"/>
        <v>0.22</v>
      </c>
      <c r="AF30" s="12">
        <f t="shared" si="22"/>
        <v>0.22</v>
      </c>
      <c r="AG30" s="12">
        <f t="shared" si="22"/>
        <v>0.22</v>
      </c>
      <c r="AH30" s="12">
        <f t="shared" si="22"/>
        <v>0.22</v>
      </c>
      <c r="AI30" s="12">
        <v>0.01</v>
      </c>
      <c r="AJ30" s="12">
        <v>0.01</v>
      </c>
      <c r="AK30" s="12">
        <v>0.01</v>
      </c>
      <c r="AL30" s="12">
        <v>0.01</v>
      </c>
    </row>
    <row r="32" spans="2:38" x14ac:dyDescent="0.25">
      <c r="O32" s="3"/>
      <c r="P32" s="3"/>
      <c r="Q32" s="3"/>
      <c r="R32" s="3"/>
      <c r="W32" s="14" t="s">
        <v>94</v>
      </c>
      <c r="X32" s="15">
        <v>0.22</v>
      </c>
    </row>
    <row r="33" spans="2:25" x14ac:dyDescent="0.25">
      <c r="B33" t="s">
        <v>3</v>
      </c>
      <c r="K33" s="5">
        <f>2252+1762+1484</f>
        <v>5498</v>
      </c>
      <c r="W33" s="14" t="s">
        <v>95</v>
      </c>
      <c r="X33" s="15">
        <v>0.01</v>
      </c>
    </row>
    <row r="34" spans="2:25" x14ac:dyDescent="0.25">
      <c r="B34" t="s">
        <v>34</v>
      </c>
      <c r="K34" s="5">
        <v>824</v>
      </c>
      <c r="W34" s="14" t="s">
        <v>96</v>
      </c>
      <c r="X34" s="15">
        <v>0.11</v>
      </c>
    </row>
    <row r="35" spans="2:25" x14ac:dyDescent="0.25">
      <c r="B35" t="s">
        <v>35</v>
      </c>
      <c r="K35" s="5">
        <f>322+655</f>
        <v>977</v>
      </c>
      <c r="M35" s="5"/>
      <c r="W35" s="14" t="s">
        <v>97</v>
      </c>
      <c r="X35" s="16">
        <f>NPV($X$34,W3:CS3)</f>
        <v>180474.82078316464</v>
      </c>
      <c r="Y35" s="16">
        <f>NPV($X$34,W4:CT4)</f>
        <v>151049.94778336005</v>
      </c>
    </row>
    <row r="36" spans="2:25" x14ac:dyDescent="0.25">
      <c r="B36" t="s">
        <v>37</v>
      </c>
      <c r="K36" s="5">
        <v>282</v>
      </c>
      <c r="W36" s="14" t="s">
        <v>1</v>
      </c>
      <c r="X36" s="17">
        <f>Main!$L$3</f>
        <v>205</v>
      </c>
      <c r="Y36" s="17">
        <f>Main!$L$3</f>
        <v>205</v>
      </c>
    </row>
    <row r="37" spans="2:25" x14ac:dyDescent="0.25">
      <c r="B37" t="s">
        <v>38</v>
      </c>
      <c r="K37" s="5">
        <v>798</v>
      </c>
      <c r="W37" s="14" t="s">
        <v>99</v>
      </c>
      <c r="X37" s="19">
        <f>X35/X36</f>
        <v>880.36497943007146</v>
      </c>
      <c r="Y37" s="19">
        <f>Y35/Y36</f>
        <v>736.82901357736614</v>
      </c>
    </row>
    <row r="38" spans="2:25" x14ac:dyDescent="0.25">
      <c r="B38" t="s">
        <v>39</v>
      </c>
      <c r="K38" s="5">
        <v>583</v>
      </c>
      <c r="W38" s="14" t="s">
        <v>98</v>
      </c>
      <c r="X38" s="20">
        <f>(X37-Main!$L$2)/Main!$L$2</f>
        <v>0.36279408580506417</v>
      </c>
      <c r="Y38" s="20">
        <f>(Y37-Main!$L$2)/Main!$L$2</f>
        <v>0.14060218820025719</v>
      </c>
    </row>
    <row r="39" spans="2:25" x14ac:dyDescent="0.25">
      <c r="B39" t="s">
        <v>40</v>
      </c>
      <c r="K39" s="5">
        <f>266+774</f>
        <v>1040</v>
      </c>
      <c r="W39" s="14" t="s">
        <v>112</v>
      </c>
      <c r="X39" s="18">
        <f>X36*X37</f>
        <v>180474.82078316464</v>
      </c>
      <c r="Y39" s="18">
        <f>Y36*Y37</f>
        <v>151049.94778336005</v>
      </c>
    </row>
    <row r="40" spans="2:25" x14ac:dyDescent="0.25">
      <c r="B40" t="s">
        <v>31</v>
      </c>
      <c r="K40" s="5">
        <v>686</v>
      </c>
    </row>
    <row r="41" spans="2:25" x14ac:dyDescent="0.25">
      <c r="B41" t="s">
        <v>41</v>
      </c>
      <c r="K41" s="5">
        <v>305</v>
      </c>
      <c r="W41" s="1"/>
      <c r="X41" s="13">
        <f>(X37-679)/679</f>
        <v>0.29656108899863248</v>
      </c>
      <c r="Y41">
        <f>W41*(1+X41)</f>
        <v>0</v>
      </c>
    </row>
    <row r="42" spans="2:25" x14ac:dyDescent="0.25">
      <c r="B42" t="s">
        <v>36</v>
      </c>
      <c r="K42" s="5">
        <f>SUM(K33:K41)</f>
        <v>10993</v>
      </c>
      <c r="Y42" s="1">
        <f>Y41-W41</f>
        <v>0</v>
      </c>
    </row>
    <row r="44" spans="2:25" x14ac:dyDescent="0.25">
      <c r="B44" t="s">
        <v>44</v>
      </c>
      <c r="K44" s="5">
        <v>166</v>
      </c>
    </row>
    <row r="45" spans="2:25" x14ac:dyDescent="0.25">
      <c r="B45" t="s">
        <v>45</v>
      </c>
      <c r="K45" s="5">
        <v>661</v>
      </c>
    </row>
    <row r="46" spans="2:25" x14ac:dyDescent="0.25">
      <c r="B46" t="s">
        <v>46</v>
      </c>
      <c r="K46" s="5">
        <f>3850+57</f>
        <v>3907</v>
      </c>
    </row>
    <row r="47" spans="2:25" x14ac:dyDescent="0.25">
      <c r="B47" t="s">
        <v>39</v>
      </c>
      <c r="K47" s="5">
        <f>87+548</f>
        <v>635</v>
      </c>
    </row>
    <row r="48" spans="2:25" x14ac:dyDescent="0.25">
      <c r="B48" t="s">
        <v>4</v>
      </c>
      <c r="K48" s="5">
        <f>88+1484</f>
        <v>1572</v>
      </c>
    </row>
    <row r="49" spans="2:11" x14ac:dyDescent="0.25">
      <c r="B49" t="s">
        <v>47</v>
      </c>
      <c r="K49" s="5">
        <v>55</v>
      </c>
    </row>
    <row r="50" spans="2:11" x14ac:dyDescent="0.25">
      <c r="B50" t="s">
        <v>43</v>
      </c>
      <c r="K50" s="5">
        <v>3997</v>
      </c>
    </row>
    <row r="51" spans="2:11" x14ac:dyDescent="0.25">
      <c r="B51" t="s">
        <v>42</v>
      </c>
      <c r="K51" s="5">
        <f>SUM(K44:K50)</f>
        <v>10993</v>
      </c>
    </row>
    <row r="54" spans="2:11" x14ac:dyDescent="0.25">
      <c r="B54" t="s">
        <v>49</v>
      </c>
      <c r="K54" s="5">
        <f>+Model!K26</f>
        <v>75</v>
      </c>
    </row>
    <row r="55" spans="2:11" x14ac:dyDescent="0.25">
      <c r="B55" t="s">
        <v>50</v>
      </c>
      <c r="K55" s="3">
        <v>75</v>
      </c>
    </row>
    <row r="56" spans="2:11" x14ac:dyDescent="0.25">
      <c r="B56" t="s">
        <v>51</v>
      </c>
      <c r="K56" s="3">
        <v>101</v>
      </c>
    </row>
    <row r="57" spans="2:11" x14ac:dyDescent="0.25">
      <c r="B57" t="s">
        <v>52</v>
      </c>
      <c r="K57" s="3">
        <v>83</v>
      </c>
    </row>
    <row r="58" spans="2:11" x14ac:dyDescent="0.25">
      <c r="B58" t="s">
        <v>53</v>
      </c>
      <c r="K58" s="3">
        <v>325</v>
      </c>
    </row>
    <row r="59" spans="2:11" x14ac:dyDescent="0.25">
      <c r="B59" t="s">
        <v>31</v>
      </c>
      <c r="K59" s="3">
        <v>-2</v>
      </c>
    </row>
    <row r="60" spans="2:11" x14ac:dyDescent="0.25">
      <c r="B60" t="s">
        <v>41</v>
      </c>
      <c r="K60" s="3">
        <v>15</v>
      </c>
    </row>
    <row r="61" spans="2:11" x14ac:dyDescent="0.25">
      <c r="B61" t="s">
        <v>54</v>
      </c>
      <c r="K61" s="3">
        <f>562-137-46+69+21-203</f>
        <v>266</v>
      </c>
    </row>
    <row r="62" spans="2:11" x14ac:dyDescent="0.25">
      <c r="B62" t="s">
        <v>55</v>
      </c>
      <c r="K62" s="5">
        <f>SUM(K55:K61)</f>
        <v>863</v>
      </c>
    </row>
    <row r="64" spans="2:11" x14ac:dyDescent="0.25">
      <c r="B64" t="s">
        <v>56</v>
      </c>
      <c r="K64" s="3">
        <v>-93</v>
      </c>
    </row>
    <row r="65" spans="2:11" x14ac:dyDescent="0.25">
      <c r="B65" t="s">
        <v>57</v>
      </c>
      <c r="K65" s="3">
        <f>-662-101+577-1</f>
        <v>-187</v>
      </c>
    </row>
    <row r="66" spans="2:11" x14ac:dyDescent="0.25">
      <c r="B66" t="s">
        <v>58</v>
      </c>
      <c r="K66" s="3">
        <f>SUM(K64:K65)</f>
        <v>-280</v>
      </c>
    </row>
    <row r="68" spans="2:11" x14ac:dyDescent="0.25">
      <c r="B68" t="s">
        <v>59</v>
      </c>
      <c r="K68" s="3">
        <v>-6</v>
      </c>
    </row>
    <row r="69" spans="2:11" x14ac:dyDescent="0.25">
      <c r="B69" t="s">
        <v>60</v>
      </c>
      <c r="K69" s="3">
        <v>105</v>
      </c>
    </row>
    <row r="70" spans="2:11" x14ac:dyDescent="0.25">
      <c r="B70" t="s">
        <v>31</v>
      </c>
      <c r="K70" s="3">
        <v>-150</v>
      </c>
    </row>
    <row r="71" spans="2:11" x14ac:dyDescent="0.25">
      <c r="B71" t="s">
        <v>61</v>
      </c>
      <c r="K71" s="3">
        <f>SUM(K68:K70)</f>
        <v>-51</v>
      </c>
    </row>
    <row r="72" spans="2:11" x14ac:dyDescent="0.25">
      <c r="B72" t="s">
        <v>62</v>
      </c>
      <c r="K72" s="3">
        <v>-5</v>
      </c>
    </row>
    <row r="73" spans="2:11" x14ac:dyDescent="0.25">
      <c r="B73" t="s">
        <v>63</v>
      </c>
      <c r="K73" s="5">
        <f>+K71+K72+K66+K62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2022-07-26T02:29:14Z</dcterms:created>
  <dcterms:modified xsi:type="dcterms:W3CDTF">2024-05-30T18:57:53Z</dcterms:modified>
</cp:coreProperties>
</file>