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e\Documents\GitHub\martinshkreli-models\"/>
    </mc:Choice>
  </mc:AlternateContent>
  <xr:revisionPtr revIDLastSave="0" documentId="13_ncr:1_{8D1937CC-4234-4478-9A31-B752ED6A6754}" xr6:coauthVersionLast="47" xr6:coauthVersionMax="47" xr10:uidLastSave="{00000000-0000-0000-0000-000000000000}"/>
  <bookViews>
    <workbookView xWindow="-108" yWindow="-108" windowWidth="23256" windowHeight="13176" activeTab="1" xr2:uid="{E26B75FC-9989-4D2B-A8FA-900EA2F6829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8" i="2" l="1"/>
  <c r="AA5" i="2"/>
  <c r="S24" i="2"/>
  <c r="S23" i="2"/>
  <c r="R25" i="2"/>
  <c r="R24" i="2"/>
  <c r="R18" i="2"/>
  <c r="R16" i="2"/>
  <c r="R14" i="2"/>
  <c r="R10" i="2"/>
  <c r="R15" i="2" s="1"/>
  <c r="R17" i="2" s="1"/>
  <c r="R19" i="2" s="1"/>
  <c r="R20" i="2" s="1"/>
  <c r="AE9" i="2" l="1"/>
  <c r="R5" i="2"/>
  <c r="R4" i="2"/>
  <c r="Q24" i="2"/>
  <c r="P24" i="2"/>
  <c r="K6" i="2"/>
  <c r="L6" i="2"/>
  <c r="P6" i="2"/>
  <c r="N6" i="2"/>
  <c r="N5" i="2"/>
  <c r="N4" i="2"/>
  <c r="O6" i="2"/>
  <c r="X5" i="2"/>
  <c r="Y5" i="2"/>
  <c r="Z5" i="2"/>
  <c r="Q6" i="2"/>
  <c r="M6" i="2"/>
  <c r="Q18" i="2"/>
  <c r="Q16" i="2"/>
  <c r="Q14" i="2"/>
  <c r="Q10" i="2"/>
  <c r="Q15" i="2" s="1"/>
  <c r="Q17" i="2" s="1"/>
  <c r="Q19" i="2" s="1"/>
  <c r="Q20" i="2" s="1"/>
  <c r="P16" i="2"/>
  <c r="P14" i="2"/>
  <c r="P10" i="2"/>
  <c r="P25" i="2" s="1"/>
  <c r="R6" i="2" l="1"/>
  <c r="Q25" i="2"/>
  <c r="P15" i="2"/>
  <c r="P17" i="2" s="1"/>
  <c r="P19" i="2" s="1"/>
  <c r="P20" i="2" s="1"/>
  <c r="R23" i="2" l="1"/>
  <c r="P23" i="2" l="1"/>
  <c r="X8" i="2"/>
  <c r="X11" i="2" s="1"/>
  <c r="O24" i="2"/>
  <c r="W25" i="2"/>
  <c r="E23" i="2"/>
  <c r="F23" i="2"/>
  <c r="G23" i="2"/>
  <c r="H23" i="2"/>
  <c r="I23" i="2"/>
  <c r="J23" i="2"/>
  <c r="K23" i="2"/>
  <c r="L23" i="2"/>
  <c r="M23" i="2"/>
  <c r="N18" i="2"/>
  <c r="N13" i="2"/>
  <c r="N12" i="2"/>
  <c r="N11" i="2"/>
  <c r="N9" i="2"/>
  <c r="N8" i="2"/>
  <c r="N24" i="2" s="1"/>
  <c r="O16" i="2"/>
  <c r="O14" i="2"/>
  <c r="O10" i="2"/>
  <c r="O25" i="2" s="1"/>
  <c r="M24" i="2"/>
  <c r="M16" i="2"/>
  <c r="M14" i="2"/>
  <c r="M10" i="2"/>
  <c r="M25" i="2" s="1"/>
  <c r="L24" i="2"/>
  <c r="L16" i="2"/>
  <c r="L14" i="2"/>
  <c r="L10" i="2"/>
  <c r="L25" i="2" s="1"/>
  <c r="D14" i="2"/>
  <c r="D10" i="2"/>
  <c r="D25" i="2" s="1"/>
  <c r="H24" i="2"/>
  <c r="H14" i="2"/>
  <c r="H10" i="2"/>
  <c r="H25" i="2" s="1"/>
  <c r="E16" i="2"/>
  <c r="E14" i="2"/>
  <c r="E10" i="2"/>
  <c r="I24" i="2"/>
  <c r="I16" i="2"/>
  <c r="I14" i="2"/>
  <c r="I10" i="2"/>
  <c r="I25" i="2" s="1"/>
  <c r="F16" i="2"/>
  <c r="F14" i="2"/>
  <c r="F10" i="2"/>
  <c r="F25" i="2" s="1"/>
  <c r="J24" i="2"/>
  <c r="J14" i="2"/>
  <c r="J10" i="2"/>
  <c r="J25" i="2" s="1"/>
  <c r="K47" i="2"/>
  <c r="K48" i="2" s="1"/>
  <c r="K29" i="2"/>
  <c r="K33" i="2"/>
  <c r="K27" i="2"/>
  <c r="K35" i="2" s="1"/>
  <c r="K24" i="2"/>
  <c r="G16" i="2"/>
  <c r="K16" i="2"/>
  <c r="G14" i="2"/>
  <c r="K14" i="2"/>
  <c r="K10" i="2"/>
  <c r="K25" i="2" s="1"/>
  <c r="G10" i="2"/>
  <c r="G25" i="2" s="1"/>
  <c r="M4" i="1"/>
  <c r="M7" i="1" s="1"/>
  <c r="N14" i="2" l="1"/>
  <c r="Z8" i="2"/>
  <c r="Q23" i="2"/>
  <c r="N16" i="2"/>
  <c r="O23" i="2"/>
  <c r="Y8" i="2"/>
  <c r="F15" i="2"/>
  <c r="F17" i="2" s="1"/>
  <c r="F19" i="2" s="1"/>
  <c r="F20" i="2" s="1"/>
  <c r="N23" i="2"/>
  <c r="Y11" i="2"/>
  <c r="E15" i="2"/>
  <c r="E17" i="2" s="1"/>
  <c r="E19" i="2" s="1"/>
  <c r="E20" i="2" s="1"/>
  <c r="L15" i="2"/>
  <c r="L17" i="2" s="1"/>
  <c r="L19" i="2" s="1"/>
  <c r="L20" i="2" s="1"/>
  <c r="E25" i="2"/>
  <c r="N10" i="2"/>
  <c r="K15" i="2"/>
  <c r="K17" i="2" s="1"/>
  <c r="K19" i="2" s="1"/>
  <c r="K37" i="2" s="1"/>
  <c r="G15" i="2"/>
  <c r="G17" i="2" s="1"/>
  <c r="G19" i="2" s="1"/>
  <c r="G20" i="2" s="1"/>
  <c r="O15" i="2"/>
  <c r="O17" i="2" s="1"/>
  <c r="O19" i="2" s="1"/>
  <c r="O20" i="2" s="1"/>
  <c r="M15" i="2"/>
  <c r="M17" i="2" s="1"/>
  <c r="M19" i="2" s="1"/>
  <c r="M20" i="2" s="1"/>
  <c r="I15" i="2"/>
  <c r="I17" i="2" s="1"/>
  <c r="I19" i="2" s="1"/>
  <c r="I20" i="2" s="1"/>
  <c r="J15" i="2"/>
  <c r="J17" i="2" s="1"/>
  <c r="J19" i="2" s="1"/>
  <c r="J20" i="2" s="1"/>
  <c r="D15" i="2"/>
  <c r="D17" i="2" s="1"/>
  <c r="D19" i="2" s="1"/>
  <c r="D20" i="2" s="1"/>
  <c r="H15" i="2"/>
  <c r="H17" i="2" s="1"/>
  <c r="H19" i="2" s="1"/>
  <c r="H20" i="2" s="1"/>
  <c r="AA8" i="2" l="1"/>
  <c r="K20" i="2"/>
  <c r="Z11" i="2"/>
  <c r="N25" i="2"/>
  <c r="N15" i="2"/>
  <c r="N17" i="2" s="1"/>
  <c r="N19" i="2" s="1"/>
  <c r="N20" i="2" s="1"/>
  <c r="AB8" i="2" l="1"/>
  <c r="AC8" i="2" s="1"/>
  <c r="AD8" i="2" s="1"/>
  <c r="AE8" i="2" s="1"/>
  <c r="AF8" i="2" s="1"/>
  <c r="AG8" i="2" s="1"/>
  <c r="AH8" i="2" s="1"/>
  <c r="AH11" i="2" s="1"/>
  <c r="AA11" i="2"/>
  <c r="AE11" i="2" l="1"/>
  <c r="AC11" i="2"/>
  <c r="AB11" i="2"/>
  <c r="AF11" i="2"/>
  <c r="AG11" i="2"/>
  <c r="AI8" i="2"/>
  <c r="AJ8" i="2" s="1"/>
  <c r="AJ11" i="2" s="1"/>
  <c r="AD11" i="2"/>
  <c r="AK8" i="2"/>
  <c r="AL8" i="2" s="1"/>
  <c r="AI11" i="2"/>
  <c r="AK11" i="2" l="1"/>
  <c r="AM8" i="2"/>
  <c r="AL11" i="2"/>
  <c r="AN8" i="2" l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Y8" i="2" s="1"/>
  <c r="AZ8" i="2" s="1"/>
  <c r="BA8" i="2" s="1"/>
  <c r="BB8" i="2" s="1"/>
  <c r="BC8" i="2" s="1"/>
  <c r="BD8" i="2" s="1"/>
  <c r="BE8" i="2" s="1"/>
  <c r="BF8" i="2" s="1"/>
  <c r="BG8" i="2" s="1"/>
  <c r="BH8" i="2" s="1"/>
  <c r="BI8" i="2" s="1"/>
  <c r="BJ8" i="2" s="1"/>
  <c r="BK8" i="2" s="1"/>
  <c r="BL8" i="2" s="1"/>
  <c r="BM8" i="2" s="1"/>
  <c r="BN8" i="2" s="1"/>
  <c r="BO8" i="2" s="1"/>
  <c r="BP8" i="2" s="1"/>
  <c r="BQ8" i="2" s="1"/>
  <c r="BR8" i="2" s="1"/>
  <c r="BS8" i="2" s="1"/>
  <c r="BT8" i="2" s="1"/>
  <c r="BU8" i="2" s="1"/>
  <c r="BV8" i="2" s="1"/>
  <c r="BW8" i="2" s="1"/>
  <c r="BX8" i="2" s="1"/>
  <c r="BY8" i="2" s="1"/>
  <c r="BZ8" i="2" s="1"/>
  <c r="CA8" i="2" s="1"/>
  <c r="CB8" i="2" s="1"/>
  <c r="CC8" i="2" s="1"/>
  <c r="CD8" i="2" s="1"/>
  <c r="CE8" i="2" s="1"/>
  <c r="CF8" i="2" s="1"/>
  <c r="CG8" i="2" s="1"/>
  <c r="CH8" i="2" s="1"/>
  <c r="CI8" i="2" s="1"/>
  <c r="CJ8" i="2" s="1"/>
  <c r="CK8" i="2" s="1"/>
  <c r="CL8" i="2" s="1"/>
  <c r="CM8" i="2" s="1"/>
  <c r="CN8" i="2" s="1"/>
  <c r="CO8" i="2" s="1"/>
  <c r="CP8" i="2" s="1"/>
  <c r="CQ8" i="2" s="1"/>
  <c r="CR8" i="2" s="1"/>
  <c r="CS8" i="2" s="1"/>
  <c r="CT8" i="2" s="1"/>
  <c r="CU8" i="2" s="1"/>
  <c r="CV8" i="2" s="1"/>
  <c r="CW8" i="2" s="1"/>
  <c r="CX8" i="2" s="1"/>
  <c r="AM11" i="2"/>
  <c r="W24" i="2" l="1"/>
  <c r="W26" i="2" s="1"/>
  <c r="W27" i="2" l="1"/>
  <c r="W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tc={0D4385B0-D20F-4F85-B54F-FC0EA69C7B55}</author>
  </authors>
  <commentList>
    <comment ref="Z4" authorId="0" shapeId="0" xr:uid="{0D4385B0-D20F-4F85-B54F-FC0EA69C7B55}">
      <text>
        <t>[Threaded comment]
Your version of Excel allows you to read this threaded comment; however, any edits to it will get removed if the file is opened in a newer version of Excel. Learn more: https://go.microsoft.com/fwlink/?linkid=870924
Comment:
    My quarterly numbers are off by 20 somewhere</t>
      </text>
    </comment>
  </commentList>
</comments>
</file>

<file path=xl/sharedStrings.xml><?xml version="1.0" encoding="utf-8"?>
<sst xmlns="http://schemas.openxmlformats.org/spreadsheetml/2006/main" count="90" uniqueCount="85">
  <si>
    <t>Price</t>
  </si>
  <si>
    <t>Shares</t>
  </si>
  <si>
    <t>MC</t>
  </si>
  <si>
    <t>Cash</t>
  </si>
  <si>
    <t>Debt</t>
  </si>
  <si>
    <t>EV</t>
  </si>
  <si>
    <t>Main</t>
  </si>
  <si>
    <t>Revenue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</si>
  <si>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</si>
  <si>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</si>
  <si>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</si>
  <si>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</si>
  <si>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</si>
  <si>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</si>
  <si>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</si>
  <si>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</si>
  <si>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FQ123</t>
  </si>
  <si>
    <t>FQ223</t>
  </si>
  <si>
    <t>FQ323</t>
  </si>
  <si>
    <t>FQ423</t>
  </si>
  <si>
    <t>COGS</t>
  </si>
  <si>
    <t>Gross Profit</t>
  </si>
  <si>
    <t>S&amp;M</t>
  </si>
  <si>
    <t>R&amp;D</t>
  </si>
  <si>
    <t>G&amp;A</t>
  </si>
  <si>
    <t>OpEx</t>
  </si>
  <si>
    <t>OpInc</t>
  </si>
  <si>
    <t>EPS</t>
  </si>
  <si>
    <t>Net Income</t>
  </si>
  <si>
    <t>Taxes</t>
  </si>
  <si>
    <t>Pretax Income</t>
  </si>
  <si>
    <t>Interest</t>
  </si>
  <si>
    <t>Revenue Growth</t>
  </si>
  <si>
    <t>Gross Margin</t>
  </si>
  <si>
    <t>OA</t>
  </si>
  <si>
    <t>Goodwill</t>
  </si>
  <si>
    <t>Lease</t>
  </si>
  <si>
    <t>PP&amp;E</t>
  </si>
  <si>
    <t>Commissions</t>
  </si>
  <si>
    <t>Prepaids</t>
  </si>
  <si>
    <t>AR</t>
  </si>
  <si>
    <t>Assets</t>
  </si>
  <si>
    <t>Model NI</t>
  </si>
  <si>
    <t>Reported NI</t>
  </si>
  <si>
    <t>CFFO</t>
  </si>
  <si>
    <t>WC</t>
  </si>
  <si>
    <t>D&amp;A</t>
  </si>
  <si>
    <t>Non-Cash Lease</t>
  </si>
  <si>
    <t>SBC</t>
  </si>
  <si>
    <t>Investments</t>
  </si>
  <si>
    <t>DT</t>
  </si>
  <si>
    <t>Other</t>
  </si>
  <si>
    <t>FQ124</t>
  </si>
  <si>
    <t>FQ224</t>
  </si>
  <si>
    <t>Seq Rev Growth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</si>
  <si>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</si>
  <si>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</si>
  <si>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</si>
  <si>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</si>
  <si>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</si>
  <si>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</si>
  <si>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</si>
  <si>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</si>
  <si>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</si>
  <si>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</si>
  <si>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</si>
  <si>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Growth Rate</t>
  </si>
  <si>
    <t>Terminal Rate</t>
  </si>
  <si>
    <t>Discount Rate</t>
  </si>
  <si>
    <t>NPV</t>
  </si>
  <si>
    <t>Share Price</t>
  </si>
  <si>
    <t>Delta</t>
  </si>
  <si>
    <t>Market Cap</t>
  </si>
  <si>
    <t>FQ324</t>
  </si>
  <si>
    <t>FQ424</t>
  </si>
  <si>
    <t>Target</t>
  </si>
  <si>
    <t>Current</t>
  </si>
  <si>
    <t>YOY%</t>
  </si>
  <si>
    <t>Product Revenue</t>
  </si>
  <si>
    <t>Prof Services Rev</t>
  </si>
  <si>
    <t>YOY Prod Rev Growth</t>
  </si>
  <si>
    <t>% of Prof Services Rev</t>
  </si>
  <si>
    <t>Management expects growth to stabilize…need Q4 earnings to see about FY25 guidance and reacceleration</t>
  </si>
  <si>
    <t>FQ125</t>
  </si>
  <si>
    <t>Guidance was not good, even with a beat they're well under their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</si>
</sst>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2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1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14" fontId="0" fillId="0" borderId="0" xfId="0" applyNumberFormat="1"/>
    <xf numFmtId="10" fontId="0" fillId="0" borderId="0" xfId="2" applyNumberFormat="1" applyFont="1" applyAlignment="1">
      <alignment horizontal="right"/>
    </xf>
    <xf numFmtId="0" fontId="0" fillId="0" borderId="1" xfId="0" applyBorder="1"/>
    <xf numFmtId="9" fontId="0" fillId="0" borderId="1" xfId="0" applyNumberFormat="1" applyBorder="1"/>
    <xf numFmtId="8" fontId="0" fillId="0" borderId="1" xfId="0" applyNumberFormat="1" applyBorder="1"/>
    <xf numFmtId="164" fontId="0" fillId="0" borderId="1" xfId="3" applyNumberFormat="1" applyFont="1" applyBorder="1"/>
    <xf numFmtId="44" fontId="0" fillId="0" borderId="1" xfId="4" applyFont="1" applyBorder="1"/>
    <xf numFmtId="165" fontId="0" fillId="0" borderId="1" xfId="4" applyNumberFormat="1" applyFont="1" applyBorder="1"/>
    <xf numFmtId="9" fontId="0" fillId="0" borderId="0" xfId="2" applyFont="1"/>
    <xf numFmtId="9" fontId="1" fillId="0" borderId="1" xfId="2" applyFont="1" applyBorder="1"/>
  </cellXfs>
  <cellStyles count="5">
    <cellStyle name="Comma" xfId="3" builtinId="3"/>
    <cellStyle name="Currency" xfId="4" builtinId="4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0</xdr:row>
      <xdr:rowOff>6210</xdr:rowOff>
    </xdr:from>
    <xdr:to>
      <xdr:col>11</xdr:col>
      <xdr:colOff>28575</xdr:colOff>
      <xdr:row>42</xdr:row>
      <xdr:rowOff>72885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8C0F9D1-5A5B-C912-E3CB-E5C298ED84A7}"/>
            </a:ext>
          </a:extLst>
        </xdr:cNvPr>
        <xdr:cNvCxnSpPr/>
      </xdr:nvCxnSpPr>
      <xdr:spPr>
        <a:xfrm>
          <a:off x="6977684" y="6210"/>
          <a:ext cx="0" cy="70240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efferson Hwang-F22B" id="{354EC540-A53E-41EB-8402-3462E77FFE59}" userId="S::jefferh2@ad.uci.edu::209c1842-3e77-4b1a-ae04-0aa76273ce57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4" dT="2024-05-22T20:30:07.83" personId="{354EC540-A53E-41EB-8402-3462E77FFE59}" id="{0D4385B0-D20F-4F85-B54F-FC0EA69C7B55}">
    <text>My quarterly numbers are off by 20 somewhere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95F87-C53B-4BF8-B238-ED8253036919}">
  <dimension ref="L2:N7"/>
  <sheetViews>
    <sheetView workbookViewId="0">
      <selection activeCell="M3" sqref="M3"/>
    </sheetView>
  </sheetViews>
  <sheetFormatPr defaultRowHeight="13.2" x14ac:dyDescent="0.25"/>
  <sheetData>
    <row r="2" spans="12:14" x14ac:dyDescent="0.25">
      <c r="L2" t="s">
        <v>0</v>
      </c>
      <c r="M2" s="1">
        <v>164.1</v>
      </c>
    </row>
    <row r="3" spans="12:14" x14ac:dyDescent="0.25">
      <c r="L3" t="s">
        <v>1</v>
      </c>
      <c r="M3" s="2">
        <v>331.07900000000001</v>
      </c>
      <c r="N3" s="3"/>
    </row>
    <row r="4" spans="12:14" x14ac:dyDescent="0.25">
      <c r="L4" t="s">
        <v>2</v>
      </c>
      <c r="M4" s="2">
        <f>+M2*M3</f>
        <v>54330.063900000001</v>
      </c>
    </row>
    <row r="5" spans="12:14" x14ac:dyDescent="0.25">
      <c r="L5" t="s">
        <v>3</v>
      </c>
      <c r="M5" s="2">
        <v>4312.2830000000004</v>
      </c>
      <c r="N5" s="3"/>
    </row>
    <row r="6" spans="12:14" x14ac:dyDescent="0.25">
      <c r="L6" t="s">
        <v>4</v>
      </c>
      <c r="M6" s="2">
        <v>2323.6120000000001</v>
      </c>
      <c r="N6" s="3"/>
    </row>
    <row r="7" spans="12:14" x14ac:dyDescent="0.25">
      <c r="L7" t="s">
        <v>5</v>
      </c>
      <c r="M7" s="2">
        <f>+M4-M5+M6</f>
        <v>52341.392899999999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0461E-5EFB-45DD-9161-EF94163D814D}">
  <dimension ref="A1:CX48"/>
  <sheetViews>
    <sheetView tabSelected="1" zoomScale="115" zoomScaleNormal="115" workbookViewId="0">
      <pane xSplit="2" ySplit="3" topLeftCell="V4" activePane="bottomRight" state="frozen"/>
      <selection pane="topRight" activeCell="C1" sqref="C1"/>
      <selection pane="bottomLeft" activeCell="A3" sqref="A3"/>
      <selection pane="bottomRight" activeCell="AA11" sqref="AA11"/>
    </sheetView>
  </sheetViews>
  <sheetFormatPr defaultRowHeight="13.2" x14ac:dyDescent="0.25"/>
  <cols>
    <col min="1" max="1" width="5" bestFit="1" customWidth="1"/>
    <col min="2" max="2" width="19.6640625" bestFit="1" customWidth="1"/>
    <col min="3" max="4" width="9.109375" style="3"/>
    <col min="5" max="5" width="10.109375" style="3" bestFit="1" customWidth="1"/>
    <col min="6" max="8" width="9.109375" style="3"/>
    <col min="9" max="9" width="10.109375" style="3" bestFit="1" customWidth="1"/>
    <col min="10" max="12" width="9.109375" style="3"/>
    <col min="13" max="13" width="10.109375" style="3" bestFit="1" customWidth="1"/>
    <col min="14" max="14" width="9.109375" style="3"/>
    <col min="15" max="16" width="9.109375" bestFit="1" customWidth="1"/>
    <col min="17" max="17" width="10.109375" bestFit="1" customWidth="1"/>
    <col min="18" max="18" width="12.33203125" bestFit="1" customWidth="1"/>
    <col min="19" max="21" width="12.33203125" customWidth="1"/>
    <col min="22" max="22" width="11.6640625" bestFit="1" customWidth="1"/>
    <col min="23" max="23" width="17.88671875" customWidth="1"/>
  </cols>
  <sheetData>
    <row r="1" spans="1:102" x14ac:dyDescent="0.25">
      <c r="A1" s="4" t="s">
        <v>6</v>
      </c>
    </row>
    <row r="2" spans="1:102" x14ac:dyDescent="0.25">
      <c r="D2" s="5">
        <v>44043</v>
      </c>
      <c r="E2" s="5">
        <v>44135</v>
      </c>
      <c r="F2" s="5">
        <v>44227</v>
      </c>
      <c r="G2" s="5">
        <v>44316</v>
      </c>
      <c r="H2" s="5">
        <v>44408</v>
      </c>
      <c r="I2" s="5">
        <v>44500</v>
      </c>
      <c r="J2" s="5">
        <v>44592</v>
      </c>
      <c r="K2" s="5">
        <v>44681</v>
      </c>
      <c r="L2" s="5">
        <v>44773</v>
      </c>
      <c r="M2" s="5">
        <v>44865</v>
      </c>
      <c r="N2" s="5">
        <v>44957</v>
      </c>
      <c r="O2" s="14">
        <v>45046</v>
      </c>
      <c r="P2" s="14">
        <v>45138</v>
      </c>
      <c r="Q2" s="14">
        <v>45230</v>
      </c>
      <c r="R2" s="14">
        <v>45322</v>
      </c>
      <c r="S2" s="14">
        <v>45412</v>
      </c>
      <c r="T2" s="14"/>
      <c r="U2" s="14"/>
    </row>
    <row r="3" spans="1:102" x14ac:dyDescent="0.25"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52</v>
      </c>
      <c r="P3" s="3" t="s">
        <v>53</v>
      </c>
      <c r="Q3" s="3" t="s">
        <v>73</v>
      </c>
      <c r="R3" s="3" t="s">
        <v>74</v>
      </c>
      <c r="S3" s="3" t="s">
        <v>83</v>
      </c>
      <c r="T3" s="3"/>
      <c r="U3" s="3"/>
      <c r="W3" s="3" t="s">
        <v>55</v>
      </c>
      <c r="X3" s="3" t="s">
        <v>56</v>
      </c>
      <c r="Y3" s="3" t="s">
        <v>57</v>
      </c>
      <c r="Z3" s="3" t="s">
        <v>58</v>
      </c>
      <c r="AA3" s="3" t="s">
        <v>59</v>
      </c>
      <c r="AB3" s="3" t="s">
        <v>60</v>
      </c>
      <c r="AC3" s="3" t="s">
        <v>61</v>
      </c>
      <c r="AD3" s="3" t="s">
        <v>62</v>
      </c>
      <c r="AE3" s="3" t="s">
        <v>63</v>
      </c>
      <c r="AF3" s="3" t="s">
        <v>64</v>
      </c>
      <c r="AG3" s="3" t="s">
        <v>65</v>
      </c>
    </row>
    <row r="4" spans="1:102" s="9" customFormat="1" x14ac:dyDescent="0.25">
      <c r="B4" s="9" t="s">
        <v>78</v>
      </c>
      <c r="K4" s="9">
        <v>394.43400000000003</v>
      </c>
      <c r="L4" s="9">
        <v>466.26799999999997</v>
      </c>
      <c r="M4" s="9">
        <v>522.75199999999995</v>
      </c>
      <c r="N4" s="9">
        <f>1938.783-SUM(K4:M4)</f>
        <v>555.32899999999995</v>
      </c>
      <c r="O4" s="9">
        <v>590.072</v>
      </c>
      <c r="P4" s="9">
        <v>640.20899999999995</v>
      </c>
      <c r="Q4" s="9">
        <v>698.47799999999995</v>
      </c>
      <c r="R4" s="9">
        <f>(716+721)/2</f>
        <v>718.5</v>
      </c>
      <c r="S4" s="9">
        <v>789.58699999999999</v>
      </c>
      <c r="W4" s="9">
        <v>554</v>
      </c>
      <c r="X4" s="9">
        <v>1140</v>
      </c>
      <c r="Y4" s="9">
        <v>1939</v>
      </c>
      <c r="Z4" s="9">
        <v>2667</v>
      </c>
      <c r="AA4" s="9">
        <v>3300</v>
      </c>
      <c r="AE4" s="9">
        <v>10000</v>
      </c>
    </row>
    <row r="5" spans="1:102" s="2" customFormat="1" x14ac:dyDescent="0.25">
      <c r="B5" s="2" t="s">
        <v>79</v>
      </c>
      <c r="K5" s="2">
        <v>27.937000000000001</v>
      </c>
      <c r="L5" s="2">
        <v>30.98</v>
      </c>
      <c r="M5" s="2">
        <v>34.276000000000003</v>
      </c>
      <c r="N5" s="2">
        <f>126.876-SUM(K5:M5)</f>
        <v>33.682999999999993</v>
      </c>
      <c r="O5" s="2">
        <v>33.527000000000001</v>
      </c>
      <c r="P5" s="2">
        <v>33.808999999999997</v>
      </c>
      <c r="Q5" s="2">
        <v>35.695</v>
      </c>
      <c r="R5" s="2">
        <f>R4*Q6</f>
        <v>36.718203722951905</v>
      </c>
      <c r="S5" s="2">
        <v>39.122</v>
      </c>
      <c r="X5" s="22">
        <f>(X4-W4)/W4</f>
        <v>1.0577617328519855</v>
      </c>
      <c r="Y5" s="22">
        <f>(Y4-X4)/X4</f>
        <v>0.7008771929824561</v>
      </c>
      <c r="Z5" s="22">
        <f>(Z4-Y4)/Y4</f>
        <v>0.37545126353790614</v>
      </c>
      <c r="AA5" s="22">
        <f>(AA4-Z4)/Z4</f>
        <v>0.2373453318335208</v>
      </c>
    </row>
    <row r="6" spans="1:102" s="2" customFormat="1" x14ac:dyDescent="0.25">
      <c r="B6" s="2" t="s">
        <v>81</v>
      </c>
      <c r="K6" s="22">
        <f t="shared" ref="K6:R6" si="0">K5/K4</f>
        <v>7.0828072630655575E-2</v>
      </c>
      <c r="L6" s="22">
        <f t="shared" si="0"/>
        <v>6.644247514305078E-2</v>
      </c>
      <c r="M6" s="22">
        <f t="shared" si="0"/>
        <v>6.5568376591576896E-2</v>
      </c>
      <c r="N6" s="22">
        <f t="shared" si="0"/>
        <v>6.0654134756153555E-2</v>
      </c>
      <c r="O6" s="22">
        <f t="shared" si="0"/>
        <v>5.6818489946989521E-2</v>
      </c>
      <c r="P6" s="22">
        <f t="shared" si="0"/>
        <v>5.2809316957431088E-2</v>
      </c>
      <c r="Q6" s="22">
        <f t="shared" si="0"/>
        <v>5.11039717786387E-2</v>
      </c>
      <c r="R6" s="22">
        <f t="shared" si="0"/>
        <v>5.11039717786387E-2</v>
      </c>
    </row>
    <row r="7" spans="1:102" s="2" customFormat="1" x14ac:dyDescent="0.25">
      <c r="B7" s="9" t="s">
        <v>80</v>
      </c>
      <c r="W7" s="22"/>
    </row>
    <row r="8" spans="1:102" s="2" customFormat="1" x14ac:dyDescent="0.25">
      <c r="B8" s="9" t="s">
        <v>7</v>
      </c>
      <c r="C8" s="10"/>
      <c r="D8" s="10">
        <v>133.14500000000001</v>
      </c>
      <c r="E8" s="10">
        <v>159.624</v>
      </c>
      <c r="F8" s="10">
        <v>190.465</v>
      </c>
      <c r="G8" s="10">
        <v>228.91399999999999</v>
      </c>
      <c r="H8" s="10">
        <v>272.19799999999998</v>
      </c>
      <c r="I8" s="10">
        <v>334.44099999999997</v>
      </c>
      <c r="J8" s="10">
        <v>383.774</v>
      </c>
      <c r="K8" s="10">
        <v>422.37099999999998</v>
      </c>
      <c r="L8" s="10">
        <v>497.24799999999999</v>
      </c>
      <c r="M8" s="10">
        <v>557.02800000000002</v>
      </c>
      <c r="N8" s="9">
        <f>2065.659-SUM(K8:M8)</f>
        <v>589.01200000000017</v>
      </c>
      <c r="O8" s="10">
        <v>623.59900000000005</v>
      </c>
      <c r="P8" s="9">
        <v>674.01800000000003</v>
      </c>
      <c r="Q8" s="9">
        <v>734.173</v>
      </c>
      <c r="R8" s="9">
        <v>774.69899999999996</v>
      </c>
      <c r="S8" s="2">
        <f>SUM(S4:S5)</f>
        <v>828.70899999999995</v>
      </c>
      <c r="V8" s="9" t="s">
        <v>76</v>
      </c>
      <c r="W8" s="9">
        <v>592.04899999999998</v>
      </c>
      <c r="X8" s="9">
        <f>SUM($G$8:$J$8)</f>
        <v>1219.3269999999998</v>
      </c>
      <c r="Y8" s="9">
        <f>SUM($K$8:$N$8)</f>
        <v>2065.6590000000001</v>
      </c>
      <c r="Z8" s="9">
        <f>SUM(O8:R8)</f>
        <v>2806.489</v>
      </c>
      <c r="AA8" s="9">
        <f t="shared" ref="AA8:AH8" si="1">Z8*(1+$W$21)</f>
        <v>3732.6303700000003</v>
      </c>
      <c r="AB8" s="9">
        <f t="shared" si="1"/>
        <v>4964.3983921000008</v>
      </c>
      <c r="AC8" s="9">
        <f t="shared" si="1"/>
        <v>6602.6498614930015</v>
      </c>
      <c r="AD8" s="9">
        <f t="shared" si="1"/>
        <v>8781.524315785693</v>
      </c>
      <c r="AE8" s="9">
        <f t="shared" si="1"/>
        <v>11679.427339994972</v>
      </c>
      <c r="AF8" s="9">
        <f t="shared" si="1"/>
        <v>15533.638362193315</v>
      </c>
      <c r="AG8" s="9">
        <f t="shared" si="1"/>
        <v>20659.739021717109</v>
      </c>
      <c r="AH8" s="9">
        <f t="shared" si="1"/>
        <v>27477.452898883756</v>
      </c>
      <c r="AI8" s="9">
        <f t="shared" ref="AI8:BN8" si="2">AH8*(1+$W$22)</f>
        <v>27752.227427872593</v>
      </c>
      <c r="AJ8" s="9">
        <f t="shared" si="2"/>
        <v>28029.749702151319</v>
      </c>
      <c r="AK8" s="9">
        <f t="shared" si="2"/>
        <v>28310.047199172834</v>
      </c>
      <c r="AL8" s="9">
        <f t="shared" si="2"/>
        <v>28593.147671164563</v>
      </c>
      <c r="AM8" s="9">
        <f t="shared" si="2"/>
        <v>28879.079147876208</v>
      </c>
      <c r="AN8" s="9">
        <f t="shared" si="2"/>
        <v>29167.869939354969</v>
      </c>
      <c r="AO8" s="9">
        <f t="shared" si="2"/>
        <v>29459.548638748518</v>
      </c>
      <c r="AP8" s="9">
        <f t="shared" si="2"/>
        <v>29754.144125136005</v>
      </c>
      <c r="AQ8" s="9">
        <f t="shared" si="2"/>
        <v>30051.685566387365</v>
      </c>
      <c r="AR8" s="9">
        <f t="shared" si="2"/>
        <v>30352.202422051239</v>
      </c>
      <c r="AS8" s="9">
        <f t="shared" si="2"/>
        <v>30655.724446271754</v>
      </c>
      <c r="AT8" s="9">
        <f t="shared" si="2"/>
        <v>30962.281690734471</v>
      </c>
      <c r="AU8" s="9">
        <f t="shared" si="2"/>
        <v>31271.904507641815</v>
      </c>
      <c r="AV8" s="9">
        <f t="shared" si="2"/>
        <v>31584.623552718233</v>
      </c>
      <c r="AW8" s="9">
        <f t="shared" si="2"/>
        <v>31900.469788245417</v>
      </c>
      <c r="AX8" s="9">
        <f t="shared" si="2"/>
        <v>32219.47448612787</v>
      </c>
      <c r="AY8" s="9">
        <f t="shared" si="2"/>
        <v>32541.669230989148</v>
      </c>
      <c r="AZ8" s="9">
        <f t="shared" si="2"/>
        <v>32867.085923299041</v>
      </c>
      <c r="BA8" s="9">
        <f t="shared" si="2"/>
        <v>33195.756782532029</v>
      </c>
      <c r="BB8" s="9">
        <f t="shared" si="2"/>
        <v>33527.714350357353</v>
      </c>
      <c r="BC8" s="9">
        <f t="shared" si="2"/>
        <v>33862.991493860929</v>
      </c>
      <c r="BD8" s="9">
        <f t="shared" si="2"/>
        <v>34201.621408799539</v>
      </c>
      <c r="BE8" s="9">
        <f t="shared" si="2"/>
        <v>34543.637622887538</v>
      </c>
      <c r="BF8" s="9">
        <f t="shared" si="2"/>
        <v>34889.073999116416</v>
      </c>
      <c r="BG8" s="9">
        <f t="shared" si="2"/>
        <v>35237.964739107578</v>
      </c>
      <c r="BH8" s="9">
        <f t="shared" si="2"/>
        <v>35590.344386498655</v>
      </c>
      <c r="BI8" s="9">
        <f t="shared" si="2"/>
        <v>35946.247830363638</v>
      </c>
      <c r="BJ8" s="9">
        <f t="shared" si="2"/>
        <v>36305.710308667272</v>
      </c>
      <c r="BK8" s="9">
        <f t="shared" si="2"/>
        <v>36668.767411753943</v>
      </c>
      <c r="BL8" s="9">
        <f t="shared" si="2"/>
        <v>37035.455085871479</v>
      </c>
      <c r="BM8" s="9">
        <f t="shared" si="2"/>
        <v>37405.809636730191</v>
      </c>
      <c r="BN8" s="9">
        <f t="shared" si="2"/>
        <v>37779.867733097497</v>
      </c>
      <c r="BO8" s="9">
        <f t="shared" ref="BO8:CX8" si="3">BN8*(1+$W$22)</f>
        <v>38157.666410428472</v>
      </c>
      <c r="BP8" s="9">
        <f t="shared" si="3"/>
        <v>38539.243074532758</v>
      </c>
      <c r="BQ8" s="9">
        <f t="shared" si="3"/>
        <v>38924.635505278085</v>
      </c>
      <c r="BR8" s="9">
        <f t="shared" si="3"/>
        <v>39313.881860330868</v>
      </c>
      <c r="BS8" s="9">
        <f t="shared" si="3"/>
        <v>39707.020678934176</v>
      </c>
      <c r="BT8" s="9">
        <f t="shared" si="3"/>
        <v>40104.090885723519</v>
      </c>
      <c r="BU8" s="9">
        <f t="shared" si="3"/>
        <v>40505.131794580753</v>
      </c>
      <c r="BV8" s="9">
        <f t="shared" si="3"/>
        <v>40910.18311252656</v>
      </c>
      <c r="BW8" s="9">
        <f t="shared" si="3"/>
        <v>41319.284943651823</v>
      </c>
      <c r="BX8" s="9">
        <f t="shared" si="3"/>
        <v>41732.477793088343</v>
      </c>
      <c r="BY8" s="9">
        <f t="shared" si="3"/>
        <v>42149.802571019223</v>
      </c>
      <c r="BZ8" s="9">
        <f t="shared" si="3"/>
        <v>42571.300596729416</v>
      </c>
      <c r="CA8" s="9">
        <f t="shared" si="3"/>
        <v>42997.013602696708</v>
      </c>
      <c r="CB8" s="9">
        <f t="shared" si="3"/>
        <v>43426.983738723677</v>
      </c>
      <c r="CC8" s="9">
        <f t="shared" si="3"/>
        <v>43861.25357611091</v>
      </c>
      <c r="CD8" s="9">
        <f t="shared" si="3"/>
        <v>44299.866111872019</v>
      </c>
      <c r="CE8" s="9">
        <f t="shared" si="3"/>
        <v>44742.864772990739</v>
      </c>
      <c r="CF8" s="9">
        <f t="shared" si="3"/>
        <v>45190.293420720649</v>
      </c>
      <c r="CG8" s="9">
        <f t="shared" si="3"/>
        <v>45642.196354927859</v>
      </c>
      <c r="CH8" s="9">
        <f t="shared" si="3"/>
        <v>46098.618318477136</v>
      </c>
      <c r="CI8" s="9">
        <f t="shared" si="3"/>
        <v>46559.60450166191</v>
      </c>
      <c r="CJ8" s="9">
        <f t="shared" si="3"/>
        <v>47025.200546678527</v>
      </c>
      <c r="CK8" s="9">
        <f t="shared" si="3"/>
        <v>47495.452552145311</v>
      </c>
      <c r="CL8" s="9">
        <f t="shared" si="3"/>
        <v>47970.407077666765</v>
      </c>
      <c r="CM8" s="9">
        <f t="shared" si="3"/>
        <v>48450.11114844343</v>
      </c>
      <c r="CN8" s="9">
        <f t="shared" si="3"/>
        <v>48934.612259927868</v>
      </c>
      <c r="CO8" s="9">
        <f t="shared" si="3"/>
        <v>49423.958382527147</v>
      </c>
      <c r="CP8" s="9">
        <f t="shared" si="3"/>
        <v>49918.197966352418</v>
      </c>
      <c r="CQ8" s="9">
        <f t="shared" si="3"/>
        <v>50417.379946015943</v>
      </c>
      <c r="CR8" s="9">
        <f t="shared" si="3"/>
        <v>50921.5537454761</v>
      </c>
      <c r="CS8" s="9">
        <f t="shared" si="3"/>
        <v>51430.769282930858</v>
      </c>
      <c r="CT8" s="9">
        <f t="shared" si="3"/>
        <v>51945.076975760167</v>
      </c>
      <c r="CU8" s="9">
        <f t="shared" si="3"/>
        <v>52464.527745517771</v>
      </c>
      <c r="CV8" s="9">
        <f t="shared" si="3"/>
        <v>52989.173022972951</v>
      </c>
      <c r="CW8" s="9">
        <f t="shared" si="3"/>
        <v>53519.064753202678</v>
      </c>
      <c r="CX8" s="9">
        <f t="shared" si="3"/>
        <v>54054.255400734706</v>
      </c>
    </row>
    <row r="9" spans="1:102" s="2" customFormat="1" x14ac:dyDescent="0.25">
      <c r="B9" s="2" t="s">
        <v>20</v>
      </c>
      <c r="C9" s="6"/>
      <c r="D9" s="6">
        <v>50.445999999999998</v>
      </c>
      <c r="E9" s="6">
        <v>66.680999999999997</v>
      </c>
      <c r="F9" s="6">
        <v>82.903999999999996</v>
      </c>
      <c r="G9" s="6">
        <v>97.346000000000004</v>
      </c>
      <c r="H9" s="6">
        <v>106.121</v>
      </c>
      <c r="I9" s="6">
        <v>120.786</v>
      </c>
      <c r="J9" s="6">
        <v>134.18</v>
      </c>
      <c r="K9" s="6">
        <v>147.93</v>
      </c>
      <c r="L9" s="6">
        <v>173.232</v>
      </c>
      <c r="M9" s="6">
        <v>190.721</v>
      </c>
      <c r="N9" s="2">
        <f>717.54-SUM(K9:M9)</f>
        <v>205.65699999999993</v>
      </c>
      <c r="O9" s="6">
        <v>209.41399999999999</v>
      </c>
      <c r="P9" s="2">
        <v>218.392</v>
      </c>
      <c r="Q9" s="2">
        <v>228.94800000000001</v>
      </c>
      <c r="R9" s="2">
        <v>241.804</v>
      </c>
      <c r="V9" s="9" t="s">
        <v>75</v>
      </c>
      <c r="W9" s="9"/>
      <c r="X9" s="9"/>
      <c r="Y9" s="9"/>
      <c r="AA9" s="2">
        <v>3492</v>
      </c>
      <c r="AE9" s="2">
        <f>AE4*1.05</f>
        <v>10500</v>
      </c>
    </row>
    <row r="10" spans="1:102" s="2" customFormat="1" x14ac:dyDescent="0.25">
      <c r="B10" s="2" t="s">
        <v>21</v>
      </c>
      <c r="C10" s="6"/>
      <c r="D10" s="6">
        <f t="shared" ref="D10:K10" si="4">+D8-D9</f>
        <v>82.699000000000012</v>
      </c>
      <c r="E10" s="6">
        <f t="shared" si="4"/>
        <v>92.942999999999998</v>
      </c>
      <c r="F10" s="6">
        <f t="shared" si="4"/>
        <v>107.56100000000001</v>
      </c>
      <c r="G10" s="6">
        <f t="shared" si="4"/>
        <v>131.56799999999998</v>
      </c>
      <c r="H10" s="6">
        <f t="shared" si="4"/>
        <v>166.077</v>
      </c>
      <c r="I10" s="6">
        <f t="shared" si="4"/>
        <v>213.65499999999997</v>
      </c>
      <c r="J10" s="6">
        <f t="shared" si="4"/>
        <v>249.59399999999999</v>
      </c>
      <c r="K10" s="6">
        <f t="shared" si="4"/>
        <v>274.44099999999997</v>
      </c>
      <c r="L10" s="6">
        <f t="shared" ref="L10:R10" si="5">L8-L9</f>
        <v>324.01599999999996</v>
      </c>
      <c r="M10" s="6">
        <f t="shared" si="5"/>
        <v>366.30700000000002</v>
      </c>
      <c r="N10" s="6">
        <f t="shared" si="5"/>
        <v>383.35500000000025</v>
      </c>
      <c r="O10" s="6">
        <f t="shared" si="5"/>
        <v>414.18500000000006</v>
      </c>
      <c r="P10" s="6">
        <f t="shared" si="5"/>
        <v>455.62600000000003</v>
      </c>
      <c r="Q10" s="6">
        <f t="shared" si="5"/>
        <v>505.22500000000002</v>
      </c>
      <c r="R10" s="6">
        <f t="shared" si="5"/>
        <v>532.89499999999998</v>
      </c>
    </row>
    <row r="11" spans="1:102" s="2" customFormat="1" x14ac:dyDescent="0.25">
      <c r="B11" s="2" t="s">
        <v>22</v>
      </c>
      <c r="C11" s="6"/>
      <c r="D11" s="6">
        <v>92.662999999999997</v>
      </c>
      <c r="E11" s="6">
        <v>134.727</v>
      </c>
      <c r="F11" s="6">
        <v>154.05000000000001</v>
      </c>
      <c r="G11" s="6">
        <v>166.804</v>
      </c>
      <c r="H11" s="6">
        <v>182.90299999999999</v>
      </c>
      <c r="I11" s="6">
        <v>190.971</v>
      </c>
      <c r="J11" s="6">
        <v>203.28700000000001</v>
      </c>
      <c r="K11" s="6">
        <v>243.91200000000001</v>
      </c>
      <c r="L11" s="6">
        <v>274.46499999999997</v>
      </c>
      <c r="M11" s="6">
        <v>284.47699999999998</v>
      </c>
      <c r="N11" s="2">
        <f>1106.507-SUM(K11:M11)</f>
        <v>303.65300000000013</v>
      </c>
      <c r="O11" s="6">
        <v>331.55799999999999</v>
      </c>
      <c r="P11" s="2">
        <v>343.28800000000001</v>
      </c>
      <c r="Q11" s="2">
        <v>355.07900000000001</v>
      </c>
      <c r="R11" s="2">
        <v>361.822</v>
      </c>
      <c r="V11" s="9" t="s">
        <v>77</v>
      </c>
      <c r="X11" s="22">
        <f t="shared" ref="X11:AM11" si="6">(X8-W8)/W8</f>
        <v>1.0595035208234451</v>
      </c>
      <c r="Y11" s="22">
        <f t="shared" si="6"/>
        <v>0.69409764566847165</v>
      </c>
      <c r="Z11" s="22">
        <f t="shared" si="6"/>
        <v>0.35864099544019601</v>
      </c>
      <c r="AA11" s="22">
        <f t="shared" si="6"/>
        <v>0.33000000000000007</v>
      </c>
      <c r="AB11" s="22">
        <f t="shared" si="6"/>
        <v>0.33000000000000013</v>
      </c>
      <c r="AC11" s="22">
        <f t="shared" si="6"/>
        <v>0.33000000000000007</v>
      </c>
      <c r="AD11" s="22">
        <f t="shared" si="6"/>
        <v>0.33000000000000018</v>
      </c>
      <c r="AE11" s="22">
        <f t="shared" si="6"/>
        <v>0.33000000000000007</v>
      </c>
      <c r="AF11" s="22">
        <f t="shared" si="6"/>
        <v>0.33000000000000013</v>
      </c>
      <c r="AG11" s="22">
        <f t="shared" si="6"/>
        <v>0.33</v>
      </c>
      <c r="AH11" s="22">
        <f t="shared" si="6"/>
        <v>0.33000000000000007</v>
      </c>
      <c r="AI11" s="22">
        <f t="shared" si="6"/>
        <v>9.9999999999999846E-3</v>
      </c>
      <c r="AJ11" s="22">
        <f t="shared" si="6"/>
        <v>1.0000000000000018E-2</v>
      </c>
      <c r="AK11" s="22">
        <f t="shared" si="6"/>
        <v>1.0000000000000049E-2</v>
      </c>
      <c r="AL11" s="22">
        <f t="shared" si="6"/>
        <v>1.0000000000000028E-2</v>
      </c>
      <c r="AM11" s="22">
        <f t="shared" si="6"/>
        <v>9.9999999999999707E-3</v>
      </c>
    </row>
    <row r="12" spans="1:102" s="2" customFormat="1" x14ac:dyDescent="0.25">
      <c r="B12" s="2" t="s">
        <v>23</v>
      </c>
      <c r="C12" s="6"/>
      <c r="D12" s="6">
        <v>36.533000000000001</v>
      </c>
      <c r="E12" s="6">
        <v>74.138000000000005</v>
      </c>
      <c r="F12" s="6">
        <v>93.997</v>
      </c>
      <c r="G12" s="6">
        <v>109.79600000000001</v>
      </c>
      <c r="H12" s="6">
        <v>118.087</v>
      </c>
      <c r="I12" s="6">
        <v>115.9</v>
      </c>
      <c r="J12" s="6">
        <v>123.149</v>
      </c>
      <c r="K12" s="6">
        <v>150.798</v>
      </c>
      <c r="L12" s="6">
        <v>183.74799999999999</v>
      </c>
      <c r="M12" s="6">
        <v>211.387</v>
      </c>
      <c r="N12" s="2">
        <f>788.058-SUM(K12:M12)</f>
        <v>242.125</v>
      </c>
      <c r="O12" s="6">
        <v>277.41199999999998</v>
      </c>
      <c r="P12" s="2">
        <v>313.99599999999998</v>
      </c>
      <c r="Q12" s="2">
        <v>332.065</v>
      </c>
      <c r="R12" s="2">
        <v>364.476</v>
      </c>
    </row>
    <row r="13" spans="1:102" s="2" customFormat="1" x14ac:dyDescent="0.25">
      <c r="B13" s="2" t="s">
        <v>24</v>
      </c>
      <c r="C13" s="6"/>
      <c r="D13" s="6">
        <v>31.186</v>
      </c>
      <c r="E13" s="6">
        <v>53.531999999999996</v>
      </c>
      <c r="F13" s="6">
        <v>59.911000000000001</v>
      </c>
      <c r="G13" s="6">
        <v>60.563000000000002</v>
      </c>
      <c r="H13" s="6">
        <v>65.227999999999994</v>
      </c>
      <c r="I13" s="6">
        <v>64.055000000000007</v>
      </c>
      <c r="J13" s="6">
        <v>75.186999999999998</v>
      </c>
      <c r="K13" s="6">
        <v>68.497</v>
      </c>
      <c r="L13" s="6">
        <v>73.355000000000004</v>
      </c>
      <c r="M13" s="6">
        <v>76.462000000000003</v>
      </c>
      <c r="N13" s="2">
        <f>295.821-SUM(K13:M13)</f>
        <v>77.507000000000005</v>
      </c>
      <c r="O13" s="6">
        <v>78.453000000000003</v>
      </c>
      <c r="P13" s="2">
        <v>83.748000000000005</v>
      </c>
      <c r="Q13" s="2">
        <v>78.703999999999994</v>
      </c>
      <c r="R13" s="2">
        <v>82.102000000000004</v>
      </c>
    </row>
    <row r="14" spans="1:102" s="2" customFormat="1" x14ac:dyDescent="0.25">
      <c r="B14" s="2" t="s">
        <v>25</v>
      </c>
      <c r="C14" s="6"/>
      <c r="D14" s="6">
        <f t="shared" ref="D14:N14" si="7">SUM(D11:D13)</f>
        <v>160.38200000000001</v>
      </c>
      <c r="E14" s="6">
        <f t="shared" si="7"/>
        <v>262.39699999999999</v>
      </c>
      <c r="F14" s="6">
        <f t="shared" si="7"/>
        <v>307.95800000000003</v>
      </c>
      <c r="G14" s="6">
        <f t="shared" si="7"/>
        <v>337.16300000000001</v>
      </c>
      <c r="H14" s="6">
        <f t="shared" si="7"/>
        <v>366.21800000000002</v>
      </c>
      <c r="I14" s="6">
        <f t="shared" si="7"/>
        <v>370.92599999999999</v>
      </c>
      <c r="J14" s="6">
        <f t="shared" si="7"/>
        <v>401.62300000000005</v>
      </c>
      <c r="K14" s="6">
        <f t="shared" si="7"/>
        <v>463.20700000000005</v>
      </c>
      <c r="L14" s="6">
        <f t="shared" si="7"/>
        <v>531.56799999999998</v>
      </c>
      <c r="M14" s="6">
        <f t="shared" si="7"/>
        <v>572.32600000000002</v>
      </c>
      <c r="N14" s="6">
        <f t="shared" si="7"/>
        <v>623.28500000000008</v>
      </c>
      <c r="O14" s="6">
        <f>SUM(O11:O13)</f>
        <v>687.423</v>
      </c>
      <c r="P14" s="6">
        <f>SUM(P11:P13)</f>
        <v>741.03200000000004</v>
      </c>
      <c r="Q14" s="6">
        <f>SUM(Q11:Q13)</f>
        <v>765.84799999999996</v>
      </c>
      <c r="R14" s="6">
        <f>SUM(R11:R13)</f>
        <v>808.4</v>
      </c>
    </row>
    <row r="15" spans="1:102" s="2" customFormat="1" x14ac:dyDescent="0.25">
      <c r="B15" s="2" t="s">
        <v>26</v>
      </c>
      <c r="C15" s="6"/>
      <c r="D15" s="6">
        <f t="shared" ref="D15:N15" si="8">+D10-D14</f>
        <v>-77.682999999999993</v>
      </c>
      <c r="E15" s="6">
        <f t="shared" si="8"/>
        <v>-169.45400000000001</v>
      </c>
      <c r="F15" s="6">
        <f t="shared" si="8"/>
        <v>-200.39700000000002</v>
      </c>
      <c r="G15" s="6">
        <f t="shared" si="8"/>
        <v>-205.59500000000003</v>
      </c>
      <c r="H15" s="6">
        <f t="shared" si="8"/>
        <v>-200.14100000000002</v>
      </c>
      <c r="I15" s="6">
        <f t="shared" si="8"/>
        <v>-157.27100000000002</v>
      </c>
      <c r="J15" s="6">
        <f t="shared" si="8"/>
        <v>-152.02900000000005</v>
      </c>
      <c r="K15" s="6">
        <f t="shared" si="8"/>
        <v>-188.76600000000008</v>
      </c>
      <c r="L15" s="6">
        <f t="shared" si="8"/>
        <v>-207.55200000000002</v>
      </c>
      <c r="M15" s="6">
        <f t="shared" si="8"/>
        <v>-206.01900000000001</v>
      </c>
      <c r="N15" s="6">
        <f t="shared" si="8"/>
        <v>-239.92999999999984</v>
      </c>
      <c r="O15" s="6">
        <f>+O10-O14</f>
        <v>-273.23799999999994</v>
      </c>
      <c r="P15" s="6">
        <f>+P10-P14</f>
        <v>-285.40600000000001</v>
      </c>
      <c r="Q15" s="6">
        <f>+Q10-Q14</f>
        <v>-260.62299999999993</v>
      </c>
      <c r="R15" s="6">
        <f>+R10-R14</f>
        <v>-275.505</v>
      </c>
    </row>
    <row r="16" spans="1:102" x14ac:dyDescent="0.25">
      <c r="B16" s="2" t="s">
        <v>31</v>
      </c>
      <c r="C16" s="6"/>
      <c r="D16" s="6">
        <v>1.6890000000000001</v>
      </c>
      <c r="E16" s="6">
        <f>1.517-0.519</f>
        <v>0.99799999999999989</v>
      </c>
      <c r="F16" s="6">
        <f>1.853+0.951</f>
        <v>2.8039999999999998</v>
      </c>
      <c r="G16" s="6">
        <f>2.612-0.488</f>
        <v>2.1240000000000001</v>
      </c>
      <c r="H16" s="6">
        <v>2.19</v>
      </c>
      <c r="I16" s="6">
        <f>1.985+1.609</f>
        <v>3.5940000000000003</v>
      </c>
      <c r="J16" s="6">
        <v>2.3420000000000001</v>
      </c>
      <c r="K16" s="6">
        <f>4.759-8.481</f>
        <v>-3.7219999999999995</v>
      </c>
      <c r="L16" s="6">
        <f>11.692-22.92</f>
        <v>-11.228000000000002</v>
      </c>
      <c r="M16" s="6">
        <f>21.857-13.271</f>
        <v>8.5859999999999985</v>
      </c>
      <c r="N16" s="2">
        <f>73.839-47.565-SUM(K16:M16)</f>
        <v>32.638000000000005</v>
      </c>
      <c r="O16" s="6">
        <f>43.131-2.562</f>
        <v>40.569000000000003</v>
      </c>
      <c r="P16" s="2">
        <f>4.086+50.28</f>
        <v>54.366</v>
      </c>
      <c r="Q16" s="2">
        <f>-4.17+53.491</f>
        <v>49.320999999999998</v>
      </c>
      <c r="R16" s="2">
        <f>53.761</f>
        <v>53.761000000000003</v>
      </c>
    </row>
    <row r="17" spans="2:26" s="2" customFormat="1" x14ac:dyDescent="0.25">
      <c r="B17" s="2" t="s">
        <v>30</v>
      </c>
      <c r="C17" s="6"/>
      <c r="D17" s="6">
        <f t="shared" ref="D17:N17" si="9">+D15+D16</f>
        <v>-75.994</v>
      </c>
      <c r="E17" s="6">
        <f t="shared" si="9"/>
        <v>-168.45600000000002</v>
      </c>
      <c r="F17" s="6">
        <f t="shared" si="9"/>
        <v>-197.59300000000002</v>
      </c>
      <c r="G17" s="6">
        <f t="shared" si="9"/>
        <v>-203.47100000000003</v>
      </c>
      <c r="H17" s="6">
        <f t="shared" si="9"/>
        <v>-197.95100000000002</v>
      </c>
      <c r="I17" s="6">
        <f t="shared" si="9"/>
        <v>-153.67700000000002</v>
      </c>
      <c r="J17" s="6">
        <f t="shared" si="9"/>
        <v>-149.68700000000004</v>
      </c>
      <c r="K17" s="6">
        <f t="shared" si="9"/>
        <v>-192.48800000000008</v>
      </c>
      <c r="L17" s="6">
        <f t="shared" si="9"/>
        <v>-218.78000000000003</v>
      </c>
      <c r="M17" s="6">
        <f t="shared" si="9"/>
        <v>-197.43299999999999</v>
      </c>
      <c r="N17" s="6">
        <f t="shared" si="9"/>
        <v>-207.29199999999983</v>
      </c>
      <c r="O17" s="6">
        <f>+O15+O16</f>
        <v>-232.66899999999993</v>
      </c>
      <c r="P17" s="6">
        <f>+P15+P16</f>
        <v>-231.04000000000002</v>
      </c>
      <c r="Q17" s="6">
        <f>+Q15+Q16</f>
        <v>-211.30199999999994</v>
      </c>
      <c r="R17" s="6">
        <f>+R15+R16</f>
        <v>-221.744</v>
      </c>
    </row>
    <row r="18" spans="2:26" x14ac:dyDescent="0.25">
      <c r="B18" s="2" t="s">
        <v>29</v>
      </c>
      <c r="C18" s="6"/>
      <c r="D18" s="6">
        <v>0.53100000000000003</v>
      </c>
      <c r="E18" s="6">
        <v>0.433</v>
      </c>
      <c r="F18" s="6">
        <v>1.3420000000000001</v>
      </c>
      <c r="G18" s="6">
        <v>-0.251</v>
      </c>
      <c r="H18" s="6">
        <v>0.51400000000000001</v>
      </c>
      <c r="I18" s="6">
        <v>1.179</v>
      </c>
      <c r="J18" s="6">
        <v>1.546</v>
      </c>
      <c r="K18" s="6">
        <v>-26.693999999999999</v>
      </c>
      <c r="L18" s="6">
        <v>3.8460000000000001</v>
      </c>
      <c r="M18" s="6">
        <v>4.0090000000000003</v>
      </c>
      <c r="N18" s="2">
        <f>-18.467-SUM(K18:M18)</f>
        <v>0.37199999999999989</v>
      </c>
      <c r="O18" s="6">
        <v>-6.6050000000000004</v>
      </c>
      <c r="P18" s="2">
        <v>-3.7210000000000001</v>
      </c>
      <c r="Q18" s="2">
        <f>3.392</f>
        <v>3.3919999999999999</v>
      </c>
      <c r="R18" s="2">
        <f>-4.299</f>
        <v>-4.2990000000000004</v>
      </c>
    </row>
    <row r="19" spans="2:26" x14ac:dyDescent="0.25">
      <c r="B19" s="2" t="s">
        <v>28</v>
      </c>
      <c r="C19" s="6"/>
      <c r="D19" s="6">
        <f t="shared" ref="D19:N19" si="10">+D17-D18</f>
        <v>-76.525000000000006</v>
      </c>
      <c r="E19" s="6">
        <f t="shared" si="10"/>
        <v>-168.88900000000001</v>
      </c>
      <c r="F19" s="6">
        <f t="shared" si="10"/>
        <v>-198.93500000000003</v>
      </c>
      <c r="G19" s="6">
        <f t="shared" si="10"/>
        <v>-203.22000000000003</v>
      </c>
      <c r="H19" s="6">
        <f t="shared" si="10"/>
        <v>-198.46500000000003</v>
      </c>
      <c r="I19" s="6">
        <f t="shared" si="10"/>
        <v>-154.85600000000002</v>
      </c>
      <c r="J19" s="6">
        <f t="shared" si="10"/>
        <v>-151.23300000000003</v>
      </c>
      <c r="K19" s="6">
        <f t="shared" si="10"/>
        <v>-165.7940000000001</v>
      </c>
      <c r="L19" s="6">
        <f t="shared" si="10"/>
        <v>-222.62600000000003</v>
      </c>
      <c r="M19" s="6">
        <f t="shared" si="10"/>
        <v>-201.44200000000001</v>
      </c>
      <c r="N19" s="6">
        <f t="shared" si="10"/>
        <v>-207.66399999999982</v>
      </c>
      <c r="O19" s="6">
        <f>+O17-O18</f>
        <v>-226.06399999999994</v>
      </c>
      <c r="P19" s="6">
        <f>+P17-P18</f>
        <v>-227.31900000000002</v>
      </c>
      <c r="Q19" s="6">
        <f>+Q17-Q18</f>
        <v>-214.69399999999993</v>
      </c>
      <c r="R19" s="6">
        <f>+R17-R18</f>
        <v>-217.44499999999999</v>
      </c>
      <c r="S19" s="15"/>
      <c r="T19" s="15"/>
      <c r="U19" s="15"/>
      <c r="W19" t="s">
        <v>82</v>
      </c>
    </row>
    <row r="20" spans="2:26" s="13" customFormat="1" x14ac:dyDescent="0.25">
      <c r="B20" t="s">
        <v>27</v>
      </c>
      <c r="C20" s="3"/>
      <c r="D20" s="7">
        <f t="shared" ref="D20:N20" si="11">+D19/D21</f>
        <v>-1.2913291780742517</v>
      </c>
      <c r="E20" s="7">
        <f t="shared" si="11"/>
        <v>-1.0121101563988826</v>
      </c>
      <c r="F20" s="7">
        <f t="shared" si="11"/>
        <v>-0.70017512244406388</v>
      </c>
      <c r="G20" s="7">
        <f t="shared" si="11"/>
        <v>-0.69742540822139709</v>
      </c>
      <c r="H20" s="7">
        <f t="shared" si="11"/>
        <v>-0.666622779365454</v>
      </c>
      <c r="I20" s="7">
        <f t="shared" si="11"/>
        <v>-0.51106463212189535</v>
      </c>
      <c r="J20" s="7">
        <f t="shared" si="11"/>
        <v>-0.48991318468714745</v>
      </c>
      <c r="K20" s="7">
        <f t="shared" si="11"/>
        <v>-0.52740002735708347</v>
      </c>
      <c r="L20" s="7">
        <f t="shared" si="11"/>
        <v>-0.69929889808893198</v>
      </c>
      <c r="M20" s="7">
        <f t="shared" si="11"/>
        <v>-0.62924078904212288</v>
      </c>
      <c r="N20" s="7">
        <f t="shared" si="11"/>
        <v>-0.65153578263734135</v>
      </c>
      <c r="O20" s="7">
        <f>+O19/O21</f>
        <v>-0.69739046202920174</v>
      </c>
      <c r="P20" s="7">
        <f>+P19/P21</f>
        <v>-0.69445369422762626</v>
      </c>
      <c r="Q20" s="7">
        <f>+Q19/Q21</f>
        <v>-0.65195104916340207</v>
      </c>
      <c r="R20" s="7">
        <f>+R19/R21</f>
        <v>-0.65677678137242168</v>
      </c>
      <c r="S20" s="12"/>
      <c r="T20" s="12"/>
      <c r="U20" s="12"/>
    </row>
    <row r="21" spans="2:26" x14ac:dyDescent="0.25">
      <c r="B21" s="2" t="s">
        <v>1</v>
      </c>
      <c r="C21" s="6"/>
      <c r="D21" s="6">
        <v>59.260644999999997</v>
      </c>
      <c r="E21" s="6">
        <v>166.8682</v>
      </c>
      <c r="F21" s="6">
        <v>284.12177700000001</v>
      </c>
      <c r="G21" s="6">
        <v>291.38600000000002</v>
      </c>
      <c r="H21" s="6">
        <v>297.71709900000002</v>
      </c>
      <c r="I21" s="6">
        <v>303.006685</v>
      </c>
      <c r="J21" s="6">
        <v>308.693468</v>
      </c>
      <c r="K21" s="6">
        <v>314.36099999999999</v>
      </c>
      <c r="L21" s="6">
        <v>318.35599999999999</v>
      </c>
      <c r="M21" s="6">
        <v>320.13499999999999</v>
      </c>
      <c r="N21" s="2">
        <v>318.73</v>
      </c>
      <c r="O21" s="6">
        <v>324.15699999999998</v>
      </c>
      <c r="P21" s="2">
        <v>327.33499999999998</v>
      </c>
      <c r="Q21" s="2">
        <v>329.31</v>
      </c>
      <c r="R21" s="2">
        <v>331.07900000000001</v>
      </c>
      <c r="V21" s="16" t="s">
        <v>66</v>
      </c>
      <c r="W21" s="17">
        <v>0.33</v>
      </c>
    </row>
    <row r="22" spans="2:26" x14ac:dyDescent="0.25">
      <c r="O22" s="3"/>
      <c r="V22" s="16" t="s">
        <v>67</v>
      </c>
      <c r="W22" s="17">
        <v>0.01</v>
      </c>
      <c r="Z22" t="s">
        <v>84</v>
      </c>
    </row>
    <row r="23" spans="2:26" s="2" customFormat="1" x14ac:dyDescent="0.25">
      <c r="B23" s="13" t="s">
        <v>54</v>
      </c>
      <c r="C23" s="3"/>
      <c r="D23" s="15"/>
      <c r="E23" s="15">
        <f t="shared" ref="E23:Q23" si="12">(E8-D8)/D8</f>
        <v>0.19887340868977418</v>
      </c>
      <c r="F23" s="15">
        <f t="shared" si="12"/>
        <v>0.19321029419134972</v>
      </c>
      <c r="G23" s="15">
        <f t="shared" si="12"/>
        <v>0.20186910981020126</v>
      </c>
      <c r="H23" s="15">
        <f t="shared" si="12"/>
        <v>0.18908411018985294</v>
      </c>
      <c r="I23" s="15">
        <f t="shared" si="12"/>
        <v>0.22866810189641365</v>
      </c>
      <c r="J23" s="15">
        <f t="shared" si="12"/>
        <v>0.14750882816401109</v>
      </c>
      <c r="K23" s="15">
        <f t="shared" si="12"/>
        <v>0.10057221177046903</v>
      </c>
      <c r="L23" s="15">
        <f t="shared" si="12"/>
        <v>0.17727779606080912</v>
      </c>
      <c r="M23" s="15">
        <f t="shared" si="12"/>
        <v>0.12022170023811062</v>
      </c>
      <c r="N23" s="15">
        <f t="shared" si="12"/>
        <v>5.7419016638302116E-2</v>
      </c>
      <c r="O23" s="15">
        <f t="shared" si="12"/>
        <v>5.8720365629222948E-2</v>
      </c>
      <c r="P23" s="15">
        <f t="shared" si="12"/>
        <v>8.0851637029565437E-2</v>
      </c>
      <c r="Q23" s="15">
        <f t="shared" si="12"/>
        <v>8.9248358352447515E-2</v>
      </c>
      <c r="R23" s="15">
        <f>(R8-Q8)/Q8</f>
        <v>5.5199523817955648E-2</v>
      </c>
      <c r="S23" s="15">
        <f>(S8-R8)/R8</f>
        <v>6.9717399919194414E-2</v>
      </c>
      <c r="V23" s="16" t="s">
        <v>68</v>
      </c>
      <c r="W23" s="17">
        <v>0.11</v>
      </c>
    </row>
    <row r="24" spans="2:26" s="2" customFormat="1" x14ac:dyDescent="0.25">
      <c r="B24" s="9" t="s">
        <v>32</v>
      </c>
      <c r="C24" s="11"/>
      <c r="D24" s="11"/>
      <c r="E24" s="11"/>
      <c r="F24" s="11"/>
      <c r="G24" s="11"/>
      <c r="H24" s="12">
        <f t="shared" ref="H24:N24" si="13">+H8/D8-1</f>
        <v>1.0443726764054224</v>
      </c>
      <c r="I24" s="12">
        <f t="shared" si="13"/>
        <v>1.0951799228186236</v>
      </c>
      <c r="J24" s="12">
        <f t="shared" si="13"/>
        <v>1.0149318772477884</v>
      </c>
      <c r="K24" s="12">
        <f t="shared" si="13"/>
        <v>0.84510776973011703</v>
      </c>
      <c r="L24" s="12">
        <f t="shared" si="13"/>
        <v>0.8267878529599777</v>
      </c>
      <c r="M24" s="12">
        <f t="shared" si="13"/>
        <v>0.66554937941221337</v>
      </c>
      <c r="N24" s="12">
        <f t="shared" si="13"/>
        <v>0.53478870376836407</v>
      </c>
      <c r="O24" s="12">
        <f>+O8/J8-1</f>
        <v>0.62491205761724355</v>
      </c>
      <c r="P24" s="12">
        <f>+P8/K8-1</f>
        <v>0.59579611289600853</v>
      </c>
      <c r="Q24" s="12">
        <f>+Q8/L8-1</f>
        <v>0.47647250466567992</v>
      </c>
      <c r="R24" s="12">
        <f>+R8/M8-1</f>
        <v>0.39077209763243492</v>
      </c>
      <c r="S24" s="12">
        <f>+S8/N8-1</f>
        <v>0.40694756643328089</v>
      </c>
      <c r="V24" s="16" t="s">
        <v>69</v>
      </c>
      <c r="W24" s="18">
        <f>NPV(W23,W8:CX8)</f>
        <v>120385.81886131084</v>
      </c>
    </row>
    <row r="25" spans="2:26" s="2" customFormat="1" x14ac:dyDescent="0.25">
      <c r="B25" t="s">
        <v>33</v>
      </c>
      <c r="C25" s="3"/>
      <c r="D25" s="8">
        <f t="shared" ref="D25:R25" si="14">+D10/D8</f>
        <v>0.6211198317623644</v>
      </c>
      <c r="E25" s="8">
        <f t="shared" si="14"/>
        <v>0.5822620658547587</v>
      </c>
      <c r="F25" s="8">
        <f t="shared" si="14"/>
        <v>0.56472842779513299</v>
      </c>
      <c r="G25" s="8">
        <f t="shared" si="14"/>
        <v>0.57474859554243074</v>
      </c>
      <c r="H25" s="8">
        <f t="shared" si="14"/>
        <v>0.61013306490128516</v>
      </c>
      <c r="I25" s="8">
        <f t="shared" si="14"/>
        <v>0.63884212760995207</v>
      </c>
      <c r="J25" s="8">
        <f t="shared" si="14"/>
        <v>0.65036714316238198</v>
      </c>
      <c r="K25" s="8">
        <f t="shared" si="14"/>
        <v>0.64976288618300027</v>
      </c>
      <c r="L25" s="8">
        <f t="shared" si="14"/>
        <v>0.6516185082695154</v>
      </c>
      <c r="M25" s="8">
        <f t="shared" si="14"/>
        <v>0.65760967132711468</v>
      </c>
      <c r="N25" s="8">
        <f t="shared" si="14"/>
        <v>0.65084412541679992</v>
      </c>
      <c r="O25" s="8">
        <f t="shared" si="14"/>
        <v>0.66418483673001405</v>
      </c>
      <c r="P25" s="8">
        <f t="shared" si="14"/>
        <v>0.67598491434946839</v>
      </c>
      <c r="Q25" s="8">
        <f t="shared" si="14"/>
        <v>0.68815524406372885</v>
      </c>
      <c r="R25" s="8">
        <f t="shared" si="14"/>
        <v>0.68787361284834503</v>
      </c>
      <c r="V25" s="16" t="s">
        <v>1</v>
      </c>
      <c r="W25" s="19">
        <f>Main!M3</f>
        <v>331.07900000000001</v>
      </c>
    </row>
    <row r="26" spans="2:26" s="2" customFormat="1" x14ac:dyDescent="0.25">
      <c r="B26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/>
      <c r="P26"/>
      <c r="Q26"/>
      <c r="R26"/>
      <c r="V26" s="16" t="s">
        <v>70</v>
      </c>
      <c r="W26" s="20">
        <f>W24/W25</f>
        <v>363.6165956201113</v>
      </c>
    </row>
    <row r="27" spans="2:26" s="2" customFormat="1" x14ac:dyDescent="0.25">
      <c r="B27" s="2" t="s">
        <v>3</v>
      </c>
      <c r="C27" s="6"/>
      <c r="D27" s="6"/>
      <c r="E27" s="6"/>
      <c r="F27" s="6"/>
      <c r="G27" s="6"/>
      <c r="H27" s="6"/>
      <c r="I27" s="6"/>
      <c r="J27" s="6"/>
      <c r="K27" s="6">
        <f>1063.401+2751.679+1212.378</f>
        <v>5027.4579999999996</v>
      </c>
      <c r="L27" s="6"/>
      <c r="M27" s="6"/>
      <c r="N27" s="6"/>
      <c r="V27" s="16" t="s">
        <v>71</v>
      </c>
      <c r="W27" s="23">
        <f>(W26-Main!M2)/Main!M2</f>
        <v>1.2158232517983627</v>
      </c>
    </row>
    <row r="28" spans="2:26" s="2" customFormat="1" x14ac:dyDescent="0.25">
      <c r="B28" s="2" t="s">
        <v>40</v>
      </c>
      <c r="C28" s="6"/>
      <c r="D28" s="6"/>
      <c r="E28" s="6"/>
      <c r="F28" s="6"/>
      <c r="G28" s="6"/>
      <c r="H28" s="6"/>
      <c r="I28" s="6"/>
      <c r="J28" s="6"/>
      <c r="K28" s="6">
        <v>277.55900000000003</v>
      </c>
      <c r="L28" s="6"/>
      <c r="M28" s="6"/>
      <c r="N28" s="6"/>
      <c r="V28" s="16" t="s">
        <v>72</v>
      </c>
      <c r="W28" s="21">
        <f>W25*W26</f>
        <v>120385.81886131084</v>
      </c>
    </row>
    <row r="29" spans="2:26" s="2" customFormat="1" x14ac:dyDescent="0.25">
      <c r="B29" s="2" t="s">
        <v>38</v>
      </c>
      <c r="C29" s="6"/>
      <c r="D29" s="6"/>
      <c r="E29" s="6"/>
      <c r="F29" s="6"/>
      <c r="G29" s="6"/>
      <c r="H29" s="6"/>
      <c r="I29" s="6"/>
      <c r="J29" s="6"/>
      <c r="K29" s="6">
        <f>53.943+124.34</f>
        <v>178.28300000000002</v>
      </c>
      <c r="L29" s="6"/>
      <c r="M29" s="6"/>
      <c r="N29" s="6"/>
    </row>
    <row r="30" spans="2:26" s="2" customFormat="1" x14ac:dyDescent="0.25">
      <c r="B30" s="2" t="s">
        <v>39</v>
      </c>
      <c r="C30" s="6"/>
      <c r="D30" s="6"/>
      <c r="E30" s="6"/>
      <c r="F30" s="6"/>
      <c r="G30" s="6"/>
      <c r="H30" s="6"/>
      <c r="I30" s="6"/>
      <c r="J30" s="6"/>
      <c r="K30" s="6">
        <v>195.15100000000001</v>
      </c>
      <c r="L30" s="6"/>
      <c r="M30" s="6"/>
      <c r="N30" s="6"/>
    </row>
    <row r="31" spans="2:26" x14ac:dyDescent="0.25">
      <c r="B31" s="2" t="s">
        <v>37</v>
      </c>
      <c r="C31" s="6"/>
      <c r="D31" s="6"/>
      <c r="E31" s="6"/>
      <c r="F31" s="6"/>
      <c r="G31" s="6"/>
      <c r="H31" s="6"/>
      <c r="I31" s="6"/>
      <c r="J31" s="6"/>
      <c r="K31" s="6">
        <v>118.611</v>
      </c>
      <c r="L31" s="6"/>
      <c r="M31" s="6"/>
      <c r="N31" s="6"/>
      <c r="O31" s="2"/>
      <c r="P31" s="2"/>
      <c r="Q31" s="2"/>
      <c r="R31" s="2"/>
    </row>
    <row r="32" spans="2:26" x14ac:dyDescent="0.25">
      <c r="B32" s="2" t="s">
        <v>36</v>
      </c>
      <c r="C32" s="6"/>
      <c r="D32" s="6"/>
      <c r="E32" s="6"/>
      <c r="F32" s="6"/>
      <c r="G32" s="6"/>
      <c r="H32" s="6"/>
      <c r="I32" s="6"/>
      <c r="J32" s="6"/>
      <c r="K32" s="6">
        <v>188.946</v>
      </c>
      <c r="L32" s="6"/>
      <c r="M32" s="6"/>
      <c r="N32" s="6"/>
      <c r="O32" s="2"/>
      <c r="P32" s="2"/>
      <c r="Q32" s="2"/>
      <c r="R32" s="2"/>
    </row>
    <row r="33" spans="2:18" s="2" customFormat="1" x14ac:dyDescent="0.25">
      <c r="B33" s="2" t="s">
        <v>35</v>
      </c>
      <c r="C33" s="6"/>
      <c r="D33" s="6"/>
      <c r="E33" s="6"/>
      <c r="F33" s="6"/>
      <c r="G33" s="6"/>
      <c r="H33" s="6"/>
      <c r="I33" s="6"/>
      <c r="J33" s="6"/>
      <c r="K33" s="6">
        <f>502.614+181.851</f>
        <v>684.46499999999992</v>
      </c>
      <c r="L33" s="6"/>
      <c r="M33" s="6"/>
      <c r="N33" s="6"/>
    </row>
    <row r="34" spans="2:18" s="2" customFormat="1" x14ac:dyDescent="0.25">
      <c r="B34" s="2" t="s">
        <v>34</v>
      </c>
      <c r="C34" s="6"/>
      <c r="D34" s="6"/>
      <c r="E34" s="6"/>
      <c r="F34" s="6"/>
      <c r="G34" s="6"/>
      <c r="H34" s="6"/>
      <c r="I34" s="6"/>
      <c r="J34" s="6"/>
      <c r="K34" s="6">
        <v>352.226</v>
      </c>
      <c r="L34" s="6"/>
      <c r="M34" s="6"/>
      <c r="N34" s="6"/>
    </row>
    <row r="35" spans="2:18" s="2" customFormat="1" x14ac:dyDescent="0.25">
      <c r="B35" s="2" t="s">
        <v>41</v>
      </c>
      <c r="C35" s="3"/>
      <c r="D35" s="3"/>
      <c r="E35" s="3"/>
      <c r="F35" s="3"/>
      <c r="G35" s="3"/>
      <c r="H35" s="3"/>
      <c r="I35" s="3"/>
      <c r="J35" s="3"/>
      <c r="K35" s="6">
        <f>SUM(K27:K34)</f>
        <v>7022.6989999999996</v>
      </c>
      <c r="L35" s="3"/>
      <c r="M35" s="3"/>
      <c r="N35" s="3"/>
      <c r="O35"/>
      <c r="P35"/>
      <c r="Q35"/>
      <c r="R35"/>
    </row>
    <row r="36" spans="2:18" s="2" customFormat="1" x14ac:dyDescent="0.25">
      <c r="B36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/>
      <c r="P36"/>
      <c r="Q36"/>
      <c r="R36"/>
    </row>
    <row r="37" spans="2:18" s="2" customFormat="1" x14ac:dyDescent="0.25">
      <c r="B37" s="2" t="s">
        <v>42</v>
      </c>
      <c r="C37" s="6"/>
      <c r="D37" s="6"/>
      <c r="E37" s="6"/>
      <c r="F37" s="6"/>
      <c r="G37" s="6"/>
      <c r="H37" s="6"/>
      <c r="I37" s="6"/>
      <c r="J37" s="6"/>
      <c r="K37" s="6">
        <f>K19</f>
        <v>-165.7940000000001</v>
      </c>
      <c r="L37" s="6"/>
      <c r="M37" s="6"/>
      <c r="N37" s="6"/>
    </row>
    <row r="38" spans="2:18" s="2" customFormat="1" x14ac:dyDescent="0.25">
      <c r="B38" s="2" t="s">
        <v>43</v>
      </c>
      <c r="C38" s="6"/>
      <c r="D38" s="6"/>
      <c r="E38" s="6"/>
      <c r="F38" s="6"/>
      <c r="G38" s="6"/>
      <c r="H38" s="6"/>
      <c r="I38" s="6"/>
      <c r="J38" s="6"/>
      <c r="K38" s="6">
        <v>-165.79400000000001</v>
      </c>
      <c r="L38" s="6"/>
      <c r="M38" s="6"/>
      <c r="N38" s="6"/>
    </row>
    <row r="39" spans="2:18" s="2" customFormat="1" x14ac:dyDescent="0.25">
      <c r="B39" s="2" t="s">
        <v>46</v>
      </c>
      <c r="C39" s="6"/>
      <c r="D39" s="6"/>
      <c r="E39" s="6"/>
      <c r="F39" s="6"/>
      <c r="G39" s="6"/>
      <c r="H39" s="6"/>
      <c r="I39" s="6"/>
      <c r="J39" s="6"/>
      <c r="K39" s="6">
        <v>9.9410000000000007</v>
      </c>
      <c r="L39" s="6"/>
      <c r="M39" s="6"/>
      <c r="N39" s="6"/>
    </row>
    <row r="40" spans="2:18" s="2" customFormat="1" x14ac:dyDescent="0.25">
      <c r="B40" s="2" t="s">
        <v>47</v>
      </c>
      <c r="C40" s="6"/>
      <c r="D40" s="6"/>
      <c r="E40" s="6"/>
      <c r="F40" s="6"/>
      <c r="G40" s="6"/>
      <c r="H40" s="6"/>
      <c r="I40" s="6"/>
      <c r="J40" s="6"/>
      <c r="K40" s="6">
        <v>10.090999999999999</v>
      </c>
      <c r="L40" s="6"/>
      <c r="M40" s="6"/>
      <c r="N40" s="6"/>
    </row>
    <row r="41" spans="2:18" s="2" customFormat="1" x14ac:dyDescent="0.25">
      <c r="B41" s="2" t="s">
        <v>38</v>
      </c>
      <c r="C41" s="6"/>
      <c r="D41" s="6"/>
      <c r="E41" s="6"/>
      <c r="F41" s="6"/>
      <c r="G41" s="6"/>
      <c r="H41" s="6"/>
      <c r="I41" s="6"/>
      <c r="J41" s="6"/>
      <c r="K41" s="6">
        <v>13.201000000000001</v>
      </c>
      <c r="L41" s="6"/>
      <c r="M41" s="6"/>
      <c r="N41" s="6"/>
    </row>
    <row r="42" spans="2:18" s="2" customFormat="1" x14ac:dyDescent="0.25">
      <c r="B42" s="2" t="s">
        <v>48</v>
      </c>
      <c r="C42" s="6"/>
      <c r="D42" s="6"/>
      <c r="E42" s="6"/>
      <c r="F42" s="6"/>
      <c r="G42" s="6"/>
      <c r="H42" s="6"/>
      <c r="I42" s="6"/>
      <c r="J42" s="6"/>
      <c r="K42" s="6">
        <v>172.49299999999999</v>
      </c>
      <c r="L42" s="6"/>
      <c r="M42" s="6"/>
      <c r="N42" s="6"/>
    </row>
    <row r="43" spans="2:18" s="2" customFormat="1" x14ac:dyDescent="0.25">
      <c r="B43" s="2" t="s">
        <v>49</v>
      </c>
      <c r="C43" s="6"/>
      <c r="D43" s="6"/>
      <c r="E43" s="6"/>
      <c r="F43" s="6"/>
      <c r="G43" s="6"/>
      <c r="H43" s="6"/>
      <c r="I43" s="6"/>
      <c r="J43" s="6"/>
      <c r="K43" s="6">
        <v>8.1980000000000004</v>
      </c>
      <c r="L43" s="6"/>
      <c r="M43" s="6"/>
      <c r="N43" s="6"/>
    </row>
    <row r="44" spans="2:18" s="2" customFormat="1" x14ac:dyDescent="0.25">
      <c r="B44" s="2" t="s">
        <v>49</v>
      </c>
      <c r="C44" s="6"/>
      <c r="D44" s="6"/>
      <c r="E44" s="6"/>
      <c r="F44" s="6"/>
      <c r="G44" s="6"/>
      <c r="H44" s="6"/>
      <c r="I44" s="6"/>
      <c r="J44" s="6"/>
      <c r="K44" s="6">
        <v>8.859</v>
      </c>
      <c r="L44" s="6"/>
      <c r="M44" s="6"/>
      <c r="N44" s="6"/>
    </row>
    <row r="45" spans="2:18" x14ac:dyDescent="0.25">
      <c r="B45" s="2" t="s">
        <v>50</v>
      </c>
      <c r="C45" s="6"/>
      <c r="D45" s="6"/>
      <c r="E45" s="6"/>
      <c r="F45" s="6"/>
      <c r="G45" s="6"/>
      <c r="H45" s="6"/>
      <c r="I45" s="6"/>
      <c r="J45" s="6"/>
      <c r="K45" s="6">
        <v>-26.664000000000001</v>
      </c>
      <c r="L45" s="6"/>
      <c r="M45" s="6"/>
      <c r="N45" s="6"/>
      <c r="O45" s="2"/>
      <c r="P45" s="2"/>
      <c r="Q45" s="2"/>
      <c r="R45" s="2"/>
    </row>
    <row r="46" spans="2:18" x14ac:dyDescent="0.25">
      <c r="B46" s="2" t="s">
        <v>51</v>
      </c>
      <c r="C46" s="6"/>
      <c r="D46" s="6"/>
      <c r="E46" s="6"/>
      <c r="F46" s="6"/>
      <c r="G46" s="6"/>
      <c r="H46" s="6"/>
      <c r="I46" s="6"/>
      <c r="J46" s="6"/>
      <c r="K46" s="6">
        <v>1.7609999999999999</v>
      </c>
      <c r="L46" s="6"/>
      <c r="M46" s="6"/>
      <c r="N46" s="6"/>
      <c r="O46" s="2"/>
      <c r="P46" s="2"/>
      <c r="Q46" s="2"/>
      <c r="R46" s="2"/>
    </row>
    <row r="47" spans="2:18" x14ac:dyDescent="0.25">
      <c r="B47" s="2" t="s">
        <v>45</v>
      </c>
      <c r="C47" s="6"/>
      <c r="D47" s="6"/>
      <c r="E47" s="6"/>
      <c r="F47" s="6"/>
      <c r="G47" s="6"/>
      <c r="H47" s="6"/>
      <c r="I47" s="6"/>
      <c r="J47" s="6"/>
      <c r="K47" s="6">
        <f>266.656-16.718-57.535+4.158-14.217-8.376-21.441</f>
        <v>152.52699999999999</v>
      </c>
      <c r="L47" s="6"/>
      <c r="M47" s="6"/>
      <c r="N47" s="6"/>
      <c r="O47" s="2"/>
      <c r="P47" s="2"/>
      <c r="Q47" s="2"/>
      <c r="R47" s="2"/>
    </row>
    <row r="48" spans="2:18" x14ac:dyDescent="0.25">
      <c r="B48" s="2" t="s">
        <v>44</v>
      </c>
      <c r="C48" s="6"/>
      <c r="D48" s="6"/>
      <c r="E48" s="6"/>
      <c r="F48" s="6"/>
      <c r="G48" s="6"/>
      <c r="H48" s="6"/>
      <c r="I48" s="6"/>
      <c r="J48" s="6"/>
      <c r="K48" s="6">
        <f>SUM(K38:K47)</f>
        <v>184.61299999999997</v>
      </c>
      <c r="L48" s="6"/>
      <c r="M48" s="6"/>
      <c r="N48" s="6"/>
      <c r="O48" s="2"/>
      <c r="P48" s="2"/>
      <c r="Q48" s="2"/>
      <c r="R48" s="2"/>
    </row>
  </sheetData>
  <phoneticPr fontId="4" type="noConversion"/>
  <hyperlinks>
    <hyperlink ref="A1" location="Main!A1" display="Main" xr:uid="{567BD3AE-9464-472E-91DA-BE401641621D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Jefferson Hwang-F22B</cp:lastModifiedBy>
  <dcterms:created xsi:type="dcterms:W3CDTF">2022-07-28T12:42:20Z</dcterms:created>
  <dcterms:modified xsi:type="dcterms:W3CDTF">2024-05-22T20:34:38Z</dcterms:modified>
</cp:coreProperties>
</file>