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éfferson\Documents\GIT\spda\"/>
    </mc:Choice>
  </mc:AlternateContent>
  <bookViews>
    <workbookView xWindow="0" yWindow="0" windowWidth="23220" windowHeight="7515"/>
  </bookViews>
  <sheets>
    <sheet name="Relatório" sheetId="1" r:id="rId1"/>
    <sheet name="Estudo" sheetId="3" r:id="rId2"/>
    <sheet name="Dado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3" l="1"/>
  <c r="O70" i="3"/>
  <c r="O69" i="3"/>
  <c r="O63" i="3"/>
  <c r="O57" i="3"/>
  <c r="O56" i="3"/>
  <c r="O42" i="3"/>
  <c r="O84" i="3" l="1"/>
  <c r="O83" i="3"/>
  <c r="O81" i="3"/>
  <c r="O121" i="1"/>
  <c r="O120" i="1"/>
  <c r="O119" i="1"/>
  <c r="O90" i="1" l="1"/>
  <c r="N28" i="3" l="1"/>
  <c r="N27" i="3"/>
  <c r="N26" i="3"/>
  <c r="O87" i="3"/>
  <c r="O96" i="3"/>
  <c r="O93" i="3"/>
  <c r="O10" i="3"/>
  <c r="O18" i="3"/>
  <c r="O17" i="3"/>
  <c r="O16" i="3"/>
  <c r="O15" i="3"/>
  <c r="O14" i="3"/>
  <c r="O13" i="3"/>
  <c r="O12" i="3"/>
  <c r="O11" i="3"/>
  <c r="O125" i="1" l="1"/>
  <c r="O32" i="1"/>
  <c r="O31" i="1"/>
  <c r="O85" i="1"/>
  <c r="O52" i="1"/>
  <c r="O36" i="1"/>
  <c r="O28" i="1" l="1"/>
  <c r="O113" i="1" l="1"/>
  <c r="O112" i="1"/>
  <c r="O111" i="1"/>
  <c r="O76" i="1" l="1"/>
  <c r="O27" i="1" l="1"/>
  <c r="O131" i="1"/>
  <c r="O130" i="1"/>
  <c r="O132" i="1"/>
  <c r="O129" i="1"/>
  <c r="O128" i="1"/>
  <c r="O127" i="1"/>
  <c r="O126" i="1"/>
  <c r="O137" i="1" s="1"/>
  <c r="Q60" i="1"/>
  <c r="Q44" i="1"/>
  <c r="Q22" i="1"/>
  <c r="O104" i="1"/>
  <c r="O98" i="1"/>
  <c r="O100" i="1" s="1"/>
  <c r="O97" i="1"/>
  <c r="O93" i="1"/>
  <c r="O84" i="1"/>
  <c r="O79" i="1"/>
  <c r="O78" i="1"/>
  <c r="O77" i="1"/>
  <c r="O75" i="1"/>
  <c r="O74" i="1"/>
  <c r="O73" i="1"/>
  <c r="O72" i="1"/>
  <c r="O71" i="1"/>
  <c r="O70" i="1"/>
  <c r="O91" i="1" s="1"/>
  <c r="O63" i="1"/>
  <c r="O59" i="1"/>
  <c r="O53" i="3" s="1"/>
  <c r="O58" i="1"/>
  <c r="O44" i="3" s="1"/>
  <c r="O66" i="1"/>
  <c r="O56" i="1"/>
  <c r="O55" i="1"/>
  <c r="O54" i="1"/>
  <c r="O50" i="1"/>
  <c r="O64" i="1"/>
  <c r="O65" i="1" s="1"/>
  <c r="O41" i="1"/>
  <c r="O57" i="1"/>
  <c r="O48" i="1"/>
  <c r="O49" i="1" s="1"/>
  <c r="O47" i="1"/>
  <c r="O43" i="1"/>
  <c r="O52" i="3" s="1"/>
  <c r="O42" i="1"/>
  <c r="O40" i="1"/>
  <c r="O39" i="1"/>
  <c r="O38" i="1"/>
  <c r="O26" i="1"/>
  <c r="O55" i="3" l="1"/>
  <c r="O49" i="3"/>
  <c r="O51" i="3"/>
  <c r="O46" i="3"/>
  <c r="O47" i="3"/>
  <c r="O148" i="1"/>
  <c r="O43" i="3"/>
  <c r="O45" i="3" s="1"/>
  <c r="O50" i="3"/>
  <c r="O48" i="3"/>
  <c r="O54" i="3"/>
  <c r="O160" i="1"/>
  <c r="O159" i="1"/>
  <c r="O161" i="1"/>
  <c r="O151" i="1" s="1"/>
  <c r="O162" i="1"/>
  <c r="O152" i="1" s="1"/>
  <c r="O157" i="1"/>
  <c r="O155" i="1"/>
  <c r="O158" i="1"/>
  <c r="O156" i="1"/>
  <c r="O147" i="1"/>
  <c r="O153" i="1"/>
  <c r="O154" i="1"/>
  <c r="O149" i="1"/>
  <c r="O136" i="1"/>
  <c r="O139" i="1"/>
  <c r="O143" i="1"/>
  <c r="O142" i="1"/>
  <c r="O140" i="1"/>
  <c r="O92" i="1"/>
  <c r="O141" i="1"/>
  <c r="O99" i="1"/>
  <c r="O138" i="1"/>
  <c r="O163" i="1" l="1"/>
  <c r="O170" i="1" s="1"/>
  <c r="O64" i="3"/>
  <c r="O150" i="1"/>
  <c r="O169" i="1" s="1"/>
  <c r="O58" i="3"/>
  <c r="O65" i="3" s="1"/>
  <c r="O95" i="3"/>
  <c r="O76" i="3"/>
  <c r="O199" i="1"/>
  <c r="O75" i="3"/>
  <c r="O94" i="3"/>
  <c r="O72" i="3"/>
  <c r="O88" i="3"/>
  <c r="O85" i="3"/>
  <c r="O91" i="3"/>
  <c r="O66" i="3"/>
  <c r="O89" i="3"/>
  <c r="O86" i="3"/>
  <c r="O73" i="3"/>
  <c r="O67" i="3"/>
  <c r="O92" i="3"/>
  <c r="O62" i="3"/>
  <c r="O82" i="3"/>
  <c r="O193" i="1"/>
  <c r="O197" i="1"/>
  <c r="O190" i="1"/>
  <c r="O196" i="1"/>
  <c r="O188" i="1"/>
  <c r="O186" i="1"/>
  <c r="O187" i="1"/>
  <c r="O194" i="1"/>
  <c r="O191" i="1"/>
  <c r="O200" i="1"/>
  <c r="O174" i="1"/>
  <c r="O181" i="1"/>
  <c r="O180" i="1"/>
  <c r="O178" i="1"/>
  <c r="O177" i="1"/>
  <c r="O171" i="1"/>
  <c r="O172" i="1"/>
  <c r="O175" i="1"/>
  <c r="O167" i="1"/>
  <c r="O168" i="1"/>
  <c r="O182" i="1" l="1"/>
  <c r="O201" i="1"/>
  <c r="O179" i="1"/>
  <c r="O77" i="3"/>
  <c r="O74" i="3"/>
  <c r="O90" i="3"/>
  <c r="O198" i="1"/>
  <c r="O68" i="3"/>
  <c r="O71" i="3"/>
  <c r="O189" i="1"/>
  <c r="O192" i="1"/>
  <c r="O195" i="1"/>
  <c r="G208" i="1" s="1"/>
  <c r="O176" i="1"/>
  <c r="O173" i="1"/>
  <c r="G205" i="1" l="1"/>
  <c r="G25" i="3"/>
  <c r="N25" i="3" s="1"/>
  <c r="G209" i="1"/>
</calcChain>
</file>

<file path=xl/sharedStrings.xml><?xml version="1.0" encoding="utf-8"?>
<sst xmlns="http://schemas.openxmlformats.org/spreadsheetml/2006/main" count="1046" uniqueCount="516">
  <si>
    <t>Análise de Risco de Descargas Atmosféricas</t>
  </si>
  <si>
    <t>Cliente</t>
  </si>
  <si>
    <t>Endereço</t>
  </si>
  <si>
    <t>Tabela 1 - Características da Estrutura e do Meio Ambiente</t>
  </si>
  <si>
    <t>Parâmetro</t>
  </si>
  <si>
    <t>Comentário</t>
  </si>
  <si>
    <t>Referência</t>
  </si>
  <si>
    <t>Valor</t>
  </si>
  <si>
    <t>Id</t>
  </si>
  <si>
    <t>Densidade de descargas atmosféricas para o local estudado (1/km²/ano)</t>
  </si>
  <si>
    <t>INPE</t>
  </si>
  <si>
    <t>Dimensões da estrutura</t>
  </si>
  <si>
    <t>L</t>
  </si>
  <si>
    <t>W</t>
  </si>
  <si>
    <t>H</t>
  </si>
  <si>
    <t>AD'</t>
  </si>
  <si>
    <t>Estudo com formato prismático simples</t>
  </si>
  <si>
    <t>Fator de localização da estrutura</t>
  </si>
  <si>
    <t>Cd</t>
  </si>
  <si>
    <t>Tabela A.1</t>
  </si>
  <si>
    <t>SPDA instalado</t>
  </si>
  <si>
    <t>Pb</t>
  </si>
  <si>
    <t>Tabela B.1</t>
  </si>
  <si>
    <t>Tabela B.2</t>
  </si>
  <si>
    <t>Blindagem externa</t>
  </si>
  <si>
    <t>Wm1</t>
  </si>
  <si>
    <t>Wm2</t>
  </si>
  <si>
    <t>Ks1</t>
  </si>
  <si>
    <t>Ks2</t>
  </si>
  <si>
    <t>Eq B.5</t>
  </si>
  <si>
    <t>Eq B.6</t>
  </si>
  <si>
    <t>Ks1=0,12*Wm1</t>
  </si>
  <si>
    <t>Tabela 2 - Linhas conectadas à estutura</t>
  </si>
  <si>
    <t>Comprimento (m)</t>
  </si>
  <si>
    <t>Fator tipo de linha</t>
  </si>
  <si>
    <t>Fator ambiental</t>
  </si>
  <si>
    <t>Blindagem da linha</t>
  </si>
  <si>
    <t>Blindagem, aterramento, isolação</t>
  </si>
  <si>
    <t>Estrutura adjacente</t>
  </si>
  <si>
    <t>Fator de localização da estutura</t>
  </si>
  <si>
    <t>Tensão suportável do sistema interno (kV)</t>
  </si>
  <si>
    <t>Linha de energia</t>
  </si>
  <si>
    <t>Linha de sinal</t>
  </si>
  <si>
    <t>Ll</t>
  </si>
  <si>
    <t>Cl</t>
  </si>
  <si>
    <t>Ct</t>
  </si>
  <si>
    <t>Ce</t>
  </si>
  <si>
    <t>RS</t>
  </si>
  <si>
    <t>Cli</t>
  </si>
  <si>
    <t>Lj</t>
  </si>
  <si>
    <t>Wj</t>
  </si>
  <si>
    <t>Hj</t>
  </si>
  <si>
    <t>Cdj</t>
  </si>
  <si>
    <t>Uw</t>
  </si>
  <si>
    <t>Ks4</t>
  </si>
  <si>
    <t>Pld</t>
  </si>
  <si>
    <t>Pli</t>
  </si>
  <si>
    <t>Tabela A.2</t>
  </si>
  <si>
    <t>Tabela A.3</t>
  </si>
  <si>
    <t>Tabela A.4</t>
  </si>
  <si>
    <t>Tabela B.8</t>
  </si>
  <si>
    <t>Tabela B.4</t>
  </si>
  <si>
    <t>-</t>
  </si>
  <si>
    <t>Eq B.7</t>
  </si>
  <si>
    <t>Tabela B.9</t>
  </si>
  <si>
    <t>Atendimento ao público</t>
  </si>
  <si>
    <t>Tipo de piso</t>
  </si>
  <si>
    <t>Proteção contra choque (estrutura)</t>
  </si>
  <si>
    <t>Proteção contra choque (linha)</t>
  </si>
  <si>
    <t>Risco de incêndio ou explosão</t>
  </si>
  <si>
    <t>Proteção contra incêndio</t>
  </si>
  <si>
    <t>Energia</t>
  </si>
  <si>
    <t>Dados</t>
  </si>
  <si>
    <t>Fiação Interna</t>
  </si>
  <si>
    <t>DPS</t>
  </si>
  <si>
    <t>DPS coordenado</t>
  </si>
  <si>
    <t>Tipo de perigo especial</t>
  </si>
  <si>
    <t>rt</t>
  </si>
  <si>
    <t>Tabela 3 - Características da Zona de Exposição</t>
  </si>
  <si>
    <t>Pta</t>
  </si>
  <si>
    <t>Ptu</t>
  </si>
  <si>
    <t>rf</t>
  </si>
  <si>
    <t>rp</t>
  </si>
  <si>
    <t>PEB</t>
  </si>
  <si>
    <t>Ks3p</t>
  </si>
  <si>
    <t>hz</t>
  </si>
  <si>
    <t>Tabela C.3</t>
  </si>
  <si>
    <t>Tabela B.6</t>
  </si>
  <si>
    <t>Tabela C.5</t>
  </si>
  <si>
    <t>Tabela C.4</t>
  </si>
  <si>
    <t>Tabela B.5</t>
  </si>
  <si>
    <t>Tabela B.3</t>
  </si>
  <si>
    <t>Tabela C.6</t>
  </si>
  <si>
    <t>Tabela C.2</t>
  </si>
  <si>
    <t>Lt</t>
  </si>
  <si>
    <t>Ferimentos</t>
  </si>
  <si>
    <t>Danos Físicos</t>
  </si>
  <si>
    <t>Falhas de sistemas internos</t>
  </si>
  <si>
    <t>Lf1</t>
  </si>
  <si>
    <t>Lo0</t>
  </si>
  <si>
    <t>nz</t>
  </si>
  <si>
    <t>nt</t>
  </si>
  <si>
    <t>Thor</t>
  </si>
  <si>
    <t>Número de pessoas na zona de perigo</t>
  </si>
  <si>
    <t>Número de pessoas na estrutura inteira</t>
  </si>
  <si>
    <t>Horas por dia em que a estrutura se mantém ocupada</t>
  </si>
  <si>
    <t>Tempo, em horas por ano, em que as pessoas estão presentes em um local perigoso</t>
  </si>
  <si>
    <t>LU=LA=rt*Lt*nz/nt*tz/8760</t>
  </si>
  <si>
    <t>LU=LA</t>
  </si>
  <si>
    <t>LB=LV</t>
  </si>
  <si>
    <t>Eq. C.1</t>
  </si>
  <si>
    <t>Eq C.3</t>
  </si>
  <si>
    <t>Eq C.4</t>
  </si>
  <si>
    <t>tz</t>
  </si>
  <si>
    <t>Tdia</t>
  </si>
  <si>
    <t>Total de dias por ano em que a edificação se mantem ocupada</t>
  </si>
  <si>
    <t>LB=LV=rp*rf*hz*Lf*nz/nt*tz/8760</t>
  </si>
  <si>
    <t>LC= LM= LW=   LZ</t>
  </si>
  <si>
    <t>LC1=LM=LW=LZ=Lo0*nz/nt*tz/8760</t>
  </si>
  <si>
    <t>D2 - Danos Físicos</t>
  </si>
  <si>
    <t>D3 - Falhas de sistemas interno</t>
  </si>
  <si>
    <t>Lf2</t>
  </si>
  <si>
    <t>Lo2</t>
  </si>
  <si>
    <t>Consultado em:
http://www.inpe.br/webelat/ABNT_NBR5419_Ng/</t>
  </si>
  <si>
    <t>Tabela C.8</t>
  </si>
  <si>
    <t>Eq. C.7</t>
  </si>
  <si>
    <t>Eq. C.8</t>
  </si>
  <si>
    <t>LB2=LV=rp*rf*LF*nz/nt</t>
  </si>
  <si>
    <t>LC2=LM=LW=LZ=Lo2*nz/nt</t>
  </si>
  <si>
    <t>Tabela 4 - Tipos de Perdas Inaceitáveis de Vida Humana - L1</t>
  </si>
  <si>
    <t>Tabela 5 - Tipos de Perdas Inaceitáveis de Serviço ao Público - L2</t>
  </si>
  <si>
    <t>Tabela 6 - Tipos de Perdas Inaceitáveis ao Patrimônio Cultural - L3</t>
  </si>
  <si>
    <t>Perda cultural</t>
  </si>
  <si>
    <t>LF3</t>
  </si>
  <si>
    <t>Valores</t>
  </si>
  <si>
    <t>Tabela C.10</t>
  </si>
  <si>
    <t>Cz</t>
  </si>
  <si>
    <t>LB3=LV=rp*rf*LF*Cz/Ct</t>
  </si>
  <si>
    <t>Tabela 7 - Área de Exposição Equivalente</t>
  </si>
  <si>
    <t>Estrutura</t>
  </si>
  <si>
    <t>Linha de dados</t>
  </si>
  <si>
    <t>Ad</t>
  </si>
  <si>
    <t>Am</t>
  </si>
  <si>
    <t>Alp</t>
  </si>
  <si>
    <t>Adjp</t>
  </si>
  <si>
    <t>Ald</t>
  </si>
  <si>
    <t>Aip</t>
  </si>
  <si>
    <t>Aid</t>
  </si>
  <si>
    <t>Adjd</t>
  </si>
  <si>
    <t>Equação</t>
  </si>
  <si>
    <t>Ad=L*W+2*(3*H)*(L+W)+pi*(3*H)²</t>
  </si>
  <si>
    <t>Am=2*500*(L+W)+pi*500²</t>
  </si>
  <si>
    <t>Alp=40*Ll</t>
  </si>
  <si>
    <t>Aip=4000*Ll</t>
  </si>
  <si>
    <t>Adjp=Ljp*Wjp+2*(3*Hjp)*(Ljp+Wjp)+pi*(3*Hjp)²</t>
  </si>
  <si>
    <t>Ald=40*LI</t>
  </si>
  <si>
    <t>Aid=4000*Ll</t>
  </si>
  <si>
    <t>Eq. A.2</t>
  </si>
  <si>
    <t>Eq. A.7</t>
  </si>
  <si>
    <t>Eq. A.9</t>
  </si>
  <si>
    <t>Eq. A.11</t>
  </si>
  <si>
    <t>Eq A.2</t>
  </si>
  <si>
    <t>Tabela 8 - Número esperado Anual de Eventos perigosos</t>
  </si>
  <si>
    <t>Valor (1/ano)</t>
  </si>
  <si>
    <t>Nd=Ng*Ad*Cd*10E-6</t>
  </si>
  <si>
    <t>Nm=Ng*Am*10E-6</t>
  </si>
  <si>
    <t>Nd</t>
  </si>
  <si>
    <t>Nm</t>
  </si>
  <si>
    <t>Nlp</t>
  </si>
  <si>
    <t>Ndjp</t>
  </si>
  <si>
    <t>Ndjp=Ng*Adjp*Cdjp*Ctp*10E-6</t>
  </si>
  <si>
    <t>Eq. A.8</t>
  </si>
  <si>
    <t>Eq. A.10</t>
  </si>
  <si>
    <t>Eq. A.5</t>
  </si>
  <si>
    <t>Eq. A.4</t>
  </si>
  <si>
    <t>Eq. A.6</t>
  </si>
  <si>
    <t>Tabela 9 - Avaliação da Probabilidade Px de Danos</t>
  </si>
  <si>
    <t>Probabilidade da descarga causar:</t>
  </si>
  <si>
    <t>Pa</t>
  </si>
  <si>
    <t>Pc</t>
  </si>
  <si>
    <t>Pcp</t>
  </si>
  <si>
    <t>Pcd</t>
  </si>
  <si>
    <t>Eq. B.1</t>
  </si>
  <si>
    <t>Eq. B.2</t>
  </si>
  <si>
    <t>Eq. 14</t>
  </si>
  <si>
    <t>Pa=Pta*Pb</t>
  </si>
  <si>
    <t>Pc=1-(1-Pcp)*(1-Pcd)</t>
  </si>
  <si>
    <t>Eq. B.3</t>
  </si>
  <si>
    <t>Ferimentos a seres vivos por meio de choque elétrico</t>
  </si>
  <si>
    <t>Probabilidade da descarga perto da estrutura causar danos internos</t>
  </si>
  <si>
    <t>Pmp=Pspdp*Pmsp</t>
  </si>
  <si>
    <t>Pmd=Pspdd*Pmsd</t>
  </si>
  <si>
    <t>Probabilidade da descarga na linha causar ferimentos a seres vivos por choque</t>
  </si>
  <si>
    <t>Pmp</t>
  </si>
  <si>
    <t>Pmd</t>
  </si>
  <si>
    <t>Pup</t>
  </si>
  <si>
    <t>Pud</t>
  </si>
  <si>
    <t>Pup=Ptu*Peb*Pldp*Cldp</t>
  </si>
  <si>
    <t>Probabilidade da descarga na linha causar falhas de sistemas internos</t>
  </si>
  <si>
    <t>Probabilidade da descarga perto da linha causar falhas de sistemas internos</t>
  </si>
  <si>
    <t>Pwp</t>
  </si>
  <si>
    <t>Pzp</t>
  </si>
  <si>
    <t>Pwp=Pspdp*Pldp*Clp</t>
  </si>
  <si>
    <t>Pzp=Pspdp*Plip*Clip</t>
  </si>
  <si>
    <t>Eq. B.8</t>
  </si>
  <si>
    <t>Eq. B.10</t>
  </si>
  <si>
    <t>Eq. B.11</t>
  </si>
  <si>
    <t>NLp</t>
  </si>
  <si>
    <t>Pmsp</t>
  </si>
  <si>
    <t>Pmsd</t>
  </si>
  <si>
    <t>Pm</t>
  </si>
  <si>
    <t>RA</t>
  </si>
  <si>
    <t>RB</t>
  </si>
  <si>
    <t>RC</t>
  </si>
  <si>
    <t>RM</t>
  </si>
  <si>
    <t>RU</t>
  </si>
  <si>
    <t>RUp</t>
  </si>
  <si>
    <t>RUd</t>
  </si>
  <si>
    <t>Pvp</t>
  </si>
  <si>
    <t>Pvd</t>
  </si>
  <si>
    <t>RV</t>
  </si>
  <si>
    <t>RWp</t>
  </si>
  <si>
    <t>RWd</t>
  </si>
  <si>
    <t>RW</t>
  </si>
  <si>
    <t>RZp</t>
  </si>
  <si>
    <t>RZd</t>
  </si>
  <si>
    <t>RZ</t>
  </si>
  <si>
    <t>Pmsp=(Ks1*Ks2*Ks3p*Ks4p)²</t>
  </si>
  <si>
    <t>Pm=1-(1-Pmp)*(1-Pmd)</t>
  </si>
  <si>
    <t>RM=Nm*Pm*Lm</t>
  </si>
  <si>
    <t>Rup=(NLp+Ndjp)*Pup*LU</t>
  </si>
  <si>
    <t>Rud=(NLd+Ndjd)*Pud*LU</t>
  </si>
  <si>
    <t>Ru=(NL+Ndj)*Pu*LU</t>
  </si>
  <si>
    <t>Pvp=Peb*Pldp*Cldp</t>
  </si>
  <si>
    <t>Pvd=Peb*Pldd*Cldd</t>
  </si>
  <si>
    <t>Rvp</t>
  </si>
  <si>
    <t>RW=(NL+Ndj)*Pw*Lw</t>
  </si>
  <si>
    <t>RZ=Ni*Pz*Lz</t>
  </si>
  <si>
    <t>Eq. B.4</t>
  </si>
  <si>
    <t>Eq. 15</t>
  </si>
  <si>
    <t>Eq. 6</t>
  </si>
  <si>
    <t>Eq. 7</t>
  </si>
  <si>
    <t>Eq. 8</t>
  </si>
  <si>
    <t>Eq. 9</t>
  </si>
  <si>
    <t>Eq. 10</t>
  </si>
  <si>
    <t>Eq. B.9</t>
  </si>
  <si>
    <t>Eq. 11</t>
  </si>
  <si>
    <t>Eq. 12</t>
  </si>
  <si>
    <t>Eq. 13</t>
  </si>
  <si>
    <t>Localização relativa</t>
  </si>
  <si>
    <t xml:space="preserve"> CD</t>
  </si>
  <si>
    <t>Estrutura cercada por objetos mais altos</t>
  </si>
  <si>
    <t>Estrutura cercada por objetos da mesma altura ou mais baixos</t>
  </si>
  <si>
    <t>Estrutura isolada: nenhum outro objeto nas vizinhanças</t>
  </si>
  <si>
    <t>Estrutura isolada no topo de uma colina ou monte</t>
  </si>
  <si>
    <t>Tabela A.2 – Fator de instalação da linha CI</t>
  </si>
  <si>
    <t>Aéreo</t>
  </si>
  <si>
    <t>Enterrado</t>
  </si>
  <si>
    <t>Cabos enterrados instalados completamente dentro de uma malha de aterramento (ABNT NBR 5419-4:2015, 5.2).</t>
  </si>
  <si>
    <t>Roteamento</t>
  </si>
  <si>
    <t>CI</t>
  </si>
  <si>
    <t>Tabela A.1 – Fator de localização da estrutura CD</t>
  </si>
  <si>
    <t>Tabela A.3 – Fator tipo de linha CT</t>
  </si>
  <si>
    <t>Instalação</t>
  </si>
  <si>
    <t xml:space="preserve"> CT</t>
  </si>
  <si>
    <t>Linha de energia ou sinal</t>
  </si>
  <si>
    <t>Linha de energia em AT (com transformador AT/BT)</t>
  </si>
  <si>
    <t>Tabela A.4 – Fator ambiental da linha CE</t>
  </si>
  <si>
    <t>Ambiente</t>
  </si>
  <si>
    <t xml:space="preserve"> CE</t>
  </si>
  <si>
    <t>Rural</t>
  </si>
  <si>
    <t>Suburbano</t>
  </si>
  <si>
    <t>Urbano</t>
  </si>
  <si>
    <t>Tabela B.1 – Valores de probabilidade PTA de uma descarga atmosférica em uma estrutura causar choque a seres vivos devido a tensões de toque e de passo perigosas</t>
  </si>
  <si>
    <t xml:space="preserve">Medida de proteção adicional </t>
  </si>
  <si>
    <t>PTA</t>
  </si>
  <si>
    <t>Nenhuma medida de proteção</t>
  </si>
  <si>
    <t>Avisos de alerta</t>
  </si>
  <si>
    <t>Isolação elétrica (por exemplo, de pelo menos 3 mm de polietileno reticulado das partes expostas (por exemplo, condutores de descidas)</t>
  </si>
  <si>
    <t>Equipotencialização efetiva do solo</t>
  </si>
  <si>
    <t>Restrições físicas ou estrutura do edifício utilizada como subsistema de descida</t>
  </si>
  <si>
    <t>Tabela B.2 – Valores de probabilidade PB dependendo das medidas de proteção para reduzir danos físicos</t>
  </si>
  <si>
    <t>Estrutura não protegida por SPDA</t>
  </si>
  <si>
    <t>Estrutura protegida por SPDA classe I</t>
  </si>
  <si>
    <t>Estrutura protegida por SPDA classe II</t>
  </si>
  <si>
    <t>Estrutura protegida por SPDA classe III</t>
  </si>
  <si>
    <t>Estrutura protegida por SPDA classe IV</t>
  </si>
  <si>
    <t>Estrutura com subsistema de captação conforme SPDA classe I e uma estrutura metálica contínua ou de concreto armado atuando como um subsistema de descida natural</t>
  </si>
  <si>
    <t>Estrutura com cobertura metálica e um subsistema de captação,
possivelmente incluindo componentes naturais, com proteção completa
de qualquer instalação na cobertura contra descargas atmosféricas
diretas e uma estrutura metálica contínua ou de concreto armado
atuando como um subsistema de descidas natural</t>
  </si>
  <si>
    <t>Tabela B.3 – Valores de probabilidade de PSPD em função do NP para o qual os DPS foram
projetados</t>
  </si>
  <si>
    <t>NP</t>
  </si>
  <si>
    <t>PSPD</t>
  </si>
  <si>
    <t>Nenhum sistema de DPS coordenado</t>
  </si>
  <si>
    <t>III-IV</t>
  </si>
  <si>
    <t>II</t>
  </si>
  <si>
    <t>I</t>
  </si>
  <si>
    <t>Outro</t>
  </si>
  <si>
    <t>Tabela B.4 – Valores dos fatores CLD e CLI dependendo das condições de blindagem
aterramento e isolamento</t>
  </si>
  <si>
    <t>Tipo de linha externa, Conexão de entrada</t>
  </si>
  <si>
    <t>CLD</t>
  </si>
  <si>
    <t>CLI</t>
  </si>
  <si>
    <t>Linha aérea não blindada, Indefinida</t>
  </si>
  <si>
    <t>Linha enterrada não blindada, Indefinida</t>
  </si>
  <si>
    <t>Linha de energia com neutro
multiaterrado, Nenhuma</t>
  </si>
  <si>
    <t>Linha enterrada blindada
(energia ou sinal), Blindagem não interligada ao mesmo
barramento de equipotencialização que o
equipamento</t>
  </si>
  <si>
    <t>Linha aérea blindada
(energia ou sinal), Blindagem não interligada ao mesmo
barramento de equipotencialização que o
equipamento</t>
  </si>
  <si>
    <t>Linha aérea blindada
(energia ou sinal), Blindagem não interligada ao mesmo
barramento de equipotencialização que o
equipamento, Blindagem interligada ao mesmo barramento
de equipotencialização que o equipamento</t>
  </si>
  <si>
    <t>Cabo protegido contra
descargas atmosféricas
ou cabeamento em dutos
para cabos protegido contra
descargas atmosféricas,
eletrodutos metálicos ou tubos
metálicos, Blindagem interligada ao mesmo barramento
de equipotencialização que o equipamento</t>
  </si>
  <si>
    <t>(Nenhuma linha externa), Sem conexões com linhas externas (sistemas
independentes)</t>
  </si>
  <si>
    <t>Qualquer tipo, Interfaces isolantes de acordo com a
ABNT NBR 5419-4</t>
  </si>
  <si>
    <t>Tabela B.5 – Valor do fator KS3 dependendo da fiação interna</t>
  </si>
  <si>
    <t>Tipo de fiação interna</t>
  </si>
  <si>
    <t>KS3</t>
  </si>
  <si>
    <t>Cabo não blindado – sem preocupação no
roteamento no sentido de evitar laços</t>
  </si>
  <si>
    <t>Cabo não blindado – preocupação no
roteamento no sentido de evitar grandes laços</t>
  </si>
  <si>
    <t>Cabo não blindado – preocupação no
roteamento no sentido de evitar laços</t>
  </si>
  <si>
    <t>Cabos blindados e cabos instalados em
eletrodutos metálicos</t>
  </si>
  <si>
    <t>Tabela B.6 – Valores da probabilidade PTU de uma descarga atmosférica em uma linha que
adentre a estrutura causar choque a seres vivos devido a tensões de toque perigosas</t>
  </si>
  <si>
    <t>Medida de proteção</t>
  </si>
  <si>
    <t>PTU</t>
  </si>
  <si>
    <t>Avisos visíveis de alerta</t>
  </si>
  <si>
    <t>Isolação elétrica</t>
  </si>
  <si>
    <t>Restrições físicas</t>
  </si>
  <si>
    <t>Sem DPS</t>
  </si>
  <si>
    <t>Tabela B.8 – Valores da probabilidade PLD dependendo da resistência RS da blindagem
do cabo e da tensão suportável de impulso UW do equipamento</t>
  </si>
  <si>
    <t>Linha aérea ou enterrada, não blindada ou
com a blindagem não interligada ao mesmo
barramento de equipotencialização do
equipamento</t>
  </si>
  <si>
    <t>Blindada aérea
ou enterrada
cuja blindagem
está interligada
ao mesmo
barramento de
equipotencialização
do equipamento, 5Ω/km &lt; RS
≤ 20 Ω/km</t>
  </si>
  <si>
    <t>Blindada aérea
ou enterrada
cuja blindagem
está interligada
ao mesmo
barramento de
equipotencialização
do equipamento, 1Ω/km &lt; RS ≤ 5 Ω/km</t>
  </si>
  <si>
    <t>Blindada aérea
ou enterrada
cuja blindagem
está interligada
ao mesmo
barramento de
equipotencialização
do equipamento, RS ≤ 1 Ω/km</t>
  </si>
  <si>
    <t>Condições do roteamento, blindagem
e interligação</t>
  </si>
  <si>
    <t>Tensão suportável UW em kV</t>
  </si>
  <si>
    <t>Tabela B.9 – Valores da probabilidade PLI dependendo do tipo da linha e da tensão suportável
de impulso UW dos equipamentos</t>
  </si>
  <si>
    <t>Tipo da linha</t>
  </si>
  <si>
    <t>Linhas de energia</t>
  </si>
  <si>
    <t>Linhas de sinais</t>
  </si>
  <si>
    <t>Todos os tipos</t>
  </si>
  <si>
    <t>Tabela C.2 – Tipo de perda L1: Valores médios típicos de LT, LF e LO</t>
  </si>
  <si>
    <t>Lf</t>
  </si>
  <si>
    <t>Risco de explosão</t>
  </si>
  <si>
    <t>Hospital, hotel, escola, edifício cívico</t>
  </si>
  <si>
    <t>Entretenimento publico, igreja, museu</t>
  </si>
  <si>
    <t>Industrial, comercial</t>
  </si>
  <si>
    <t>Outros</t>
  </si>
  <si>
    <t>Lo</t>
  </si>
  <si>
    <t>Unidade de terapia intensiva e bloco
cirúrgico de hospital</t>
  </si>
  <si>
    <t>Outras partes de hospital</t>
  </si>
  <si>
    <t>Tabela C.3 – Fator de redução rt em função do tipo da superfície do solo ou piso</t>
  </si>
  <si>
    <t>Tipo de superfície</t>
  </si>
  <si>
    <t>Agricultura, concreto</t>
  </si>
  <si>
    <t>Marmore, cerâmica</t>
  </si>
  <si>
    <t>Cascalho, tapete, carpete</t>
  </si>
  <si>
    <t>Asfalto, linóleo, madeira</t>
  </si>
  <si>
    <t>Tabela C.4 – Fator de redução rp em função das providências tomadas para reduzir
as consequências de um incêndio</t>
  </si>
  <si>
    <t>Providências</t>
  </si>
  <si>
    <t>Nenhuma providência</t>
  </si>
  <si>
    <t>Uma das seguintes providências: extintores, instalações fixas operadas
manualmente, instalações de alarme manuais, hidrantes, compartimentos à prova
de fogo, rotas de escape</t>
  </si>
  <si>
    <t>Uma das seguintes providências: instalações fixas operadas automaticamente,
instalações de alarme automático</t>
  </si>
  <si>
    <t>Tabela C.5 – Fator de redução rf em função do risco de incêndio ou explosão na estrutura</t>
  </si>
  <si>
    <t>Risco</t>
  </si>
  <si>
    <t>Explosão, Zonas 0, 20 e explosivos sólidos</t>
  </si>
  <si>
    <t>Explosão, Zonas 1, 21</t>
  </si>
  <si>
    <t>Explosão, Zonas 2, 22</t>
  </si>
  <si>
    <t>Incêndio, Alto</t>
  </si>
  <si>
    <t>Incêndio, Normal</t>
  </si>
  <si>
    <t>Incêndio, Baixo</t>
  </si>
  <si>
    <t>Explosão ou incêndio</t>
  </si>
  <si>
    <t>Tabela C.6 – Fator hz aumentando a quantidade relativa de perda na presença
de um perigo especial</t>
  </si>
  <si>
    <t>Sem perigo especial</t>
  </si>
  <si>
    <t>Baixo nível de pânico (por exemplo, uma estrutura limitada a dois andares
e número de pessoas não superior a 100)</t>
  </si>
  <si>
    <t>Nível médio de pânico (por exemplo, estruturas designadas para eventos
culturais ou esportivos com um número de participantes entre 100 e 1 000
pessoas)</t>
  </si>
  <si>
    <t>Dificuldade de evacuação (por exemplo, estrutura com pessoas imobilizadas,
hospitais)</t>
  </si>
  <si>
    <t>Alto nível de pânico (por exemplo, estruturas designadas para eventos culturais
ou esportivos com um número de participantes maior que 1 000 pessoas)</t>
  </si>
  <si>
    <t>Tabela C.8 – Tipo de perda L2: valores médios típicos de LF e LO</t>
  </si>
  <si>
    <t>Tipo de dano</t>
  </si>
  <si>
    <t>Gás, água, fornecimento de energia</t>
  </si>
  <si>
    <t>TV, linhas de sinais</t>
  </si>
  <si>
    <t>LF/Lo</t>
  </si>
  <si>
    <t>Não se aplica</t>
  </si>
  <si>
    <t>Padrão Ll=1000</t>
  </si>
  <si>
    <t>Urbano com edifícios mais altos que 20 m</t>
  </si>
  <si>
    <t>Dimensões da estrutura adjacente</t>
  </si>
  <si>
    <t>Tensão suportável do sistema interno</t>
  </si>
  <si>
    <t>Se aplica</t>
  </si>
  <si>
    <t>Fator de instalação</t>
  </si>
  <si>
    <t>Tabela C.10 – Tipo de perda L3: valor médio típico de LF</t>
  </si>
  <si>
    <t>Museus, galerias</t>
  </si>
  <si>
    <t>AD' (somente para construções com formatos complexos)</t>
  </si>
  <si>
    <t>Blindagem</t>
  </si>
  <si>
    <t>5Ω/km &lt; RS
≤ 20 Ω/km</t>
  </si>
  <si>
    <t xml:space="preserve"> 1Ω/km &lt; RS ≤ 5 Ω/km</t>
  </si>
  <si>
    <t>RS ≤ 1 Ω/km</t>
  </si>
  <si>
    <t>Metros</t>
  </si>
  <si>
    <t xml:space="preserve">Padrão Ll=1000 </t>
  </si>
  <si>
    <t>Eq. C.12</t>
  </si>
  <si>
    <t>Cz - Valor do patrimônio cultural</t>
  </si>
  <si>
    <t>Ct - valor total da edificação e conteúdo da estrutura</t>
  </si>
  <si>
    <t>Milhões de reais</t>
  </si>
  <si>
    <t>Adjd=Ljd*Wjd+2*(3*Hjd)*(Ljd+Wjd)+pi*(3*Hjd)²</t>
  </si>
  <si>
    <t>Ng</t>
  </si>
  <si>
    <t>Pcp=Pspdp*Cldp</t>
  </si>
  <si>
    <t>RA=Nd*Pa*LA</t>
  </si>
  <si>
    <t>RB=Nd*Pb*LB</t>
  </si>
  <si>
    <t>Ks2=0,12*Wm2</t>
  </si>
  <si>
    <t>Pspdp</t>
  </si>
  <si>
    <t>Pud=Ptu*Peb*Pldd*Cldd</t>
  </si>
  <si>
    <t>Pmst=(Ks1*Ks2*Ks3d*Ks4d)²</t>
  </si>
  <si>
    <t>Tabela 6 - Perda Econômica - L4</t>
  </si>
  <si>
    <t>Valor dos animais na zona</t>
  </si>
  <si>
    <t>ca</t>
  </si>
  <si>
    <t>Valor da edificação relevante à zona</t>
  </si>
  <si>
    <t>cb</t>
  </si>
  <si>
    <t>cc</t>
  </si>
  <si>
    <t>cs</t>
  </si>
  <si>
    <t>ct</t>
  </si>
  <si>
    <t>Valor do conteúdo da zona</t>
  </si>
  <si>
    <t>Valor dos sistemas internos inluindo suas atividades</t>
  </si>
  <si>
    <t>Valor total da estrutura</t>
  </si>
  <si>
    <t>Tabela C.12 – Tipo de perda L4: valores médios típicos de LT, LF e LO</t>
  </si>
  <si>
    <t>Todos os tipos onde somente animais estão presentes</t>
  </si>
  <si>
    <t>Hospital, industrial, museu, agricultura</t>
  </si>
  <si>
    <t>Hotel, escola, escritório, igreja, entretenimento público,
comercial</t>
  </si>
  <si>
    <t>Hospital, industrial, escritório, hotel, comercial</t>
  </si>
  <si>
    <t>Museu, agricultura, escola, igreja, entretenimento
público</t>
  </si>
  <si>
    <t>Ferimento devido a choque</t>
  </si>
  <si>
    <t>Danos físicos</t>
  </si>
  <si>
    <t>Falha de sistemas</t>
  </si>
  <si>
    <t>Tabela C.12</t>
  </si>
  <si>
    <t>LU=LA=rt*Lt*ca/ct</t>
  </si>
  <si>
    <t>Eq. C.10</t>
  </si>
  <si>
    <t>LB=LV=rp*rf*hz*Lf*(ca+cb+cc+cs)/ct</t>
  </si>
  <si>
    <t>LC=LM=LW=LZ=Lo*cs/ct</t>
  </si>
  <si>
    <t>Eq. C.13</t>
  </si>
  <si>
    <t>Cldp</t>
  </si>
  <si>
    <t>Ks3t</t>
  </si>
  <si>
    <t>Pspdt</t>
  </si>
  <si>
    <t>Ligação Equipotencial</t>
  </si>
  <si>
    <t>Peb</t>
  </si>
  <si>
    <t>Tabela B.7</t>
  </si>
  <si>
    <t>Probabilidade da descarga em uma linha causar danos físicos</t>
  </si>
  <si>
    <t>Probabilidade da descarga na estrutura causar falha nos sistemas interno</t>
  </si>
  <si>
    <t>Composição</t>
  </si>
  <si>
    <t>Nlp=Ng*Aip*Cip*Cep*Ctp*10E-6</t>
  </si>
  <si>
    <t>NLp=Ng*Alp*Cip*Cep*Ctp*10E-6</t>
  </si>
  <si>
    <t>Pwd</t>
  </si>
  <si>
    <t>Pzd</t>
  </si>
  <si>
    <t>Pzd=Pspdd*Plid*Clid</t>
  </si>
  <si>
    <t>Pwd=Pspdd*Pldd*Cld</t>
  </si>
  <si>
    <t>R1</t>
  </si>
  <si>
    <t>R2</t>
  </si>
  <si>
    <t>R3</t>
  </si>
  <si>
    <t>R4</t>
  </si>
  <si>
    <t>R1=RA+RB+RC+RM+RU+RV+RW+RZ</t>
  </si>
  <si>
    <t>R4=RA+RB+RC+RM+RU+RV+RW+RZ</t>
  </si>
  <si>
    <t>R2=RB+RC+RM+RV+RW+RZ</t>
  </si>
  <si>
    <t>R3=RB+RV</t>
  </si>
  <si>
    <t>Eq. 1</t>
  </si>
  <si>
    <t>Eq. 2</t>
  </si>
  <si>
    <t>Eq. 3</t>
  </si>
  <si>
    <t>Eq. 4</t>
  </si>
  <si>
    <t>Não</t>
  </si>
  <si>
    <t>Rvt</t>
  </si>
  <si>
    <t xml:space="preserve">RC=Nd*Pc*LC </t>
  </si>
  <si>
    <t>Rvp=(NLp+Ndjp)*Pvp*LV</t>
  </si>
  <si>
    <t>Rvt=(NLt+Ndjt)*Pvt*LV</t>
  </si>
  <si>
    <t>RV=(NL+Ndj)*Pv*LV</t>
  </si>
  <si>
    <t>Rwp=(NLp+Ndjp)*Pwp*LW</t>
  </si>
  <si>
    <t>Rwt=(NLt+Ndjt)*Pwt*LW</t>
  </si>
  <si>
    <t>Perda de patrimônio cultural</t>
  </si>
  <si>
    <t>Animais</t>
  </si>
  <si>
    <t>Avaliação econômica</t>
  </si>
  <si>
    <t>Tolerável</t>
  </si>
  <si>
    <t>RA+RB+RU+RV</t>
  </si>
  <si>
    <t>LC= LM= LW=    LZ</t>
  </si>
  <si>
    <t>RW=(NL+Ndj)*Pw*LW</t>
  </si>
  <si>
    <t>RZ=Ni*Pz*LZ</t>
  </si>
  <si>
    <t>Medida instalada</t>
  </si>
  <si>
    <t>Fiação interna</t>
  </si>
  <si>
    <t>Proteção</t>
  </si>
  <si>
    <t>id</t>
  </si>
  <si>
    <t>Ligação equipotencial</t>
  </si>
  <si>
    <t xml:space="preserve"> Análise do Risco</t>
  </si>
  <si>
    <t>Proteções Adotadas</t>
  </si>
  <si>
    <t xml:space="preserve"> Avaliação da Probabilidade Px de Danos</t>
  </si>
  <si>
    <t>Pspdd</t>
  </si>
  <si>
    <t>Pcd=Pspdd*Cldd</t>
  </si>
  <si>
    <t>Cldd</t>
  </si>
  <si>
    <t>NLd</t>
  </si>
  <si>
    <t>Nld</t>
  </si>
  <si>
    <t>Ndjd</t>
  </si>
  <si>
    <t>NLd=Ng*Alt*Clt*Cet*Ctt*10E-6</t>
  </si>
  <si>
    <t>Ndjd=Ng*Adjd*Cdjd*Ctd*10E-6</t>
  </si>
  <si>
    <t>Nld=Ng*Aid*Cid*Ced*Ctd*10E-6</t>
  </si>
  <si>
    <t>RU=(NL+Ndj)*Pu*LU</t>
  </si>
  <si>
    <t>RUp=(NLp+Ndjp)*Pup*LU</t>
  </si>
  <si>
    <t>RUd=(NLd+Ndjd)*Pud*LU</t>
  </si>
  <si>
    <t>RVp=(NLp+Ndjp)*Pvp*LV</t>
  </si>
  <si>
    <t>RWp=(NLp+Ndjp)*Pwp*LW</t>
  </si>
  <si>
    <t>RZp=Nlp*Pzp*Lz</t>
  </si>
  <si>
    <t>RWd=(NLd+Ndjd)*Pwd*LW</t>
  </si>
  <si>
    <t>RVd=(NLd+Ndjd)*Pvd*LV</t>
  </si>
  <si>
    <t>Rvd</t>
  </si>
  <si>
    <t>RZd=Nld*Pzd*Lz</t>
  </si>
  <si>
    <t>RZp=Nlp*Pzp*LZ</t>
  </si>
  <si>
    <t>RZd=Nld*Pzd*LZ</t>
  </si>
  <si>
    <t>Rzp=Nlp*Pzp*LZ</t>
  </si>
  <si>
    <t>Rzd=Nld*Pzd*LZ</t>
  </si>
  <si>
    <t>RM=Nm*Pm*LM</t>
  </si>
  <si>
    <t>Atende?</t>
  </si>
  <si>
    <t xml:space="preserve"> Análise das Componentes de Risco para R1</t>
  </si>
  <si>
    <t xml:space="preserve"> Análise das Componentes de Risco para R4</t>
  </si>
  <si>
    <t>Sim</t>
  </si>
  <si>
    <t>Risco de explosão ou hospital</t>
  </si>
  <si>
    <t>Tabela 10 - Análise das Componentes de Risco para R1</t>
  </si>
  <si>
    <t>Tabela 11 - Análise das Componentes de Risco para R4</t>
  </si>
  <si>
    <t>Tabela 12 - Análise do Risco</t>
  </si>
  <si>
    <t>Tabela B.7 – Valor da probabilidade PEB em função do NP para o qual os DPS foram projetados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</si>
</sst>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\ &quot;kV&quot;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rgb="FF4285F4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3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3" borderId="2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11" fontId="5" fillId="3" borderId="2" xfId="1" applyNumberFormat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center" vertical="center"/>
    </xf>
    <xf numFmtId="0" fontId="5" fillId="3" borderId="0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left" vertical="center"/>
    </xf>
    <xf numFmtId="3" fontId="5" fillId="3" borderId="2" xfId="1" applyNumberFormat="1" applyFont="1" applyFill="1" applyBorder="1" applyAlignment="1">
      <alignment horizontal="center" vertical="center"/>
    </xf>
    <xf numFmtId="164" fontId="5" fillId="3" borderId="2" xfId="1" applyNumberFormat="1" applyFont="1" applyFill="1" applyBorder="1" applyAlignment="1">
      <alignment horizontal="center" vertical="center"/>
    </xf>
    <xf numFmtId="11" fontId="5" fillId="3" borderId="2" xfId="1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2">
    <cellStyle name="Célula de Verificação" xfId="1" builtinId="23"/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210</xdr:row>
      <xdr:rowOff>66673</xdr:rowOff>
    </xdr:from>
    <xdr:to>
      <xdr:col>18</xdr:col>
      <xdr:colOff>104775</xdr:colOff>
      <xdr:row>244</xdr:row>
      <xdr:rowOff>74542</xdr:rowOff>
    </xdr:to>
    <xdr:sp macro="" textlink="">
      <xdr:nvSpPr>
        <xdr:cNvPr id="2" name="CaixaDeTexto 1"/>
        <xdr:cNvSpPr txBox="1"/>
      </xdr:nvSpPr>
      <xdr:spPr>
        <a:xfrm>
          <a:off x="152400" y="31209282"/>
          <a:ext cx="5915853" cy="47952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Considerando</a:t>
          </a:r>
          <a:r>
            <a:rPr lang="pt-BR" sz="1100" baseline="0"/>
            <a:t> que:</a:t>
          </a:r>
        </a:p>
        <a:p>
          <a:endParaRPr lang="pt-BR" sz="1100" baseline="0"/>
        </a:p>
        <a:p>
          <a:r>
            <a:rPr lang="pt-BR" sz="1100" baseline="0"/>
            <a:t>R1 numera o risco de perda de vida humana;</a:t>
          </a:r>
        </a:p>
        <a:p>
          <a:r>
            <a:rPr lang="pt-BR" sz="1100" baseline="0"/>
            <a:t>R2 numera o risco de perdas de serviço público</a:t>
          </a:r>
        </a:p>
        <a:p>
          <a:r>
            <a:rPr lang="pt-BR" sz="1100"/>
            <a:t>R3 numera o risco de perdas de patrimônio cultural</a:t>
          </a:r>
        </a:p>
        <a:p>
          <a:r>
            <a:rPr lang="pt-BR" sz="1100"/>
            <a:t>R4 numera o risco de perdas de valor econômico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/>
            <a:t>RA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numera a componente relacionado a seres vivos por choque elétrico (D1, S1)</a:t>
          </a:r>
          <a:endParaRPr lang="pt-BR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/>
            <a:t>RB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numera 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componente relacionado a danos físicos (D2, S1)</a:t>
          </a:r>
          <a:endParaRPr lang="pt-BR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/>
            <a:t>RC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numera a componente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relacionado à falha de sistemas internos (D3, S1)</a:t>
          </a:r>
          <a:endParaRPr lang="pt-BR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/>
            <a:t>RM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numera a componente relacionada à falha de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sistemas internos (D3, S2)</a:t>
          </a:r>
          <a:endParaRPr lang="pt-BR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/>
            <a:t>RU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numera a componente relacionado a seres vivos por choque elétrico (D1, S3)</a:t>
          </a:r>
          <a:endParaRPr lang="pt-BR" sz="1100"/>
        </a:p>
        <a:p>
          <a:pPr eaLnBrk="1" fontAlgn="auto" latinLnBrk="0" hangingPunct="1"/>
          <a:r>
            <a:rPr lang="pt-BR" sz="1100"/>
            <a:t>RV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numera 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componente relacionado a danos físicos (D2, S3)</a:t>
          </a:r>
          <a:endParaRPr lang="pt-BR">
            <a:effectLst/>
          </a:endParaRPr>
        </a:p>
        <a:p>
          <a:pPr eaLnBrk="1" fontAlgn="auto" latinLnBrk="0" hangingPunct="1"/>
          <a:r>
            <a:rPr lang="pt-BR" sz="1100"/>
            <a:t>RW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numera a componente relacionada à falha de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sistemas internos (D3, S3)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RZ numera a componente relacionada à falha de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sistemas internos (D3, S4)</a:t>
          </a:r>
          <a:endParaRPr lang="pt-BR">
            <a:effectLst/>
          </a:endParaRPr>
        </a:p>
        <a:p>
          <a:pPr eaLnBrk="1" fontAlgn="auto" latinLnBrk="0" hangingPunct="1"/>
          <a:endParaRPr lang="pt-BR">
            <a:effectLst/>
          </a:endParaRPr>
        </a:p>
        <a:p>
          <a:endParaRPr lang="pt-BR" sz="1100"/>
        </a:p>
        <a:p>
          <a:r>
            <a:rPr lang="pt-BR" sz="1100"/>
            <a:t>Conclui-se:</a:t>
          </a:r>
        </a:p>
        <a:p>
          <a:endParaRPr lang="pt-BR" sz="1100"/>
        </a:p>
        <a:p>
          <a:r>
            <a:rPr lang="pt-BR" sz="1100"/>
            <a:t>Dada</a:t>
          </a:r>
          <a:r>
            <a:rPr lang="pt-BR" sz="1100" baseline="0"/>
            <a:t> a análise de risco e comparando com os valores de risco máximos sugeridos pela ABNT NBR5410-2 de 2015, a edificação não está protegida contra descargas atmosféricas, pois o risco é menor que o risco máximo tolerável.</a:t>
          </a:r>
        </a:p>
        <a:p>
          <a:endParaRPr lang="pt-BR" sz="1100" baseline="0"/>
        </a:p>
        <a:p>
          <a:r>
            <a:rPr lang="pt-BR" sz="1100" baseline="0"/>
            <a:t>Um estudo de correção é dado.</a:t>
          </a:r>
        </a:p>
        <a:p>
          <a:endParaRPr lang="pt-BR" sz="1100" baseline="0"/>
        </a:p>
      </xdr:txBody>
    </xdr:sp>
    <xdr:clientData/>
  </xdr:twoCellAnchor>
  <xdr:twoCellAnchor>
    <xdr:from>
      <xdr:col>0</xdr:col>
      <xdr:colOff>38100</xdr:colOff>
      <xdr:row>4</xdr:row>
      <xdr:rowOff>47624</xdr:rowOff>
    </xdr:from>
    <xdr:to>
      <xdr:col>18</xdr:col>
      <xdr:colOff>257175</xdr:colOff>
      <xdr:row>16</xdr:row>
      <xdr:rowOff>104775</xdr:rowOff>
    </xdr:to>
    <xdr:sp macro="" textlink="">
      <xdr:nvSpPr>
        <xdr:cNvPr id="4" name="CaixaDeTexto 3"/>
        <xdr:cNvSpPr txBox="1"/>
      </xdr:nvSpPr>
      <xdr:spPr>
        <a:xfrm>
          <a:off x="38100" y="761999"/>
          <a:ext cx="6219825" cy="17716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As</a:t>
          </a:r>
          <a:r>
            <a:rPr lang="pt-BR" sz="1100" baseline="0"/>
            <a:t> principais zonas de estudo podem ser definidas:</a:t>
          </a:r>
        </a:p>
        <a:p>
          <a:r>
            <a:rPr lang="pt-BR" sz="1100" baseline="0"/>
            <a:t>Z0 - Fora da estrutura</a:t>
          </a:r>
        </a:p>
        <a:p>
          <a:r>
            <a:rPr lang="pt-BR" sz="1100" baseline="0"/>
            <a:t>Z1 - Dentro da estrutura</a:t>
          </a:r>
        </a:p>
        <a:p>
          <a:endParaRPr lang="pt-BR" sz="1100" baseline="0"/>
        </a:p>
        <a:p>
          <a:r>
            <a:rPr lang="pt-BR" sz="1100" baseline="0"/>
            <a:t>Para a zona Z0, considera-se que nenhuma pessoa está fora da estrutura e, portanto, o risco R1 nesta zona é nulo.</a:t>
          </a:r>
        </a:p>
        <a:p>
          <a:r>
            <a:rPr lang="pt-BR" sz="1100" baseline="0"/>
            <a:t>Para a zona Z1, não haverá estudo do risco econômico R4. O risco R1 para esta zona é considerado tendo em vista a presença de pessoas e é demonstrado no decorrer deste estudo.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85726</xdr:rowOff>
    </xdr:from>
    <xdr:to>
      <xdr:col>18</xdr:col>
      <xdr:colOff>142875</xdr:colOff>
      <xdr:row>6</xdr:row>
      <xdr:rowOff>0</xdr:rowOff>
    </xdr:to>
    <xdr:sp macro="" textlink="">
      <xdr:nvSpPr>
        <xdr:cNvPr id="2" name="CaixaDeTexto 1"/>
        <xdr:cNvSpPr txBox="1"/>
      </xdr:nvSpPr>
      <xdr:spPr>
        <a:xfrm>
          <a:off x="38100" y="85726"/>
          <a:ext cx="6105525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Dado a necessidade do</a:t>
          </a:r>
          <a:r>
            <a:rPr lang="pt-BR" sz="1100" baseline="0"/>
            <a:t> reforço do SPDA, um cenário é estudado com as seguintes variáveis modificadas:</a:t>
          </a:r>
          <a:endParaRPr lang="pt-BR" sz="1100"/>
        </a:p>
      </xdr:txBody>
    </xdr:sp>
    <xdr:clientData/>
  </xdr:twoCellAnchor>
  <xdr:twoCellAnchor>
    <xdr:from>
      <xdr:col>0</xdr:col>
      <xdr:colOff>66675</xdr:colOff>
      <xdr:row>18</xdr:row>
      <xdr:rowOff>95249</xdr:rowOff>
    </xdr:from>
    <xdr:to>
      <xdr:col>18</xdr:col>
      <xdr:colOff>219075</xdr:colOff>
      <xdr:row>20</xdr:row>
      <xdr:rowOff>133350</xdr:rowOff>
    </xdr:to>
    <xdr:sp macro="" textlink="">
      <xdr:nvSpPr>
        <xdr:cNvPr id="3" name="CaixaDeTexto 2"/>
        <xdr:cNvSpPr txBox="1"/>
      </xdr:nvSpPr>
      <xdr:spPr>
        <a:xfrm>
          <a:off x="66675" y="2381249"/>
          <a:ext cx="6153150" cy="3238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Dados os novos coeficientes</a:t>
          </a:r>
          <a:r>
            <a:rPr lang="pt-BR" sz="1100" baseline="0"/>
            <a:t> acima, os novos valores de probabilidade e riscos são calculados:</a:t>
          </a:r>
          <a:endParaRPr lang="pt-BR" sz="1100"/>
        </a:p>
      </xdr:txBody>
    </xdr:sp>
    <xdr:clientData/>
  </xdr:twoCellAnchor>
  <xdr:twoCellAnchor>
    <xdr:from>
      <xdr:col>0</xdr:col>
      <xdr:colOff>0</xdr:colOff>
      <xdr:row>29</xdr:row>
      <xdr:rowOff>69917</xdr:rowOff>
    </xdr:from>
    <xdr:to>
      <xdr:col>18</xdr:col>
      <xdr:colOff>240196</xdr:colOff>
      <xdr:row>38</xdr:row>
      <xdr:rowOff>85725</xdr:rowOff>
    </xdr:to>
    <xdr:sp macro="" textlink="">
      <xdr:nvSpPr>
        <xdr:cNvPr id="4" name="CaixaDeTexto 3"/>
        <xdr:cNvSpPr txBox="1"/>
      </xdr:nvSpPr>
      <xdr:spPr>
        <a:xfrm>
          <a:off x="0" y="3784667"/>
          <a:ext cx="6240946" cy="13016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aseline="0"/>
            <a:t>Com a adição de dos seguintes componentes:</a:t>
          </a:r>
        </a:p>
        <a:p>
          <a:r>
            <a:rPr lang="pt-BR" sz="1100" baseline="0"/>
            <a:t>--Ligação equipotencial III-IV</a:t>
          </a:r>
        </a:p>
        <a:p>
          <a:r>
            <a:rPr lang="pt-BR" sz="1100" baseline="0"/>
            <a:t>Os valores dos riscos assumiram valores toleráveis segundo a norma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NBR5410-2 de 2015.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Embora RA+RB+RU+RV &gt; Rt, RA+RB &lt; RT, logo, conforme nota a da figura 1 da NBR ABNT5419-2 não é necessário um SPDA completo, apenas um sistema de DPS de acordo com a NBR ABNT5419-4 é suficiente.</a:t>
          </a:r>
          <a:endParaRPr lang="pt-BR" sz="11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Portanto,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solução acima se mostra eficaz à solução do problema. </a:t>
          </a:r>
          <a:r>
            <a:rPr lang="pt-BR" sz="1100" baseline="0"/>
            <a:t>Abaixo os novos coeficientes demonstrados.</a:t>
          </a:r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9"/>
  <sheetViews>
    <sheetView showGridLines="0" tabSelected="1" view="pageLayout" zoomScale="115" zoomScaleNormal="100" zoomScalePageLayoutView="115" workbookViewId="0">
      <selection activeCell="R208" sqref="R208:S208"/>
    </sheetView>
  </sheetViews>
  <sheetFormatPr defaultColWidth="4.7109375" defaultRowHeight="11.25" customHeight="1" x14ac:dyDescent="0.25"/>
  <cols>
    <col min="1" max="19" width="4.7109375" style="16"/>
    <col min="20" max="16384" width="4.7109375" style="1"/>
  </cols>
  <sheetData>
    <row r="1" spans="1:19" ht="11.25" customHeight="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</row>
    <row r="2" spans="1:19" ht="11.25" customHeight="1" x14ac:dyDescent="0.25">
      <c r="A2" s="24" t="s">
        <v>1</v>
      </c>
      <c r="B2" s="24"/>
      <c r="C2" s="24"/>
      <c r="D2" s="24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</row>
    <row r="3" spans="1:19" ht="11.25" customHeight="1" x14ac:dyDescent="0.25">
      <c r="A3" s="24" t="s">
        <v>2</v>
      </c>
      <c r="B3" s="24"/>
      <c r="C3" s="24"/>
      <c r="D3" s="24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5" spans="1:19" s="2" customFormat="1" ht="11.25" customHeight="1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</row>
    <row r="6" spans="1:19" s="2" customFormat="1" ht="11.25" customHeight="1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</row>
    <row r="7" spans="1:19" s="2" customFormat="1" ht="11.25" customHeight="1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</row>
    <row r="8" spans="1:19" s="2" customFormat="1" ht="11.25" customHeight="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</row>
    <row r="9" spans="1:19" s="2" customFormat="1" ht="11.25" customHeigh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s="2" customFormat="1" ht="11.25" customHeight="1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1:19" s="2" customFormat="1" ht="11.25" customHeight="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1:19" s="2" customFormat="1" ht="11.25" customHeight="1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3" spans="1:19" s="2" customFormat="1" ht="11.25" customHeight="1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1:19" s="2" customFormat="1" ht="11.25" customHeight="1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1:19" s="2" customFormat="1" ht="11.25" customHeight="1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1:19" s="2" customFormat="1" ht="11.25" customHeight="1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</row>
    <row r="17" spans="1:25" s="2" customFormat="1" ht="11.25" customHeight="1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</row>
    <row r="19" spans="1:25" ht="11.25" customHeight="1" x14ac:dyDescent="0.25">
      <c r="A19" s="24" t="s">
        <v>3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19"/>
    </row>
    <row r="20" spans="1:25" ht="11.25" customHeight="1" x14ac:dyDescent="0.25">
      <c r="A20" s="22" t="s">
        <v>4</v>
      </c>
      <c r="B20" s="22"/>
      <c r="C20" s="22"/>
      <c r="D20" s="22"/>
      <c r="E20" s="22" t="s">
        <v>5</v>
      </c>
      <c r="F20" s="22"/>
      <c r="G20" s="22"/>
      <c r="H20" s="22"/>
      <c r="I20" s="22"/>
      <c r="J20" s="22"/>
      <c r="K20" s="22"/>
      <c r="L20" s="22"/>
      <c r="M20" s="22"/>
      <c r="N20" s="19" t="s">
        <v>8</v>
      </c>
      <c r="O20" s="22" t="s">
        <v>7</v>
      </c>
      <c r="P20" s="22"/>
      <c r="Q20" s="22" t="s">
        <v>6</v>
      </c>
      <c r="R20" s="22"/>
      <c r="S20" s="22"/>
    </row>
    <row r="21" spans="1:25" ht="35.25" customHeight="1" x14ac:dyDescent="0.2">
      <c r="A21" s="25" t="s">
        <v>9</v>
      </c>
      <c r="B21" s="25"/>
      <c r="C21" s="25"/>
      <c r="D21" s="25"/>
      <c r="E21" s="25" t="s">
        <v>123</v>
      </c>
      <c r="F21" s="22"/>
      <c r="G21" s="22"/>
      <c r="H21" s="22"/>
      <c r="I21" s="22"/>
      <c r="J21" s="22"/>
      <c r="K21" s="22"/>
      <c r="L21" s="22"/>
      <c r="M21" s="22"/>
      <c r="N21" s="19" t="s">
        <v>398</v>
      </c>
      <c r="O21" s="22">
        <v>6</v>
      </c>
      <c r="P21" s="22"/>
      <c r="Q21" s="22" t="s">
        <v>10</v>
      </c>
      <c r="R21" s="22"/>
      <c r="S21" s="22"/>
      <c r="Y21" s="3"/>
    </row>
    <row r="22" spans="1:25" ht="11.25" customHeight="1" x14ac:dyDescent="0.25">
      <c r="A22" s="25" t="s">
        <v>11</v>
      </c>
      <c r="B22" s="25"/>
      <c r="C22" s="25"/>
      <c r="D22" s="25"/>
      <c r="E22" s="22" t="s">
        <v>16</v>
      </c>
      <c r="F22" s="22"/>
      <c r="G22" s="22"/>
      <c r="H22" s="22"/>
      <c r="I22" s="22"/>
      <c r="J22" s="22"/>
      <c r="K22" s="22"/>
      <c r="L22" s="22"/>
      <c r="M22" s="22"/>
      <c r="N22" s="19" t="s">
        <v>12</v>
      </c>
      <c r="O22" s="22">
        <v>18.5</v>
      </c>
      <c r="P22" s="22"/>
      <c r="Q22" s="30">
        <f>O22*O23+2*(3*O24)*(O22+O23)+PI()*((3*O24)^2)</f>
        <v>7915.7694409323949</v>
      </c>
      <c r="R22" s="30"/>
      <c r="S22" s="30"/>
    </row>
    <row r="23" spans="1:25" ht="11.25" customHeight="1" x14ac:dyDescent="0.25">
      <c r="A23" s="25"/>
      <c r="B23" s="25"/>
      <c r="C23" s="25"/>
      <c r="D23" s="25"/>
      <c r="E23" s="22"/>
      <c r="F23" s="22"/>
      <c r="G23" s="22"/>
      <c r="H23" s="22"/>
      <c r="I23" s="22"/>
      <c r="J23" s="22"/>
      <c r="K23" s="22"/>
      <c r="L23" s="22"/>
      <c r="M23" s="22"/>
      <c r="N23" s="19" t="s">
        <v>13</v>
      </c>
      <c r="O23" s="22">
        <v>8</v>
      </c>
      <c r="P23" s="22"/>
      <c r="Q23" s="30"/>
      <c r="R23" s="30"/>
      <c r="S23" s="30"/>
    </row>
    <row r="24" spans="1:25" ht="11.25" customHeight="1" x14ac:dyDescent="0.25">
      <c r="A24" s="25"/>
      <c r="B24" s="25"/>
      <c r="C24" s="25"/>
      <c r="D24" s="25"/>
      <c r="E24" s="22"/>
      <c r="F24" s="22"/>
      <c r="G24" s="22"/>
      <c r="H24" s="22"/>
      <c r="I24" s="22"/>
      <c r="J24" s="22"/>
      <c r="K24" s="22"/>
      <c r="L24" s="22"/>
      <c r="M24" s="22"/>
      <c r="N24" s="19" t="s">
        <v>14</v>
      </c>
      <c r="O24" s="22">
        <v>14</v>
      </c>
      <c r="P24" s="22"/>
      <c r="Q24" s="30"/>
      <c r="R24" s="30"/>
      <c r="S24" s="30"/>
    </row>
    <row r="25" spans="1:25" ht="11.25" customHeight="1" x14ac:dyDescent="0.25">
      <c r="A25" s="25"/>
      <c r="B25" s="25"/>
      <c r="C25" s="25"/>
      <c r="D25" s="25"/>
      <c r="E25" s="22" t="s">
        <v>386</v>
      </c>
      <c r="F25" s="22"/>
      <c r="G25" s="22"/>
      <c r="H25" s="22"/>
      <c r="I25" s="22"/>
      <c r="J25" s="22"/>
      <c r="K25" s="22"/>
      <c r="L25" s="22"/>
      <c r="M25" s="22"/>
      <c r="N25" s="19" t="s">
        <v>15</v>
      </c>
      <c r="O25" s="22" t="s">
        <v>62</v>
      </c>
      <c r="P25" s="22"/>
      <c r="Q25" s="30"/>
      <c r="R25" s="30"/>
      <c r="S25" s="30"/>
    </row>
    <row r="26" spans="1:25" ht="11.25" customHeight="1" x14ac:dyDescent="0.25">
      <c r="A26" s="25" t="s">
        <v>17</v>
      </c>
      <c r="B26" s="25"/>
      <c r="C26" s="25"/>
      <c r="D26" s="25"/>
      <c r="E26" s="22" t="s">
        <v>252</v>
      </c>
      <c r="F26" s="22"/>
      <c r="G26" s="22"/>
      <c r="H26" s="22"/>
      <c r="I26" s="22"/>
      <c r="J26" s="22"/>
      <c r="K26" s="22"/>
      <c r="L26" s="22"/>
      <c r="M26" s="22"/>
      <c r="N26" s="19" t="s">
        <v>18</v>
      </c>
      <c r="O26" s="22">
        <f>VLOOKUP(E26,Dados!A3:B6,2,0)</f>
        <v>0.5</v>
      </c>
      <c r="P26" s="22"/>
      <c r="Q26" s="22" t="s">
        <v>19</v>
      </c>
      <c r="R26" s="22"/>
      <c r="S26" s="22"/>
    </row>
    <row r="27" spans="1:25" ht="11.25" customHeight="1" x14ac:dyDescent="0.25">
      <c r="A27" s="22" t="s">
        <v>20</v>
      </c>
      <c r="B27" s="22"/>
      <c r="C27" s="22"/>
      <c r="D27" s="22"/>
      <c r="E27" s="22" t="s">
        <v>282</v>
      </c>
      <c r="F27" s="22"/>
      <c r="G27" s="22"/>
      <c r="H27" s="22"/>
      <c r="I27" s="22"/>
      <c r="J27" s="22"/>
      <c r="K27" s="22"/>
      <c r="L27" s="22"/>
      <c r="M27" s="22"/>
      <c r="N27" s="19" t="s">
        <v>21</v>
      </c>
      <c r="O27" s="22">
        <f>VLOOKUP(E27,Dados!P2:Q8,2,FALSE)</f>
        <v>1</v>
      </c>
      <c r="P27" s="22"/>
      <c r="Q27" s="22" t="s">
        <v>23</v>
      </c>
      <c r="R27" s="22"/>
      <c r="S27" s="22"/>
    </row>
    <row r="28" spans="1:25" ht="11.25" customHeight="1" x14ac:dyDescent="0.25">
      <c r="A28" s="22" t="s">
        <v>435</v>
      </c>
      <c r="B28" s="22"/>
      <c r="C28" s="22"/>
      <c r="D28" s="22"/>
      <c r="E28" s="22" t="s">
        <v>323</v>
      </c>
      <c r="F28" s="22"/>
      <c r="G28" s="22"/>
      <c r="H28" s="22"/>
      <c r="I28" s="22"/>
      <c r="J28" s="22"/>
      <c r="K28" s="22"/>
      <c r="L28" s="22"/>
      <c r="M28" s="22"/>
      <c r="N28" s="19" t="s">
        <v>436</v>
      </c>
      <c r="O28" s="22">
        <f>VLOOKUP(E28,Dados!AF3:AG7,2,FALSE)</f>
        <v>1</v>
      </c>
      <c r="P28" s="22"/>
      <c r="Q28" s="22" t="s">
        <v>437</v>
      </c>
      <c r="R28" s="22"/>
      <c r="S28" s="22"/>
    </row>
    <row r="29" spans="1:25" ht="11.25" customHeight="1" x14ac:dyDescent="0.25">
      <c r="A29" s="25" t="s">
        <v>24</v>
      </c>
      <c r="B29" s="25"/>
      <c r="C29" s="25"/>
      <c r="D29" s="25"/>
      <c r="E29" s="25" t="s">
        <v>377</v>
      </c>
      <c r="F29" s="25"/>
      <c r="G29" s="25"/>
      <c r="H29" s="25"/>
      <c r="I29" s="25"/>
      <c r="J29" s="25"/>
      <c r="K29" s="25"/>
      <c r="L29" s="25"/>
      <c r="M29" s="25"/>
      <c r="N29" s="19" t="s">
        <v>25</v>
      </c>
      <c r="O29" s="22" t="s">
        <v>62</v>
      </c>
      <c r="P29" s="22"/>
      <c r="Q29" s="22" t="s">
        <v>62</v>
      </c>
      <c r="R29" s="22"/>
      <c r="S29" s="22"/>
    </row>
    <row r="30" spans="1:25" ht="11.25" customHeight="1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19" t="s">
        <v>26</v>
      </c>
      <c r="O30" s="22" t="s">
        <v>62</v>
      </c>
      <c r="P30" s="22"/>
      <c r="Q30" s="22"/>
      <c r="R30" s="22"/>
      <c r="S30" s="22"/>
    </row>
    <row r="31" spans="1:25" ht="11.25" customHeight="1" x14ac:dyDescent="0.25">
      <c r="A31" s="25"/>
      <c r="B31" s="25"/>
      <c r="C31" s="25"/>
      <c r="D31" s="25"/>
      <c r="E31" s="22" t="s">
        <v>31</v>
      </c>
      <c r="F31" s="22"/>
      <c r="G31" s="22"/>
      <c r="H31" s="22"/>
      <c r="I31" s="22"/>
      <c r="J31" s="22"/>
      <c r="K31" s="22"/>
      <c r="L31" s="22"/>
      <c r="M31" s="22"/>
      <c r="N31" s="19" t="s">
        <v>27</v>
      </c>
      <c r="O31" s="22">
        <f>IF(E29="Não se aplica",1,O29*0.12)</f>
        <v>1</v>
      </c>
      <c r="P31" s="22"/>
      <c r="Q31" s="22" t="s">
        <v>29</v>
      </c>
      <c r="R31" s="22"/>
      <c r="S31" s="22"/>
    </row>
    <row r="32" spans="1:25" ht="11.25" customHeight="1" x14ac:dyDescent="0.25">
      <c r="A32" s="25"/>
      <c r="B32" s="25"/>
      <c r="C32" s="25"/>
      <c r="D32" s="25"/>
      <c r="E32" s="22" t="s">
        <v>402</v>
      </c>
      <c r="F32" s="22"/>
      <c r="G32" s="22"/>
      <c r="H32" s="22"/>
      <c r="I32" s="22"/>
      <c r="J32" s="22"/>
      <c r="K32" s="22"/>
      <c r="L32" s="22"/>
      <c r="M32" s="22"/>
      <c r="N32" s="19" t="s">
        <v>28</v>
      </c>
      <c r="O32" s="22">
        <f>IF(E29="Não se aplica",1,O30*0.12)</f>
        <v>1</v>
      </c>
      <c r="P32" s="22"/>
      <c r="Q32" s="22" t="s">
        <v>30</v>
      </c>
      <c r="R32" s="22"/>
      <c r="S32" s="22"/>
    </row>
    <row r="34" spans="1:19" ht="11.25" customHeight="1" x14ac:dyDescent="0.25">
      <c r="A34" s="24" t="s">
        <v>32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</row>
    <row r="35" spans="1:19" ht="11.25" customHeight="1" x14ac:dyDescent="0.25">
      <c r="A35" s="22" t="s">
        <v>4</v>
      </c>
      <c r="B35" s="22"/>
      <c r="C35" s="22"/>
      <c r="D35" s="22"/>
      <c r="E35" s="22" t="s">
        <v>5</v>
      </c>
      <c r="F35" s="22"/>
      <c r="G35" s="22"/>
      <c r="H35" s="22"/>
      <c r="I35" s="22"/>
      <c r="J35" s="22"/>
      <c r="K35" s="22"/>
      <c r="L35" s="22"/>
      <c r="M35" s="22"/>
      <c r="N35" s="19" t="s">
        <v>8</v>
      </c>
      <c r="O35" s="22" t="s">
        <v>7</v>
      </c>
      <c r="P35" s="22"/>
      <c r="Q35" s="22" t="s">
        <v>6</v>
      </c>
      <c r="R35" s="22"/>
      <c r="S35" s="22"/>
    </row>
    <row r="36" spans="1:19" ht="11.25" customHeight="1" x14ac:dyDescent="0.25">
      <c r="A36" s="22" t="s">
        <v>41</v>
      </c>
      <c r="B36" s="22"/>
      <c r="C36" s="22"/>
      <c r="D36" s="22"/>
      <c r="E36" s="22" t="s">
        <v>382</v>
      </c>
      <c r="F36" s="22"/>
      <c r="G36" s="22"/>
      <c r="H36" s="22"/>
      <c r="I36" s="22"/>
      <c r="J36" s="22"/>
      <c r="K36" s="22"/>
      <c r="L36" s="22"/>
      <c r="M36" s="22"/>
      <c r="N36" s="19" t="s">
        <v>56</v>
      </c>
      <c r="O36" s="22">
        <f>IF(E36="Se Aplica",HLOOKUP(E48,Dados!AS3:AW5,2,0),0)</f>
        <v>0.1</v>
      </c>
      <c r="P36" s="22"/>
      <c r="Q36" s="22" t="s">
        <v>64</v>
      </c>
      <c r="R36" s="22"/>
      <c r="S36" s="22"/>
    </row>
    <row r="37" spans="1:19" ht="11.25" customHeight="1" x14ac:dyDescent="0.25">
      <c r="A37" s="22" t="s">
        <v>33</v>
      </c>
      <c r="B37" s="22"/>
      <c r="C37" s="22"/>
      <c r="D37" s="22"/>
      <c r="E37" s="22" t="s">
        <v>392</v>
      </c>
      <c r="F37" s="22"/>
      <c r="G37" s="22"/>
      <c r="H37" s="22"/>
      <c r="I37" s="22"/>
      <c r="J37" s="22"/>
      <c r="K37" s="22"/>
      <c r="L37" s="22"/>
      <c r="M37" s="22"/>
      <c r="N37" s="19" t="s">
        <v>43</v>
      </c>
      <c r="O37" s="22">
        <v>1000</v>
      </c>
      <c r="P37" s="22"/>
      <c r="Q37" s="22" t="s">
        <v>391</v>
      </c>
      <c r="R37" s="22"/>
      <c r="S37" s="22"/>
    </row>
    <row r="38" spans="1:19" ht="11.25" customHeight="1" x14ac:dyDescent="0.25">
      <c r="A38" s="22" t="s">
        <v>383</v>
      </c>
      <c r="B38" s="22"/>
      <c r="C38" s="22"/>
      <c r="D38" s="22"/>
      <c r="E38" s="22" t="s">
        <v>256</v>
      </c>
      <c r="F38" s="22"/>
      <c r="G38" s="22"/>
      <c r="H38" s="22"/>
      <c r="I38" s="22"/>
      <c r="J38" s="22"/>
      <c r="K38" s="22"/>
      <c r="L38" s="22"/>
      <c r="M38" s="22"/>
      <c r="N38" s="19" t="s">
        <v>44</v>
      </c>
      <c r="O38" s="22">
        <f>VLOOKUP(E38,Dados!D3:E5,2,0)</f>
        <v>1</v>
      </c>
      <c r="P38" s="22"/>
      <c r="Q38" s="22" t="s">
        <v>57</v>
      </c>
      <c r="R38" s="22"/>
      <c r="S38" s="22"/>
    </row>
    <row r="39" spans="1:19" ht="11.25" customHeight="1" x14ac:dyDescent="0.25">
      <c r="A39" s="22" t="s">
        <v>34</v>
      </c>
      <c r="B39" s="22"/>
      <c r="C39" s="22"/>
      <c r="D39" s="22"/>
      <c r="E39" s="22" t="s">
        <v>265</v>
      </c>
      <c r="F39" s="22"/>
      <c r="G39" s="22"/>
      <c r="H39" s="22"/>
      <c r="I39" s="22"/>
      <c r="J39" s="22"/>
      <c r="K39" s="22"/>
      <c r="L39" s="22"/>
      <c r="M39" s="22"/>
      <c r="N39" s="19" t="s">
        <v>45</v>
      </c>
      <c r="O39" s="22">
        <f>VLOOKUP(E39,Dados!G3:H4,2,0)</f>
        <v>1</v>
      </c>
      <c r="P39" s="22"/>
      <c r="Q39" s="22" t="s">
        <v>58</v>
      </c>
      <c r="R39" s="22"/>
      <c r="S39" s="22"/>
    </row>
    <row r="40" spans="1:19" ht="11.25" customHeight="1" x14ac:dyDescent="0.25">
      <c r="A40" s="22" t="s">
        <v>35</v>
      </c>
      <c r="B40" s="22"/>
      <c r="C40" s="22"/>
      <c r="D40" s="22"/>
      <c r="E40" s="22" t="s">
        <v>272</v>
      </c>
      <c r="F40" s="22"/>
      <c r="G40" s="22"/>
      <c r="H40" s="22"/>
      <c r="I40" s="22"/>
      <c r="J40" s="22"/>
      <c r="K40" s="22"/>
      <c r="L40" s="22"/>
      <c r="M40" s="22"/>
      <c r="N40" s="19" t="s">
        <v>46</v>
      </c>
      <c r="O40" s="22">
        <f>VLOOKUP(E40,Dados!J3:K6,2,0)</f>
        <v>0.1</v>
      </c>
      <c r="P40" s="22"/>
      <c r="Q40" s="22" t="s">
        <v>59</v>
      </c>
      <c r="R40" s="22"/>
      <c r="S40" s="22"/>
    </row>
    <row r="41" spans="1:19" ht="11.25" customHeight="1" x14ac:dyDescent="0.25">
      <c r="A41" s="22" t="s">
        <v>36</v>
      </c>
      <c r="B41" s="22"/>
      <c r="C41" s="22"/>
      <c r="D41" s="22"/>
      <c r="E41" s="26" t="s">
        <v>325</v>
      </c>
      <c r="F41" s="26"/>
      <c r="G41" s="26"/>
      <c r="H41" s="26"/>
      <c r="I41" s="26"/>
      <c r="J41" s="26"/>
      <c r="K41" s="26"/>
      <c r="L41" s="26"/>
      <c r="M41" s="26"/>
      <c r="N41" s="19" t="s">
        <v>47</v>
      </c>
      <c r="O41" s="25" t="str">
        <f>VLOOKUP(E41,Dados!AI4:AO7,7,0)</f>
        <v>-</v>
      </c>
      <c r="P41" s="25"/>
      <c r="Q41" s="22" t="s">
        <v>60</v>
      </c>
      <c r="R41" s="22"/>
      <c r="S41" s="22"/>
    </row>
    <row r="42" spans="1:19" ht="11.25" customHeight="1" x14ac:dyDescent="0.25">
      <c r="A42" s="25" t="s">
        <v>37</v>
      </c>
      <c r="B42" s="25"/>
      <c r="C42" s="25"/>
      <c r="D42" s="25"/>
      <c r="E42" s="25" t="s">
        <v>303</v>
      </c>
      <c r="F42" s="25"/>
      <c r="G42" s="25"/>
      <c r="H42" s="25"/>
      <c r="I42" s="25"/>
      <c r="J42" s="25"/>
      <c r="K42" s="25"/>
      <c r="L42" s="25"/>
      <c r="M42" s="25"/>
      <c r="N42" s="19" t="s">
        <v>432</v>
      </c>
      <c r="O42" s="22">
        <f>VLOOKUP(E42,Dados!V3:X12,2,0)</f>
        <v>1</v>
      </c>
      <c r="P42" s="22"/>
      <c r="Q42" s="22" t="s">
        <v>61</v>
      </c>
      <c r="R42" s="22"/>
      <c r="S42" s="22"/>
    </row>
    <row r="43" spans="1:19" ht="11.25" customHeight="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19" t="s">
        <v>48</v>
      </c>
      <c r="O43" s="22">
        <f>VLOOKUP(E42,Dados!V3:X12,3,0)</f>
        <v>0.2</v>
      </c>
      <c r="P43" s="22"/>
      <c r="Q43" s="22"/>
      <c r="R43" s="22"/>
      <c r="S43" s="22"/>
    </row>
    <row r="44" spans="1:19" ht="11.25" customHeight="1" x14ac:dyDescent="0.25">
      <c r="A44" s="22" t="s">
        <v>38</v>
      </c>
      <c r="B44" s="22"/>
      <c r="C44" s="22"/>
      <c r="D44" s="22"/>
      <c r="E44" s="22" t="s">
        <v>380</v>
      </c>
      <c r="F44" s="22"/>
      <c r="G44" s="22"/>
      <c r="H44" s="22"/>
      <c r="I44" s="22"/>
      <c r="J44" s="22"/>
      <c r="K44" s="22"/>
      <c r="L44" s="22"/>
      <c r="M44" s="22"/>
      <c r="N44" s="19" t="s">
        <v>49</v>
      </c>
      <c r="O44" s="22">
        <v>0</v>
      </c>
      <c r="P44" s="22"/>
      <c r="Q44" s="22">
        <f>O44*O45+2*(3*O46)*(O44+O45)+PI()*((3*O46)^2)</f>
        <v>0</v>
      </c>
      <c r="R44" s="22"/>
      <c r="S44" s="22"/>
    </row>
    <row r="45" spans="1:19" ht="11.25" customHeight="1" x14ac:dyDescent="0.2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19" t="s">
        <v>50</v>
      </c>
      <c r="O45" s="22">
        <v>0</v>
      </c>
      <c r="P45" s="22"/>
      <c r="Q45" s="22"/>
      <c r="R45" s="22"/>
      <c r="S45" s="22"/>
    </row>
    <row r="46" spans="1:19" ht="11.25" customHeight="1" x14ac:dyDescent="0.2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19" t="s">
        <v>51</v>
      </c>
      <c r="O46" s="22">
        <v>0</v>
      </c>
      <c r="P46" s="22"/>
      <c r="Q46" s="22"/>
      <c r="R46" s="22"/>
      <c r="S46" s="22"/>
    </row>
    <row r="47" spans="1:19" ht="11.25" customHeight="1" x14ac:dyDescent="0.25">
      <c r="A47" s="25" t="s">
        <v>39</v>
      </c>
      <c r="B47" s="25"/>
      <c r="C47" s="25"/>
      <c r="D47" s="25"/>
      <c r="E47" s="25" t="s">
        <v>252</v>
      </c>
      <c r="F47" s="25"/>
      <c r="G47" s="25"/>
      <c r="H47" s="25"/>
      <c r="I47" s="25"/>
      <c r="J47" s="25"/>
      <c r="K47" s="25"/>
      <c r="L47" s="25"/>
      <c r="M47" s="25"/>
      <c r="N47" s="19" t="s">
        <v>52</v>
      </c>
      <c r="O47" s="22">
        <f>VLOOKUP(E47,Dados!A3:B6,2,0)</f>
        <v>0.5</v>
      </c>
      <c r="P47" s="22"/>
      <c r="Q47" s="22" t="s">
        <v>19</v>
      </c>
      <c r="R47" s="22"/>
      <c r="S47" s="22"/>
    </row>
    <row r="48" spans="1:19" ht="11.25" customHeight="1" x14ac:dyDescent="0.25">
      <c r="A48" s="25" t="s">
        <v>381</v>
      </c>
      <c r="B48" s="25"/>
      <c r="C48" s="25"/>
      <c r="D48" s="25"/>
      <c r="E48" s="31">
        <v>6</v>
      </c>
      <c r="F48" s="31"/>
      <c r="G48" s="31"/>
      <c r="H48" s="31"/>
      <c r="I48" s="31"/>
      <c r="J48" s="31"/>
      <c r="K48" s="31"/>
      <c r="L48" s="31"/>
      <c r="M48" s="31"/>
      <c r="N48" s="19" t="s">
        <v>53</v>
      </c>
      <c r="O48" s="22">
        <f>HLOOKUP(E48,Dados!AJ3:AN3,1,0)</f>
        <v>6</v>
      </c>
      <c r="P48" s="22"/>
      <c r="Q48" s="22" t="s">
        <v>60</v>
      </c>
      <c r="R48" s="22"/>
      <c r="S48" s="22"/>
    </row>
    <row r="49" spans="1:19" ht="11.25" customHeight="1" x14ac:dyDescent="0.25">
      <c r="A49" s="25"/>
      <c r="B49" s="25"/>
      <c r="C49" s="25"/>
      <c r="D49" s="25"/>
      <c r="E49" s="31"/>
      <c r="F49" s="31"/>
      <c r="G49" s="31"/>
      <c r="H49" s="31"/>
      <c r="I49" s="31"/>
      <c r="J49" s="31"/>
      <c r="K49" s="31"/>
      <c r="L49" s="31"/>
      <c r="M49" s="31"/>
      <c r="N49" s="19" t="s">
        <v>54</v>
      </c>
      <c r="O49" s="27">
        <f>1/O48</f>
        <v>0.16666666666666666</v>
      </c>
      <c r="P49" s="27"/>
      <c r="Q49" s="22" t="s">
        <v>63</v>
      </c>
      <c r="R49" s="22"/>
      <c r="S49" s="22"/>
    </row>
    <row r="50" spans="1:19" ht="11.25" customHeight="1" x14ac:dyDescent="0.25">
      <c r="A50" s="25"/>
      <c r="B50" s="25"/>
      <c r="C50" s="25"/>
      <c r="D50" s="25"/>
      <c r="E50" s="31"/>
      <c r="F50" s="31"/>
      <c r="G50" s="31"/>
      <c r="H50" s="31"/>
      <c r="I50" s="31"/>
      <c r="J50" s="31"/>
      <c r="K50" s="31"/>
      <c r="L50" s="31"/>
      <c r="M50" s="31"/>
      <c r="N50" s="19" t="s">
        <v>55</v>
      </c>
      <c r="O50" s="22">
        <f>HLOOKUP(E48,Dados!AJ3:AN7,VLOOKUP(Relatório!E41,Dados!AI4:AP7,8,FALSE),0)</f>
        <v>1</v>
      </c>
      <c r="P50" s="22"/>
      <c r="Q50" s="22" t="s">
        <v>60</v>
      </c>
      <c r="R50" s="22"/>
      <c r="S50" s="22"/>
    </row>
    <row r="51" spans="1:19" ht="11.25" customHeight="1" x14ac:dyDescent="0.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</row>
    <row r="52" spans="1:19" ht="11.25" customHeight="1" x14ac:dyDescent="0.25">
      <c r="A52" s="22" t="s">
        <v>42</v>
      </c>
      <c r="B52" s="22"/>
      <c r="C52" s="22"/>
      <c r="D52" s="22"/>
      <c r="E52" s="22" t="s">
        <v>382</v>
      </c>
      <c r="F52" s="22"/>
      <c r="G52" s="22"/>
      <c r="H52" s="22"/>
      <c r="I52" s="22"/>
      <c r="J52" s="22"/>
      <c r="K52" s="22"/>
      <c r="L52" s="22"/>
      <c r="M52" s="22"/>
      <c r="N52" s="19" t="s">
        <v>56</v>
      </c>
      <c r="O52" s="22">
        <f>IF(E52="Se aplica",HLOOKUP(E64,Dados!AS3:AW5,3,0),0)</f>
        <v>0.04</v>
      </c>
      <c r="P52" s="22"/>
      <c r="Q52" s="22" t="s">
        <v>64</v>
      </c>
      <c r="R52" s="22"/>
      <c r="S52" s="22"/>
    </row>
    <row r="53" spans="1:19" ht="11.25" customHeight="1" x14ac:dyDescent="0.25">
      <c r="A53" s="22" t="s">
        <v>33</v>
      </c>
      <c r="B53" s="22"/>
      <c r="C53" s="22"/>
      <c r="D53" s="22"/>
      <c r="E53" s="22" t="s">
        <v>378</v>
      </c>
      <c r="F53" s="22"/>
      <c r="G53" s="22"/>
      <c r="H53" s="22"/>
      <c r="I53" s="22"/>
      <c r="J53" s="22"/>
      <c r="K53" s="22"/>
      <c r="L53" s="22"/>
      <c r="M53" s="22"/>
      <c r="N53" s="19" t="s">
        <v>43</v>
      </c>
      <c r="O53" s="22">
        <v>1000</v>
      </c>
      <c r="P53" s="22"/>
      <c r="Q53" s="22" t="s">
        <v>391</v>
      </c>
      <c r="R53" s="22"/>
      <c r="S53" s="22"/>
    </row>
    <row r="54" spans="1:19" ht="11.25" customHeight="1" x14ac:dyDescent="0.25">
      <c r="A54" s="22" t="s">
        <v>383</v>
      </c>
      <c r="B54" s="22"/>
      <c r="C54" s="22"/>
      <c r="D54" s="22"/>
      <c r="E54" s="22" t="s">
        <v>256</v>
      </c>
      <c r="F54" s="22"/>
      <c r="G54" s="22"/>
      <c r="H54" s="22"/>
      <c r="I54" s="22"/>
      <c r="J54" s="22"/>
      <c r="K54" s="22"/>
      <c r="L54" s="22"/>
      <c r="M54" s="22"/>
      <c r="N54" s="19" t="s">
        <v>44</v>
      </c>
      <c r="O54" s="22">
        <f>VLOOKUP(E54,Dados!D3:E5,2,0)</f>
        <v>1</v>
      </c>
      <c r="P54" s="22"/>
      <c r="Q54" s="22" t="s">
        <v>57</v>
      </c>
      <c r="R54" s="22"/>
      <c r="S54" s="22"/>
    </row>
    <row r="55" spans="1:19" ht="11.25" customHeight="1" x14ac:dyDescent="0.25">
      <c r="A55" s="22" t="s">
        <v>34</v>
      </c>
      <c r="B55" s="22"/>
      <c r="C55" s="22"/>
      <c r="D55" s="22"/>
      <c r="E55" s="22" t="s">
        <v>265</v>
      </c>
      <c r="F55" s="22"/>
      <c r="G55" s="22"/>
      <c r="H55" s="22"/>
      <c r="I55" s="22"/>
      <c r="J55" s="22"/>
      <c r="K55" s="22"/>
      <c r="L55" s="22"/>
      <c r="M55" s="22"/>
      <c r="N55" s="19" t="s">
        <v>45</v>
      </c>
      <c r="O55" s="22">
        <f>VLOOKUP(E55,Dados!G3:H4,2,0)</f>
        <v>1</v>
      </c>
      <c r="P55" s="22"/>
      <c r="Q55" s="22" t="s">
        <v>58</v>
      </c>
      <c r="R55" s="22"/>
      <c r="S55" s="22"/>
    </row>
    <row r="56" spans="1:19" ht="11.25" customHeight="1" x14ac:dyDescent="0.25">
      <c r="A56" s="22" t="s">
        <v>35</v>
      </c>
      <c r="B56" s="22"/>
      <c r="C56" s="22"/>
      <c r="D56" s="22"/>
      <c r="E56" s="22" t="s">
        <v>272</v>
      </c>
      <c r="F56" s="22"/>
      <c r="G56" s="22"/>
      <c r="H56" s="22"/>
      <c r="I56" s="22"/>
      <c r="J56" s="22"/>
      <c r="K56" s="22"/>
      <c r="L56" s="22"/>
      <c r="M56" s="22"/>
      <c r="N56" s="19" t="s">
        <v>46</v>
      </c>
      <c r="O56" s="22">
        <f>VLOOKUP(E56,Dados!J3:K6,2,0)</f>
        <v>0.1</v>
      </c>
      <c r="P56" s="22"/>
      <c r="Q56" s="22" t="s">
        <v>59</v>
      </c>
      <c r="R56" s="22"/>
      <c r="S56" s="22"/>
    </row>
    <row r="57" spans="1:19" ht="11.25" customHeight="1" x14ac:dyDescent="0.25">
      <c r="A57" s="22" t="s">
        <v>36</v>
      </c>
      <c r="B57" s="22"/>
      <c r="C57" s="22"/>
      <c r="D57" s="22"/>
      <c r="E57" s="26" t="s">
        <v>325</v>
      </c>
      <c r="F57" s="26"/>
      <c r="G57" s="26"/>
      <c r="H57" s="26"/>
      <c r="I57" s="26"/>
      <c r="J57" s="26"/>
      <c r="K57" s="26"/>
      <c r="L57" s="26"/>
      <c r="M57" s="26"/>
      <c r="N57" s="19" t="s">
        <v>47</v>
      </c>
      <c r="O57" s="25" t="str">
        <f>VLOOKUP(E57,Dados!AI4:AO7,7,0)</f>
        <v>-</v>
      </c>
      <c r="P57" s="25"/>
      <c r="Q57" s="22" t="s">
        <v>60</v>
      </c>
      <c r="R57" s="22"/>
      <c r="S57" s="22"/>
    </row>
    <row r="58" spans="1:19" ht="11.25" customHeight="1" x14ac:dyDescent="0.25">
      <c r="A58" s="25" t="s">
        <v>37</v>
      </c>
      <c r="B58" s="25"/>
      <c r="C58" s="25"/>
      <c r="D58" s="25"/>
      <c r="E58" s="26" t="s">
        <v>305</v>
      </c>
      <c r="F58" s="26"/>
      <c r="G58" s="26"/>
      <c r="H58" s="26"/>
      <c r="I58" s="26"/>
      <c r="J58" s="26"/>
      <c r="K58" s="26"/>
      <c r="L58" s="26"/>
      <c r="M58" s="26"/>
      <c r="N58" s="19" t="s">
        <v>485</v>
      </c>
      <c r="O58" s="22">
        <f>VLOOKUP(E58,Dados!V3:X12,2,0)</f>
        <v>1</v>
      </c>
      <c r="P58" s="22"/>
      <c r="Q58" s="22" t="s">
        <v>61</v>
      </c>
      <c r="R58" s="22"/>
      <c r="S58" s="22"/>
    </row>
    <row r="59" spans="1:19" ht="11.25" customHeight="1" x14ac:dyDescent="0.25">
      <c r="A59" s="25"/>
      <c r="B59" s="25"/>
      <c r="C59" s="25"/>
      <c r="D59" s="25"/>
      <c r="E59" s="26"/>
      <c r="F59" s="26"/>
      <c r="G59" s="26"/>
      <c r="H59" s="26"/>
      <c r="I59" s="26"/>
      <c r="J59" s="26"/>
      <c r="K59" s="26"/>
      <c r="L59" s="26"/>
      <c r="M59" s="26"/>
      <c r="N59" s="19" t="s">
        <v>48</v>
      </c>
      <c r="O59" s="22">
        <f>VLOOKUP(E58,Dados!V3:X12,3,0)</f>
        <v>0.1</v>
      </c>
      <c r="P59" s="22"/>
      <c r="Q59" s="22"/>
      <c r="R59" s="22"/>
      <c r="S59" s="22"/>
    </row>
    <row r="60" spans="1:19" ht="11.25" customHeight="1" x14ac:dyDescent="0.25">
      <c r="A60" s="22" t="s">
        <v>38</v>
      </c>
      <c r="B60" s="22"/>
      <c r="C60" s="22"/>
      <c r="D60" s="22"/>
      <c r="E60" s="22" t="s">
        <v>380</v>
      </c>
      <c r="F60" s="22"/>
      <c r="G60" s="22"/>
      <c r="H60" s="22"/>
      <c r="I60" s="22"/>
      <c r="J60" s="22"/>
      <c r="K60" s="22"/>
      <c r="L60" s="22"/>
      <c r="M60" s="22"/>
      <c r="N60" s="19" t="s">
        <v>49</v>
      </c>
      <c r="O60" s="22">
        <v>0</v>
      </c>
      <c r="P60" s="22"/>
      <c r="Q60" s="22">
        <f>O60*O61+2*(3*O62)*(O60+O61)+PI()*((3*O62)^2)</f>
        <v>0</v>
      </c>
      <c r="R60" s="22"/>
      <c r="S60" s="22"/>
    </row>
    <row r="61" spans="1:19" ht="11.25" customHeight="1" x14ac:dyDescent="0.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19" t="s">
        <v>50</v>
      </c>
      <c r="O61" s="22">
        <v>0</v>
      </c>
      <c r="P61" s="22"/>
      <c r="Q61" s="22"/>
      <c r="R61" s="22"/>
      <c r="S61" s="22"/>
    </row>
    <row r="62" spans="1:19" ht="11.25" customHeight="1" x14ac:dyDescent="0.2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19" t="s">
        <v>51</v>
      </c>
      <c r="O62" s="22">
        <v>0</v>
      </c>
      <c r="P62" s="22"/>
      <c r="Q62" s="22"/>
      <c r="R62" s="22"/>
      <c r="S62" s="22"/>
    </row>
    <row r="63" spans="1:19" ht="11.25" customHeight="1" x14ac:dyDescent="0.25">
      <c r="A63" s="25" t="s">
        <v>39</v>
      </c>
      <c r="B63" s="25"/>
      <c r="C63" s="25"/>
      <c r="D63" s="25"/>
      <c r="E63" s="25" t="s">
        <v>252</v>
      </c>
      <c r="F63" s="25"/>
      <c r="G63" s="25"/>
      <c r="H63" s="25"/>
      <c r="I63" s="25"/>
      <c r="J63" s="25"/>
      <c r="K63" s="25"/>
      <c r="L63" s="25"/>
      <c r="M63" s="25"/>
      <c r="N63" s="19" t="s">
        <v>52</v>
      </c>
      <c r="O63" s="22">
        <f>VLOOKUP(E63,Dados!A3:B6,2,0)</f>
        <v>0.5</v>
      </c>
      <c r="P63" s="22"/>
      <c r="Q63" s="22" t="s">
        <v>19</v>
      </c>
      <c r="R63" s="22"/>
      <c r="S63" s="22"/>
    </row>
    <row r="64" spans="1:19" ht="11.25" customHeight="1" x14ac:dyDescent="0.25">
      <c r="A64" s="25" t="s">
        <v>40</v>
      </c>
      <c r="B64" s="25"/>
      <c r="C64" s="25"/>
      <c r="D64" s="25"/>
      <c r="E64" s="31">
        <v>6</v>
      </c>
      <c r="F64" s="31"/>
      <c r="G64" s="31"/>
      <c r="H64" s="31"/>
      <c r="I64" s="31"/>
      <c r="J64" s="31"/>
      <c r="K64" s="31"/>
      <c r="L64" s="31"/>
      <c r="M64" s="31"/>
      <c r="N64" s="19" t="s">
        <v>53</v>
      </c>
      <c r="O64" s="22">
        <f>HLOOKUP(E64,Dados!AJ3:AN3,1,0)</f>
        <v>6</v>
      </c>
      <c r="P64" s="22"/>
      <c r="Q64" s="22" t="s">
        <v>60</v>
      </c>
      <c r="R64" s="22"/>
      <c r="S64" s="22"/>
    </row>
    <row r="65" spans="1:19" ht="11.25" customHeight="1" x14ac:dyDescent="0.25">
      <c r="A65" s="25"/>
      <c r="B65" s="25"/>
      <c r="C65" s="25"/>
      <c r="D65" s="25"/>
      <c r="E65" s="31"/>
      <c r="F65" s="31"/>
      <c r="G65" s="31"/>
      <c r="H65" s="31"/>
      <c r="I65" s="31"/>
      <c r="J65" s="31"/>
      <c r="K65" s="31"/>
      <c r="L65" s="31"/>
      <c r="M65" s="31"/>
      <c r="N65" s="19" t="s">
        <v>54</v>
      </c>
      <c r="O65" s="27">
        <f>1/O64</f>
        <v>0.16666666666666666</v>
      </c>
      <c r="P65" s="27"/>
      <c r="Q65" s="22" t="s">
        <v>63</v>
      </c>
      <c r="R65" s="22"/>
      <c r="S65" s="22"/>
    </row>
    <row r="66" spans="1:19" ht="11.25" customHeight="1" x14ac:dyDescent="0.25">
      <c r="A66" s="25"/>
      <c r="B66" s="25"/>
      <c r="C66" s="25"/>
      <c r="D66" s="25"/>
      <c r="E66" s="31"/>
      <c r="F66" s="31"/>
      <c r="G66" s="31"/>
      <c r="H66" s="31"/>
      <c r="I66" s="31"/>
      <c r="J66" s="31"/>
      <c r="K66" s="31"/>
      <c r="L66" s="31"/>
      <c r="M66" s="31"/>
      <c r="N66" s="19" t="s">
        <v>55</v>
      </c>
      <c r="O66" s="22">
        <f>HLOOKUP(E64,Dados!AJ3:AN7,VLOOKUP(E57,Dados!AI4:AP7,8,FALSE),0)</f>
        <v>1</v>
      </c>
      <c r="P66" s="22"/>
      <c r="Q66" s="22" t="s">
        <v>60</v>
      </c>
      <c r="R66" s="22"/>
      <c r="S66" s="22"/>
    </row>
    <row r="67" spans="1:19" s="2" customFormat="1" ht="11.25" customHeight="1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</row>
    <row r="68" spans="1:19" ht="11.25" customHeight="1" x14ac:dyDescent="0.25">
      <c r="A68" s="24" t="s">
        <v>78</v>
      </c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</row>
    <row r="69" spans="1:19" ht="11.25" customHeight="1" x14ac:dyDescent="0.25">
      <c r="A69" s="22" t="s">
        <v>4</v>
      </c>
      <c r="B69" s="22"/>
      <c r="C69" s="22"/>
      <c r="D69" s="22"/>
      <c r="E69" s="22"/>
      <c r="F69" s="22"/>
      <c r="G69" s="22" t="s">
        <v>5</v>
      </c>
      <c r="H69" s="22"/>
      <c r="I69" s="22"/>
      <c r="J69" s="22"/>
      <c r="K69" s="22"/>
      <c r="L69" s="22"/>
      <c r="M69" s="22"/>
      <c r="N69" s="19" t="s">
        <v>8</v>
      </c>
      <c r="O69" s="22" t="s">
        <v>7</v>
      </c>
      <c r="P69" s="22"/>
      <c r="Q69" s="22" t="s">
        <v>6</v>
      </c>
      <c r="R69" s="22"/>
      <c r="S69" s="22"/>
    </row>
    <row r="70" spans="1:19" ht="11.25" customHeight="1" x14ac:dyDescent="0.25">
      <c r="A70" s="22" t="s">
        <v>66</v>
      </c>
      <c r="B70" s="22"/>
      <c r="C70" s="22"/>
      <c r="D70" s="22"/>
      <c r="E70" s="22"/>
      <c r="F70" s="22"/>
      <c r="G70" s="22" t="s">
        <v>348</v>
      </c>
      <c r="H70" s="22"/>
      <c r="I70" s="22"/>
      <c r="J70" s="22"/>
      <c r="K70" s="22"/>
      <c r="L70" s="22"/>
      <c r="M70" s="22"/>
      <c r="N70" s="19" t="s">
        <v>77</v>
      </c>
      <c r="O70" s="23">
        <f>VLOOKUP(G70,Dados!BC3:BD6,2,0)</f>
        <v>0.01</v>
      </c>
      <c r="P70" s="23"/>
      <c r="Q70" s="22" t="s">
        <v>86</v>
      </c>
      <c r="R70" s="22"/>
      <c r="S70" s="22"/>
    </row>
    <row r="71" spans="1:19" ht="11.25" customHeight="1" x14ac:dyDescent="0.25">
      <c r="A71" s="22" t="s">
        <v>67</v>
      </c>
      <c r="B71" s="22"/>
      <c r="C71" s="22"/>
      <c r="D71" s="22"/>
      <c r="E71" s="22"/>
      <c r="F71" s="22"/>
      <c r="G71" s="22" t="s">
        <v>276</v>
      </c>
      <c r="H71" s="22"/>
      <c r="I71" s="22"/>
      <c r="J71" s="22"/>
      <c r="K71" s="22"/>
      <c r="L71" s="22"/>
      <c r="M71" s="22"/>
      <c r="N71" s="19" t="s">
        <v>79</v>
      </c>
      <c r="O71" s="22">
        <f>VLOOKUP(G71,Dados!M3:N7,2,0)</f>
        <v>1</v>
      </c>
      <c r="P71" s="22"/>
      <c r="Q71" s="22" t="s">
        <v>22</v>
      </c>
      <c r="R71" s="22"/>
      <c r="S71" s="22"/>
    </row>
    <row r="72" spans="1:19" ht="11.25" customHeight="1" x14ac:dyDescent="0.25">
      <c r="A72" s="22" t="s">
        <v>68</v>
      </c>
      <c r="B72" s="22"/>
      <c r="C72" s="22"/>
      <c r="D72" s="22"/>
      <c r="E72" s="22"/>
      <c r="F72" s="22"/>
      <c r="G72" s="22" t="s">
        <v>322</v>
      </c>
      <c r="H72" s="22"/>
      <c r="I72" s="22"/>
      <c r="J72" s="22"/>
      <c r="K72" s="22"/>
      <c r="L72" s="22"/>
      <c r="M72" s="22"/>
      <c r="N72" s="19" t="s">
        <v>80</v>
      </c>
      <c r="O72" s="22">
        <f>VLOOKUP(G72,Dados!AC3:AD6,2,0)</f>
        <v>0</v>
      </c>
      <c r="P72" s="22"/>
      <c r="Q72" s="22" t="s">
        <v>87</v>
      </c>
      <c r="R72" s="22"/>
      <c r="S72" s="22"/>
    </row>
    <row r="73" spans="1:19" ht="11.25" customHeight="1" x14ac:dyDescent="0.25">
      <c r="A73" s="22" t="s">
        <v>69</v>
      </c>
      <c r="B73" s="22"/>
      <c r="C73" s="22"/>
      <c r="D73" s="22"/>
      <c r="E73" s="22"/>
      <c r="F73" s="22"/>
      <c r="G73" s="22" t="s">
        <v>364</v>
      </c>
      <c r="H73" s="22"/>
      <c r="I73" s="22"/>
      <c r="J73" s="22"/>
      <c r="K73" s="22"/>
      <c r="L73" s="22"/>
      <c r="M73" s="22"/>
      <c r="N73" s="19" t="s">
        <v>81</v>
      </c>
      <c r="O73" s="23">
        <f>VLOOKUP(G73,Dados!BI3:BJ9,2,0)</f>
        <v>1E-3</v>
      </c>
      <c r="P73" s="23"/>
      <c r="Q73" s="22" t="s">
        <v>88</v>
      </c>
      <c r="R73" s="22"/>
      <c r="S73" s="22"/>
    </row>
    <row r="74" spans="1:19" ht="11.25" customHeight="1" x14ac:dyDescent="0.25">
      <c r="A74" s="22" t="s">
        <v>70</v>
      </c>
      <c r="B74" s="22"/>
      <c r="C74" s="22"/>
      <c r="D74" s="22"/>
      <c r="E74" s="22"/>
      <c r="F74" s="22"/>
      <c r="G74" s="22" t="s">
        <v>354</v>
      </c>
      <c r="H74" s="22"/>
      <c r="I74" s="22"/>
      <c r="J74" s="22"/>
      <c r="K74" s="22"/>
      <c r="L74" s="22"/>
      <c r="M74" s="22"/>
      <c r="N74" s="19" t="s">
        <v>82</v>
      </c>
      <c r="O74" s="22">
        <f>VLOOKUP(G74,Dados!BF3:BG5,2,0)</f>
        <v>1</v>
      </c>
      <c r="P74" s="22"/>
      <c r="Q74" s="22" t="s">
        <v>89</v>
      </c>
      <c r="R74" s="22"/>
      <c r="S74" s="22"/>
    </row>
    <row r="75" spans="1:19" ht="11.25" customHeight="1" x14ac:dyDescent="0.25">
      <c r="A75" s="22" t="s">
        <v>71</v>
      </c>
      <c r="B75" s="22"/>
      <c r="C75" s="22" t="s">
        <v>73</v>
      </c>
      <c r="D75" s="22"/>
      <c r="E75" s="22"/>
      <c r="F75" s="22"/>
      <c r="G75" s="26" t="s">
        <v>313</v>
      </c>
      <c r="H75" s="26"/>
      <c r="I75" s="26"/>
      <c r="J75" s="26"/>
      <c r="K75" s="26"/>
      <c r="L75" s="26"/>
      <c r="M75" s="26"/>
      <c r="N75" s="19" t="s">
        <v>84</v>
      </c>
      <c r="O75" s="22">
        <f>VLOOKUP(G75,Dados!Z3:AA6,2,0)</f>
        <v>1</v>
      </c>
      <c r="P75" s="22"/>
      <c r="Q75" s="22" t="s">
        <v>90</v>
      </c>
      <c r="R75" s="22"/>
      <c r="S75" s="22"/>
    </row>
    <row r="76" spans="1:19" ht="11.25" customHeight="1" x14ac:dyDescent="0.25">
      <c r="A76" s="22"/>
      <c r="B76" s="22"/>
      <c r="C76" s="22" t="s">
        <v>74</v>
      </c>
      <c r="D76" s="22"/>
      <c r="E76" s="22"/>
      <c r="F76" s="22"/>
      <c r="G76" s="22" t="s">
        <v>292</v>
      </c>
      <c r="H76" s="22"/>
      <c r="I76" s="22"/>
      <c r="J76" s="22"/>
      <c r="K76" s="22"/>
      <c r="L76" s="22"/>
      <c r="M76" s="22"/>
      <c r="N76" s="19" t="s">
        <v>403</v>
      </c>
      <c r="O76" s="22">
        <f>VLOOKUP(G76,Dados!S3:T7,2,0)</f>
        <v>1</v>
      </c>
      <c r="P76" s="22"/>
      <c r="Q76" s="22" t="s">
        <v>91</v>
      </c>
      <c r="R76" s="22"/>
      <c r="S76" s="22"/>
    </row>
    <row r="77" spans="1:19" ht="11.25" customHeight="1" x14ac:dyDescent="0.25">
      <c r="A77" s="22" t="s">
        <v>72</v>
      </c>
      <c r="B77" s="22"/>
      <c r="C77" s="22" t="s">
        <v>73</v>
      </c>
      <c r="D77" s="22"/>
      <c r="E77" s="22"/>
      <c r="F77" s="22"/>
      <c r="G77" s="26" t="s">
        <v>313</v>
      </c>
      <c r="H77" s="26"/>
      <c r="I77" s="26"/>
      <c r="J77" s="26"/>
      <c r="K77" s="26"/>
      <c r="L77" s="26"/>
      <c r="M77" s="26"/>
      <c r="N77" s="19" t="s">
        <v>433</v>
      </c>
      <c r="O77" s="22">
        <f>VLOOKUP(G77,Dados!Z3:AA6,2,0)</f>
        <v>1</v>
      </c>
      <c r="P77" s="22"/>
      <c r="Q77" s="22" t="s">
        <v>90</v>
      </c>
      <c r="R77" s="22"/>
      <c r="S77" s="22"/>
    </row>
    <row r="78" spans="1:19" ht="11.25" customHeight="1" x14ac:dyDescent="0.25">
      <c r="A78" s="22"/>
      <c r="B78" s="22"/>
      <c r="C78" s="22" t="s">
        <v>75</v>
      </c>
      <c r="D78" s="22"/>
      <c r="E78" s="22"/>
      <c r="F78" s="22"/>
      <c r="G78" s="22" t="s">
        <v>292</v>
      </c>
      <c r="H78" s="22"/>
      <c r="I78" s="22"/>
      <c r="J78" s="22"/>
      <c r="K78" s="22"/>
      <c r="L78" s="22"/>
      <c r="M78" s="22"/>
      <c r="N78" s="19" t="s">
        <v>434</v>
      </c>
      <c r="O78" s="22">
        <f>VLOOKUP(G78,Dados!S3:T7,2,0)</f>
        <v>1</v>
      </c>
      <c r="P78" s="22"/>
      <c r="Q78" s="22" t="s">
        <v>91</v>
      </c>
      <c r="R78" s="22"/>
      <c r="S78" s="22"/>
    </row>
    <row r="79" spans="1:19" ht="11.25" customHeight="1" x14ac:dyDescent="0.25">
      <c r="A79" s="22" t="s">
        <v>76</v>
      </c>
      <c r="B79" s="22"/>
      <c r="C79" s="22"/>
      <c r="D79" s="22"/>
      <c r="E79" s="22"/>
      <c r="F79" s="22"/>
      <c r="G79" s="26" t="s">
        <v>368</v>
      </c>
      <c r="H79" s="26"/>
      <c r="I79" s="26"/>
      <c r="J79" s="26"/>
      <c r="K79" s="26"/>
      <c r="L79" s="26"/>
      <c r="M79" s="26"/>
      <c r="N79" s="19" t="s">
        <v>85</v>
      </c>
      <c r="O79" s="22">
        <f>VLOOKUP(G79,Dados!BL3:BM7,2,0)</f>
        <v>2</v>
      </c>
      <c r="P79" s="22"/>
      <c r="Q79" s="22" t="s">
        <v>92</v>
      </c>
      <c r="R79" s="22"/>
      <c r="S79" s="22"/>
    </row>
    <row r="81" spans="1:19" ht="11.25" customHeight="1" x14ac:dyDescent="0.25">
      <c r="A81" s="24" t="s">
        <v>129</v>
      </c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</row>
    <row r="82" spans="1:19" ht="11.25" customHeight="1" x14ac:dyDescent="0.25">
      <c r="A82" s="22" t="s">
        <v>4</v>
      </c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19" t="s">
        <v>8</v>
      </c>
      <c r="O82" s="22" t="s">
        <v>7</v>
      </c>
      <c r="P82" s="22"/>
      <c r="Q82" s="22" t="s">
        <v>6</v>
      </c>
      <c r="R82" s="22"/>
      <c r="S82" s="22"/>
    </row>
    <row r="83" spans="1:19" ht="11.25" customHeight="1" x14ac:dyDescent="0.25">
      <c r="A83" s="22" t="s">
        <v>95</v>
      </c>
      <c r="B83" s="22"/>
      <c r="C83" s="22"/>
      <c r="D83" s="22"/>
      <c r="E83" s="22"/>
      <c r="F83" s="22"/>
      <c r="G83" s="22" t="s">
        <v>335</v>
      </c>
      <c r="H83" s="22"/>
      <c r="I83" s="22"/>
      <c r="J83" s="22"/>
      <c r="K83" s="22"/>
      <c r="L83" s="22"/>
      <c r="M83" s="22"/>
      <c r="N83" s="19" t="s">
        <v>94</v>
      </c>
      <c r="O83" s="23">
        <v>0.01</v>
      </c>
      <c r="P83" s="23"/>
      <c r="Q83" s="22" t="s">
        <v>93</v>
      </c>
      <c r="R83" s="22"/>
      <c r="S83" s="22"/>
    </row>
    <row r="84" spans="1:19" ht="11.25" customHeight="1" x14ac:dyDescent="0.25">
      <c r="A84" s="22" t="s">
        <v>96</v>
      </c>
      <c r="B84" s="22"/>
      <c r="C84" s="22"/>
      <c r="D84" s="22"/>
      <c r="E84" s="22"/>
      <c r="F84" s="22"/>
      <c r="G84" s="22" t="s">
        <v>339</v>
      </c>
      <c r="H84" s="22"/>
      <c r="I84" s="22"/>
      <c r="J84" s="22"/>
      <c r="K84" s="22"/>
      <c r="L84" s="22"/>
      <c r="M84" s="22"/>
      <c r="N84" s="19" t="s">
        <v>98</v>
      </c>
      <c r="O84" s="23">
        <f>VLOOKUP(G84,Dados!AZ3:BA7,2,0)</f>
        <v>0.1</v>
      </c>
      <c r="P84" s="23"/>
      <c r="Q84" s="22"/>
      <c r="R84" s="22"/>
      <c r="S84" s="22"/>
    </row>
    <row r="85" spans="1:19" ht="11.25" customHeight="1" x14ac:dyDescent="0.25">
      <c r="A85" s="22" t="s">
        <v>97</v>
      </c>
      <c r="B85" s="22"/>
      <c r="C85" s="22"/>
      <c r="D85" s="22"/>
      <c r="E85" s="22"/>
      <c r="F85" s="22"/>
      <c r="G85" s="22" t="s">
        <v>342</v>
      </c>
      <c r="H85" s="22"/>
      <c r="I85" s="22"/>
      <c r="J85" s="22"/>
      <c r="K85" s="22"/>
      <c r="L85" s="22"/>
      <c r="M85" s="22"/>
      <c r="N85" s="19" t="s">
        <v>99</v>
      </c>
      <c r="O85" s="23">
        <f>VLOOKUP(G85,Dados!AZ8:BA11,2,0)</f>
        <v>1</v>
      </c>
      <c r="P85" s="23"/>
      <c r="Q85" s="22"/>
      <c r="R85" s="22"/>
      <c r="S85" s="22"/>
    </row>
    <row r="86" spans="1:19" ht="11.25" customHeight="1" x14ac:dyDescent="0.25">
      <c r="A86" s="22" t="s">
        <v>103</v>
      </c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19" t="s">
        <v>100</v>
      </c>
      <c r="O86" s="22">
        <v>48</v>
      </c>
      <c r="P86" s="22"/>
      <c r="Q86" s="22" t="s">
        <v>62</v>
      </c>
      <c r="R86" s="22"/>
      <c r="S86" s="22"/>
    </row>
    <row r="87" spans="1:19" ht="11.25" customHeight="1" x14ac:dyDescent="0.25">
      <c r="A87" s="22" t="s">
        <v>104</v>
      </c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19" t="s">
        <v>101</v>
      </c>
      <c r="O87" s="22">
        <v>50</v>
      </c>
      <c r="P87" s="22"/>
      <c r="Q87" s="22"/>
      <c r="R87" s="22"/>
      <c r="S87" s="22"/>
    </row>
    <row r="88" spans="1:19" ht="11.25" customHeight="1" x14ac:dyDescent="0.25">
      <c r="A88" s="22" t="s">
        <v>105</v>
      </c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19" t="s">
        <v>102</v>
      </c>
      <c r="O88" s="22">
        <v>24</v>
      </c>
      <c r="P88" s="22"/>
      <c r="Q88" s="22"/>
      <c r="R88" s="22"/>
      <c r="S88" s="22"/>
    </row>
    <row r="89" spans="1:19" ht="11.25" customHeight="1" x14ac:dyDescent="0.25">
      <c r="A89" s="22" t="s">
        <v>115</v>
      </c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19" t="s">
        <v>114</v>
      </c>
      <c r="O89" s="22">
        <v>365</v>
      </c>
      <c r="P89" s="22"/>
      <c r="Q89" s="22"/>
      <c r="R89" s="22"/>
      <c r="S89" s="22"/>
    </row>
    <row r="90" spans="1:19" ht="11.25" customHeight="1" x14ac:dyDescent="0.25">
      <c r="A90" s="26" t="s">
        <v>106</v>
      </c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19" t="s">
        <v>113</v>
      </c>
      <c r="O90" s="22">
        <f>O88*O89</f>
        <v>8760</v>
      </c>
      <c r="P90" s="22"/>
      <c r="Q90" s="22"/>
      <c r="R90" s="22"/>
      <c r="S90" s="22"/>
    </row>
    <row r="91" spans="1:19" ht="11.25" customHeight="1" x14ac:dyDescent="0.25">
      <c r="A91" s="22" t="s">
        <v>107</v>
      </c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19" t="s">
        <v>108</v>
      </c>
      <c r="O91" s="23">
        <f>O70*O83*(O86/O87)*(O90/8760)</f>
        <v>9.6000000000000002E-5</v>
      </c>
      <c r="P91" s="23"/>
      <c r="Q91" s="22" t="s">
        <v>110</v>
      </c>
      <c r="R91" s="22"/>
      <c r="S91" s="22"/>
    </row>
    <row r="92" spans="1:19" ht="11.25" customHeight="1" x14ac:dyDescent="0.25">
      <c r="A92" s="22" t="s">
        <v>116</v>
      </c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19" t="s">
        <v>109</v>
      </c>
      <c r="O92" s="23">
        <f>O74*O73*O79*O84*(O86/O87)*(O90/8760)</f>
        <v>1.92E-4</v>
      </c>
      <c r="P92" s="23"/>
      <c r="Q92" s="22" t="s">
        <v>111</v>
      </c>
      <c r="R92" s="22"/>
      <c r="S92" s="22"/>
    </row>
    <row r="93" spans="1:19" ht="44.25" customHeight="1" x14ac:dyDescent="0.25">
      <c r="A93" s="22" t="s">
        <v>118</v>
      </c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0" t="s">
        <v>117</v>
      </c>
      <c r="O93" s="23">
        <f>O85*(O86/O87)*(O90/8760)</f>
        <v>0.96</v>
      </c>
      <c r="P93" s="23"/>
      <c r="Q93" s="22" t="s">
        <v>112</v>
      </c>
      <c r="R93" s="22"/>
      <c r="S93" s="22"/>
    </row>
    <row r="94" spans="1:19" ht="11.25" customHeight="1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</row>
    <row r="95" spans="1:19" ht="11.25" customHeight="1" x14ac:dyDescent="0.25">
      <c r="A95" s="24" t="s">
        <v>130</v>
      </c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</row>
    <row r="96" spans="1:19" ht="11.25" customHeight="1" x14ac:dyDescent="0.25">
      <c r="A96" s="22" t="s">
        <v>4</v>
      </c>
      <c r="B96" s="22"/>
      <c r="C96" s="22"/>
      <c r="D96" s="22"/>
      <c r="E96" s="22"/>
      <c r="F96" s="22" t="s">
        <v>5</v>
      </c>
      <c r="G96" s="22"/>
      <c r="H96" s="22"/>
      <c r="I96" s="22"/>
      <c r="J96" s="22"/>
      <c r="K96" s="22"/>
      <c r="L96" s="22"/>
      <c r="M96" s="22"/>
      <c r="N96" s="19" t="s">
        <v>8</v>
      </c>
      <c r="O96" s="22" t="s">
        <v>7</v>
      </c>
      <c r="P96" s="22"/>
      <c r="Q96" s="22" t="s">
        <v>6</v>
      </c>
      <c r="R96" s="22"/>
      <c r="S96" s="22"/>
    </row>
    <row r="97" spans="1:19" ht="11.25" customHeight="1" x14ac:dyDescent="0.25">
      <c r="A97" s="22" t="s">
        <v>119</v>
      </c>
      <c r="B97" s="22"/>
      <c r="C97" s="22"/>
      <c r="D97" s="22"/>
      <c r="E97" s="22"/>
      <c r="F97" s="22" t="s">
        <v>62</v>
      </c>
      <c r="G97" s="22"/>
      <c r="H97" s="22"/>
      <c r="I97" s="22"/>
      <c r="J97" s="22"/>
      <c r="K97" s="22"/>
      <c r="L97" s="22"/>
      <c r="M97" s="22"/>
      <c r="N97" s="19" t="s">
        <v>121</v>
      </c>
      <c r="O97" s="22">
        <f>VLOOKUP(F97,Dados!BO3:BP7,2,0)</f>
        <v>0</v>
      </c>
      <c r="P97" s="22"/>
      <c r="Q97" s="22" t="s">
        <v>124</v>
      </c>
      <c r="R97" s="22"/>
      <c r="S97" s="22"/>
    </row>
    <row r="98" spans="1:19" ht="11.25" customHeight="1" x14ac:dyDescent="0.25">
      <c r="A98" s="22" t="s">
        <v>120</v>
      </c>
      <c r="B98" s="22"/>
      <c r="C98" s="22"/>
      <c r="D98" s="22"/>
      <c r="E98" s="22"/>
      <c r="F98" s="22" t="s">
        <v>62</v>
      </c>
      <c r="G98" s="22"/>
      <c r="H98" s="22"/>
      <c r="I98" s="22"/>
      <c r="J98" s="22"/>
      <c r="K98" s="22"/>
      <c r="L98" s="22"/>
      <c r="M98" s="22"/>
      <c r="N98" s="19" t="s">
        <v>122</v>
      </c>
      <c r="O98" s="22">
        <f>VLOOKUP(F98,Dados!BO3:BP7,2,0)</f>
        <v>0</v>
      </c>
      <c r="P98" s="22"/>
      <c r="Q98" s="22"/>
      <c r="R98" s="22"/>
      <c r="S98" s="22"/>
    </row>
    <row r="99" spans="1:19" ht="11.25" customHeight="1" x14ac:dyDescent="0.25">
      <c r="A99" s="22" t="s">
        <v>127</v>
      </c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19" t="s">
        <v>109</v>
      </c>
      <c r="O99" s="22">
        <f>O74*O73*O97*(O86/O87)</f>
        <v>0</v>
      </c>
      <c r="P99" s="22"/>
      <c r="Q99" s="22" t="s">
        <v>125</v>
      </c>
      <c r="R99" s="22"/>
      <c r="S99" s="22"/>
    </row>
    <row r="100" spans="1:19" ht="44.25" customHeight="1" x14ac:dyDescent="0.25">
      <c r="A100" s="22" t="s">
        <v>128</v>
      </c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0" t="s">
        <v>117</v>
      </c>
      <c r="O100" s="22">
        <f>O98*(O86/O87)</f>
        <v>0</v>
      </c>
      <c r="P100" s="22"/>
      <c r="Q100" s="22" t="s">
        <v>126</v>
      </c>
      <c r="R100" s="22"/>
      <c r="S100" s="22"/>
    </row>
    <row r="102" spans="1:19" ht="11.25" customHeight="1" x14ac:dyDescent="0.25">
      <c r="A102" s="24" t="s">
        <v>131</v>
      </c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</row>
    <row r="103" spans="1:19" ht="11.25" customHeight="1" x14ac:dyDescent="0.25">
      <c r="A103" s="22" t="s">
        <v>4</v>
      </c>
      <c r="B103" s="22"/>
      <c r="C103" s="22"/>
      <c r="D103" s="22" t="s">
        <v>5</v>
      </c>
      <c r="E103" s="22"/>
      <c r="F103" s="22"/>
      <c r="G103" s="22"/>
      <c r="H103" s="22"/>
      <c r="I103" s="22"/>
      <c r="J103" s="22"/>
      <c r="K103" s="22"/>
      <c r="L103" s="22"/>
      <c r="M103" s="22"/>
      <c r="N103" s="19" t="s">
        <v>8</v>
      </c>
      <c r="O103" s="22" t="s">
        <v>7</v>
      </c>
      <c r="P103" s="22"/>
      <c r="Q103" s="22" t="s">
        <v>6</v>
      </c>
      <c r="R103" s="22"/>
      <c r="S103" s="22"/>
    </row>
    <row r="104" spans="1:19" ht="11.25" customHeight="1" x14ac:dyDescent="0.25">
      <c r="A104" s="22" t="s">
        <v>132</v>
      </c>
      <c r="B104" s="22"/>
      <c r="C104" s="22"/>
      <c r="D104" s="22" t="s">
        <v>377</v>
      </c>
      <c r="E104" s="22"/>
      <c r="F104" s="22"/>
      <c r="G104" s="22"/>
      <c r="H104" s="22"/>
      <c r="I104" s="22"/>
      <c r="J104" s="22"/>
      <c r="K104" s="22"/>
      <c r="L104" s="22"/>
      <c r="M104" s="22"/>
      <c r="N104" s="19" t="s">
        <v>133</v>
      </c>
      <c r="O104" s="22">
        <f>VLOOKUP(D104,Dados!BR2:BS3,2,0)</f>
        <v>0</v>
      </c>
      <c r="P104" s="22"/>
      <c r="Q104" s="22" t="s">
        <v>135</v>
      </c>
      <c r="R104" s="22"/>
      <c r="S104" s="22"/>
    </row>
    <row r="105" spans="1:19" ht="11.25" customHeight="1" x14ac:dyDescent="0.25">
      <c r="A105" s="22" t="s">
        <v>134</v>
      </c>
      <c r="B105" s="22"/>
      <c r="C105" s="22"/>
      <c r="D105" s="22" t="s">
        <v>394</v>
      </c>
      <c r="E105" s="22"/>
      <c r="F105" s="22"/>
      <c r="G105" s="22"/>
      <c r="H105" s="22"/>
      <c r="I105" s="22"/>
      <c r="J105" s="22"/>
      <c r="K105" s="22"/>
      <c r="L105" s="22"/>
      <c r="M105" s="22"/>
      <c r="N105" s="19" t="s">
        <v>136</v>
      </c>
      <c r="O105" s="22">
        <v>0</v>
      </c>
      <c r="P105" s="22"/>
      <c r="Q105" s="22" t="s">
        <v>396</v>
      </c>
      <c r="R105" s="22"/>
      <c r="S105" s="22"/>
    </row>
    <row r="106" spans="1:19" ht="11.25" customHeight="1" x14ac:dyDescent="0.25">
      <c r="A106" s="22"/>
      <c r="B106" s="22"/>
      <c r="C106" s="22"/>
      <c r="D106" s="22" t="s">
        <v>395</v>
      </c>
      <c r="E106" s="22"/>
      <c r="F106" s="22"/>
      <c r="G106" s="22"/>
      <c r="H106" s="22"/>
      <c r="I106" s="22"/>
      <c r="J106" s="22"/>
      <c r="K106" s="22"/>
      <c r="L106" s="22"/>
      <c r="M106" s="22"/>
      <c r="N106" s="19" t="s">
        <v>45</v>
      </c>
      <c r="O106" s="22">
        <v>0</v>
      </c>
      <c r="P106" s="22"/>
      <c r="Q106" s="22"/>
      <c r="R106" s="22"/>
      <c r="S106" s="22"/>
    </row>
    <row r="107" spans="1:19" ht="11.25" customHeight="1" x14ac:dyDescent="0.25">
      <c r="A107" s="22"/>
      <c r="B107" s="22"/>
      <c r="C107" s="22"/>
      <c r="D107" s="22" t="s">
        <v>137</v>
      </c>
      <c r="E107" s="22"/>
      <c r="F107" s="22"/>
      <c r="G107" s="22"/>
      <c r="H107" s="22"/>
      <c r="I107" s="22"/>
      <c r="J107" s="22"/>
      <c r="K107" s="22"/>
      <c r="L107" s="22"/>
      <c r="M107" s="22"/>
      <c r="N107" s="19" t="s">
        <v>109</v>
      </c>
      <c r="O107" s="22">
        <v>0</v>
      </c>
      <c r="P107" s="22"/>
      <c r="Q107" s="22" t="s">
        <v>393</v>
      </c>
      <c r="R107" s="22"/>
      <c r="S107" s="22"/>
    </row>
    <row r="108" spans="1:19" s="2" customFormat="1" ht="11.25" customHeight="1" x14ac:dyDescent="0.2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</row>
    <row r="109" spans="1:19" s="2" customFormat="1" ht="11.25" customHeight="1" x14ac:dyDescent="0.25">
      <c r="A109" s="24" t="s">
        <v>406</v>
      </c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</row>
    <row r="110" spans="1:19" s="2" customFormat="1" ht="11.25" customHeight="1" x14ac:dyDescent="0.25">
      <c r="A110" s="22" t="s">
        <v>4</v>
      </c>
      <c r="B110" s="22"/>
      <c r="C110" s="22"/>
      <c r="D110" s="22"/>
      <c r="E110" s="22" t="s">
        <v>5</v>
      </c>
      <c r="F110" s="22"/>
      <c r="G110" s="22"/>
      <c r="H110" s="22"/>
      <c r="I110" s="22"/>
      <c r="J110" s="22"/>
      <c r="K110" s="22"/>
      <c r="L110" s="22"/>
      <c r="M110" s="22"/>
      <c r="N110" s="19" t="s">
        <v>8</v>
      </c>
      <c r="O110" s="22" t="s">
        <v>7</v>
      </c>
      <c r="P110" s="22"/>
      <c r="Q110" s="22" t="s">
        <v>6</v>
      </c>
      <c r="R110" s="22"/>
      <c r="S110" s="22"/>
    </row>
    <row r="111" spans="1:19" s="2" customFormat="1" ht="11.25" customHeight="1" x14ac:dyDescent="0.25">
      <c r="A111" s="22" t="s">
        <v>423</v>
      </c>
      <c r="B111" s="22"/>
      <c r="C111" s="22"/>
      <c r="D111" s="22"/>
      <c r="E111" s="22" t="s">
        <v>377</v>
      </c>
      <c r="F111" s="22"/>
      <c r="G111" s="22"/>
      <c r="H111" s="22"/>
      <c r="I111" s="22"/>
      <c r="J111" s="22"/>
      <c r="K111" s="22"/>
      <c r="L111" s="22"/>
      <c r="M111" s="22"/>
      <c r="N111" s="19" t="s">
        <v>94</v>
      </c>
      <c r="O111" s="22">
        <f>VLOOKUP(E111,Dados!BV2:BW3,2,0)</f>
        <v>0</v>
      </c>
      <c r="P111" s="22"/>
      <c r="Q111" s="22" t="s">
        <v>426</v>
      </c>
      <c r="R111" s="22"/>
      <c r="S111" s="22"/>
    </row>
    <row r="112" spans="1:19" s="2" customFormat="1" ht="11.25" customHeight="1" x14ac:dyDescent="0.25">
      <c r="A112" s="22" t="s">
        <v>424</v>
      </c>
      <c r="B112" s="22"/>
      <c r="C112" s="22"/>
      <c r="D112" s="22"/>
      <c r="E112" s="22" t="s">
        <v>342</v>
      </c>
      <c r="F112" s="22"/>
      <c r="G112" s="22"/>
      <c r="H112" s="22"/>
      <c r="I112" s="22"/>
      <c r="J112" s="22"/>
      <c r="K112" s="22"/>
      <c r="L112" s="22"/>
      <c r="M112" s="22"/>
      <c r="N112" s="19" t="s">
        <v>337</v>
      </c>
      <c r="O112" s="22">
        <f>VLOOKUP(E112,Dados!BV4:BW7,2,0)</f>
        <v>0.1</v>
      </c>
      <c r="P112" s="22"/>
      <c r="Q112" s="22" t="s">
        <v>426</v>
      </c>
      <c r="R112" s="22"/>
      <c r="S112" s="22"/>
    </row>
    <row r="113" spans="1:19" s="2" customFormat="1" ht="11.25" customHeight="1" x14ac:dyDescent="0.25">
      <c r="A113" s="22" t="s">
        <v>425</v>
      </c>
      <c r="B113" s="22"/>
      <c r="C113" s="22"/>
      <c r="D113" s="22"/>
      <c r="E113" s="22" t="s">
        <v>342</v>
      </c>
      <c r="F113" s="22"/>
      <c r="G113" s="22"/>
      <c r="H113" s="22"/>
      <c r="I113" s="22"/>
      <c r="J113" s="22"/>
      <c r="K113" s="22"/>
      <c r="L113" s="22"/>
      <c r="M113" s="22"/>
      <c r="N113" s="19" t="s">
        <v>343</v>
      </c>
      <c r="O113" s="22">
        <f>VLOOKUP(Relatório!E113,Dados!BV8:BW11,2,0)</f>
        <v>1E-4</v>
      </c>
      <c r="P113" s="22"/>
      <c r="Q113" s="22" t="s">
        <v>426</v>
      </c>
      <c r="R113" s="22"/>
      <c r="S113" s="22"/>
    </row>
    <row r="114" spans="1:19" s="2" customFormat="1" ht="11.25" customHeight="1" x14ac:dyDescent="0.25">
      <c r="A114" s="22" t="s">
        <v>407</v>
      </c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19" t="s">
        <v>408</v>
      </c>
      <c r="O114" s="22">
        <v>0</v>
      </c>
      <c r="P114" s="22"/>
      <c r="Q114" s="22" t="s">
        <v>62</v>
      </c>
      <c r="R114" s="22"/>
      <c r="S114" s="22"/>
    </row>
    <row r="115" spans="1:19" s="2" customFormat="1" ht="11.25" customHeight="1" x14ac:dyDescent="0.25">
      <c r="A115" s="22" t="s">
        <v>409</v>
      </c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19" t="s">
        <v>410</v>
      </c>
      <c r="O115" s="22">
        <v>0</v>
      </c>
      <c r="P115" s="22"/>
      <c r="Q115" s="22"/>
      <c r="R115" s="22"/>
      <c r="S115" s="22"/>
    </row>
    <row r="116" spans="1:19" s="2" customFormat="1" ht="11.25" customHeight="1" x14ac:dyDescent="0.25">
      <c r="A116" s="22" t="s">
        <v>414</v>
      </c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19" t="s">
        <v>411</v>
      </c>
      <c r="O116" s="22">
        <v>0</v>
      </c>
      <c r="P116" s="22"/>
      <c r="Q116" s="22"/>
      <c r="R116" s="22"/>
      <c r="S116" s="22"/>
    </row>
    <row r="117" spans="1:19" s="2" customFormat="1" ht="11.25" customHeight="1" x14ac:dyDescent="0.25">
      <c r="A117" s="22" t="s">
        <v>415</v>
      </c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19" t="s">
        <v>412</v>
      </c>
      <c r="O117" s="22">
        <v>0</v>
      </c>
      <c r="P117" s="22"/>
      <c r="Q117" s="22"/>
      <c r="R117" s="22"/>
      <c r="S117" s="22"/>
    </row>
    <row r="118" spans="1:19" s="2" customFormat="1" ht="11.25" customHeight="1" x14ac:dyDescent="0.25">
      <c r="A118" s="22" t="s">
        <v>416</v>
      </c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19" t="s">
        <v>413</v>
      </c>
      <c r="O118" s="22">
        <v>0</v>
      </c>
      <c r="P118" s="22"/>
      <c r="Q118" s="22"/>
      <c r="R118" s="22"/>
      <c r="S118" s="22"/>
    </row>
    <row r="119" spans="1:19" s="2" customFormat="1" ht="11.25" customHeight="1" x14ac:dyDescent="0.25">
      <c r="A119" s="22" t="s">
        <v>134</v>
      </c>
      <c r="B119" s="22"/>
      <c r="C119" s="22"/>
      <c r="D119" s="22" t="s">
        <v>427</v>
      </c>
      <c r="E119" s="22"/>
      <c r="F119" s="22"/>
      <c r="G119" s="22"/>
      <c r="H119" s="22"/>
      <c r="I119" s="22"/>
      <c r="J119" s="22"/>
      <c r="K119" s="22"/>
      <c r="L119" s="22"/>
      <c r="M119" s="22"/>
      <c r="N119" s="19" t="s">
        <v>108</v>
      </c>
      <c r="O119" s="22">
        <f>IFERROR(O70*O111*(O114/O118),0)</f>
        <v>0</v>
      </c>
      <c r="P119" s="22"/>
      <c r="Q119" s="22" t="s">
        <v>428</v>
      </c>
      <c r="R119" s="22"/>
      <c r="S119" s="22"/>
    </row>
    <row r="120" spans="1:19" s="2" customFormat="1" ht="11.25" customHeight="1" x14ac:dyDescent="0.25">
      <c r="A120" s="22"/>
      <c r="B120" s="22"/>
      <c r="C120" s="22"/>
      <c r="D120" s="22" t="s">
        <v>429</v>
      </c>
      <c r="E120" s="22"/>
      <c r="F120" s="22"/>
      <c r="G120" s="22"/>
      <c r="H120" s="22"/>
      <c r="I120" s="22"/>
      <c r="J120" s="22"/>
      <c r="K120" s="22"/>
      <c r="L120" s="22"/>
      <c r="M120" s="22"/>
      <c r="N120" s="19" t="s">
        <v>109</v>
      </c>
      <c r="O120" s="22">
        <f>IFERROR(O74*O73*O79*O112*((O114+O115+O116+O117)/O118),0)</f>
        <v>0</v>
      </c>
      <c r="P120" s="22"/>
      <c r="Q120" s="22" t="s">
        <v>393</v>
      </c>
      <c r="R120" s="22"/>
      <c r="S120" s="22"/>
    </row>
    <row r="121" spans="1:19" ht="44.25" customHeight="1" x14ac:dyDescent="0.25">
      <c r="A121" s="22"/>
      <c r="B121" s="22"/>
      <c r="C121" s="22"/>
      <c r="D121" s="22" t="s">
        <v>430</v>
      </c>
      <c r="E121" s="22"/>
      <c r="F121" s="22"/>
      <c r="G121" s="22"/>
      <c r="H121" s="22"/>
      <c r="I121" s="22"/>
      <c r="J121" s="22"/>
      <c r="K121" s="22"/>
      <c r="L121" s="22"/>
      <c r="M121" s="22"/>
      <c r="N121" s="20" t="s">
        <v>472</v>
      </c>
      <c r="O121" s="22">
        <f>IFERROR(O113*(O117/O118),0)</f>
        <v>0</v>
      </c>
      <c r="P121" s="22"/>
      <c r="Q121" s="22" t="s">
        <v>431</v>
      </c>
      <c r="R121" s="22"/>
      <c r="S121" s="22"/>
    </row>
    <row r="123" spans="1:19" ht="11.25" customHeight="1" x14ac:dyDescent="0.25">
      <c r="A123" s="24" t="s">
        <v>138</v>
      </c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</row>
    <row r="124" spans="1:19" ht="11.25" customHeight="1" x14ac:dyDescent="0.25">
      <c r="A124" s="22" t="s">
        <v>4</v>
      </c>
      <c r="B124" s="22"/>
      <c r="C124" s="22"/>
      <c r="D124" s="22" t="s">
        <v>149</v>
      </c>
      <c r="E124" s="22"/>
      <c r="F124" s="22"/>
      <c r="G124" s="22"/>
      <c r="H124" s="22"/>
      <c r="I124" s="22"/>
      <c r="J124" s="22"/>
      <c r="K124" s="22"/>
      <c r="L124" s="22"/>
      <c r="M124" s="22"/>
      <c r="N124" s="19" t="s">
        <v>8</v>
      </c>
      <c r="O124" s="22" t="s">
        <v>7</v>
      </c>
      <c r="P124" s="22"/>
      <c r="Q124" s="22" t="s">
        <v>6</v>
      </c>
      <c r="R124" s="22"/>
      <c r="S124" s="22"/>
    </row>
    <row r="125" spans="1:19" ht="11.25" customHeight="1" x14ac:dyDescent="0.25">
      <c r="A125" s="22" t="s">
        <v>139</v>
      </c>
      <c r="B125" s="22"/>
      <c r="C125" s="22"/>
      <c r="D125" s="22" t="s">
        <v>150</v>
      </c>
      <c r="E125" s="22"/>
      <c r="F125" s="22"/>
      <c r="G125" s="22"/>
      <c r="H125" s="22"/>
      <c r="I125" s="22"/>
      <c r="J125" s="22"/>
      <c r="K125" s="22"/>
      <c r="L125" s="22"/>
      <c r="M125" s="22"/>
      <c r="N125" s="19" t="s">
        <v>141</v>
      </c>
      <c r="O125" s="23">
        <f>IF(O25="-",O22*O23+2*(3*O24)*(O22+O23)+PI()*((3*O24)^2),O25)</f>
        <v>7915.7694409323949</v>
      </c>
      <c r="P125" s="23"/>
      <c r="Q125" s="22" t="s">
        <v>157</v>
      </c>
      <c r="R125" s="22"/>
      <c r="S125" s="22"/>
    </row>
    <row r="126" spans="1:19" ht="11.25" customHeight="1" x14ac:dyDescent="0.25">
      <c r="A126" s="22"/>
      <c r="B126" s="22"/>
      <c r="C126" s="22"/>
      <c r="D126" s="22" t="s">
        <v>151</v>
      </c>
      <c r="E126" s="22"/>
      <c r="F126" s="22"/>
      <c r="G126" s="22"/>
      <c r="H126" s="22"/>
      <c r="I126" s="22"/>
      <c r="J126" s="22"/>
      <c r="K126" s="22"/>
      <c r="L126" s="22"/>
      <c r="M126" s="22"/>
      <c r="N126" s="19" t="s">
        <v>142</v>
      </c>
      <c r="O126" s="23">
        <f>2*500*(O22+O23)+PI()*500^2</f>
        <v>811898.16339744825</v>
      </c>
      <c r="P126" s="23"/>
      <c r="Q126" s="22" t="s">
        <v>158</v>
      </c>
      <c r="R126" s="22"/>
      <c r="S126" s="22"/>
    </row>
    <row r="127" spans="1:19" ht="11.25" customHeight="1" x14ac:dyDescent="0.25">
      <c r="A127" s="22" t="s">
        <v>41</v>
      </c>
      <c r="B127" s="22"/>
      <c r="C127" s="22"/>
      <c r="D127" s="22" t="s">
        <v>152</v>
      </c>
      <c r="E127" s="22"/>
      <c r="F127" s="22"/>
      <c r="G127" s="22"/>
      <c r="H127" s="22"/>
      <c r="I127" s="22"/>
      <c r="J127" s="22"/>
      <c r="K127" s="22"/>
      <c r="L127" s="22"/>
      <c r="M127" s="22"/>
      <c r="N127" s="19" t="s">
        <v>143</v>
      </c>
      <c r="O127" s="23">
        <f>40*O37</f>
        <v>40000</v>
      </c>
      <c r="P127" s="23"/>
      <c r="Q127" s="22" t="s">
        <v>159</v>
      </c>
      <c r="R127" s="22"/>
      <c r="S127" s="22"/>
    </row>
    <row r="128" spans="1:19" ht="11.25" customHeight="1" x14ac:dyDescent="0.25">
      <c r="A128" s="22"/>
      <c r="B128" s="22"/>
      <c r="C128" s="22"/>
      <c r="D128" s="22" t="s">
        <v>153</v>
      </c>
      <c r="E128" s="22"/>
      <c r="F128" s="22"/>
      <c r="G128" s="22"/>
      <c r="H128" s="22"/>
      <c r="I128" s="22"/>
      <c r="J128" s="22"/>
      <c r="K128" s="22"/>
      <c r="L128" s="22"/>
      <c r="M128" s="22"/>
      <c r="N128" s="19" t="s">
        <v>146</v>
      </c>
      <c r="O128" s="23">
        <f>4000*O37</f>
        <v>4000000</v>
      </c>
      <c r="P128" s="23"/>
      <c r="Q128" s="22" t="s">
        <v>160</v>
      </c>
      <c r="R128" s="22"/>
      <c r="S128" s="22"/>
    </row>
    <row r="129" spans="1:19" ht="11.25" customHeight="1" x14ac:dyDescent="0.25">
      <c r="A129" s="22"/>
      <c r="B129" s="22"/>
      <c r="C129" s="22"/>
      <c r="D129" s="22" t="s">
        <v>154</v>
      </c>
      <c r="E129" s="22"/>
      <c r="F129" s="22"/>
      <c r="G129" s="22"/>
      <c r="H129" s="22"/>
      <c r="I129" s="22"/>
      <c r="J129" s="22"/>
      <c r="K129" s="22"/>
      <c r="L129" s="22"/>
      <c r="M129" s="22"/>
      <c r="N129" s="19" t="s">
        <v>144</v>
      </c>
      <c r="O129" s="23">
        <f>O44*O45+2*(3*O46)*(O44+O45)+PI()*((3*O46)^2)</f>
        <v>0</v>
      </c>
      <c r="P129" s="23"/>
      <c r="Q129" s="22" t="s">
        <v>157</v>
      </c>
      <c r="R129" s="22"/>
      <c r="S129" s="22"/>
    </row>
    <row r="130" spans="1:19" ht="11.25" customHeight="1" x14ac:dyDescent="0.25">
      <c r="A130" s="22" t="s">
        <v>140</v>
      </c>
      <c r="B130" s="22"/>
      <c r="C130" s="22"/>
      <c r="D130" s="22" t="s">
        <v>155</v>
      </c>
      <c r="E130" s="22"/>
      <c r="F130" s="22"/>
      <c r="G130" s="22"/>
      <c r="H130" s="22"/>
      <c r="I130" s="22"/>
      <c r="J130" s="22"/>
      <c r="K130" s="22"/>
      <c r="L130" s="22"/>
      <c r="M130" s="22"/>
      <c r="N130" s="19" t="s">
        <v>145</v>
      </c>
      <c r="O130" s="23">
        <f>40*O53</f>
        <v>40000</v>
      </c>
      <c r="P130" s="23"/>
      <c r="Q130" s="22" t="s">
        <v>159</v>
      </c>
      <c r="R130" s="22"/>
      <c r="S130" s="22"/>
    </row>
    <row r="131" spans="1:19" ht="11.25" customHeight="1" x14ac:dyDescent="0.25">
      <c r="A131" s="22"/>
      <c r="B131" s="22"/>
      <c r="C131" s="22"/>
      <c r="D131" s="22" t="s">
        <v>156</v>
      </c>
      <c r="E131" s="22"/>
      <c r="F131" s="22"/>
      <c r="G131" s="22"/>
      <c r="H131" s="22"/>
      <c r="I131" s="22"/>
      <c r="J131" s="22"/>
      <c r="K131" s="22"/>
      <c r="L131" s="22"/>
      <c r="M131" s="22"/>
      <c r="N131" s="19" t="s">
        <v>147</v>
      </c>
      <c r="O131" s="23">
        <f>4000*O53</f>
        <v>4000000</v>
      </c>
      <c r="P131" s="23"/>
      <c r="Q131" s="22" t="s">
        <v>160</v>
      </c>
      <c r="R131" s="22"/>
      <c r="S131" s="22"/>
    </row>
    <row r="132" spans="1:19" ht="11.25" customHeight="1" x14ac:dyDescent="0.25">
      <c r="A132" s="22"/>
      <c r="B132" s="22"/>
      <c r="C132" s="22"/>
      <c r="D132" s="22" t="s">
        <v>397</v>
      </c>
      <c r="E132" s="22"/>
      <c r="F132" s="22"/>
      <c r="G132" s="22"/>
      <c r="H132" s="22"/>
      <c r="I132" s="22"/>
      <c r="J132" s="22"/>
      <c r="K132" s="22"/>
      <c r="L132" s="22"/>
      <c r="M132" s="22"/>
      <c r="N132" s="19" t="s">
        <v>148</v>
      </c>
      <c r="O132" s="23">
        <f>O60*O61+2*(3*O62)*(O60+O61)+PI()*((3*O62)^2)</f>
        <v>0</v>
      </c>
      <c r="P132" s="23"/>
      <c r="Q132" s="22" t="s">
        <v>161</v>
      </c>
      <c r="R132" s="22"/>
      <c r="S132" s="22"/>
    </row>
    <row r="133" spans="1:19" s="2" customFormat="1" ht="11.25" customHeight="1" x14ac:dyDescent="0.2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</row>
    <row r="134" spans="1:19" ht="11.25" customHeight="1" x14ac:dyDescent="0.25">
      <c r="A134" s="24" t="s">
        <v>162</v>
      </c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</row>
    <row r="135" spans="1:19" ht="11.25" customHeight="1" x14ac:dyDescent="0.25">
      <c r="A135" s="22" t="s">
        <v>4</v>
      </c>
      <c r="B135" s="22"/>
      <c r="C135" s="22"/>
      <c r="D135" s="22" t="s">
        <v>149</v>
      </c>
      <c r="E135" s="22"/>
      <c r="F135" s="22"/>
      <c r="G135" s="22"/>
      <c r="H135" s="22"/>
      <c r="I135" s="22"/>
      <c r="J135" s="22"/>
      <c r="K135" s="22"/>
      <c r="L135" s="22"/>
      <c r="M135" s="22"/>
      <c r="N135" s="19" t="s">
        <v>8</v>
      </c>
      <c r="O135" s="22" t="s">
        <v>163</v>
      </c>
      <c r="P135" s="22"/>
      <c r="Q135" s="22" t="s">
        <v>6</v>
      </c>
      <c r="R135" s="22"/>
      <c r="S135" s="22"/>
    </row>
    <row r="136" spans="1:19" ht="11.25" customHeight="1" x14ac:dyDescent="0.25">
      <c r="A136" s="22" t="s">
        <v>139</v>
      </c>
      <c r="B136" s="22"/>
      <c r="C136" s="22"/>
      <c r="D136" s="22" t="s">
        <v>164</v>
      </c>
      <c r="E136" s="22"/>
      <c r="F136" s="22"/>
      <c r="G136" s="22"/>
      <c r="H136" s="22"/>
      <c r="I136" s="22"/>
      <c r="J136" s="22"/>
      <c r="K136" s="22"/>
      <c r="L136" s="22"/>
      <c r="M136" s="22"/>
      <c r="N136" s="19" t="s">
        <v>166</v>
      </c>
      <c r="O136" s="23">
        <f>O21*O125*O26*10^-6</f>
        <v>2.3747308322797183E-2</v>
      </c>
      <c r="P136" s="23"/>
      <c r="Q136" s="22" t="s">
        <v>174</v>
      </c>
      <c r="R136" s="22"/>
      <c r="S136" s="22"/>
    </row>
    <row r="137" spans="1:19" ht="11.25" customHeight="1" x14ac:dyDescent="0.25">
      <c r="A137" s="22"/>
      <c r="B137" s="22"/>
      <c r="C137" s="22"/>
      <c r="D137" s="22" t="s">
        <v>165</v>
      </c>
      <c r="E137" s="22"/>
      <c r="F137" s="22"/>
      <c r="G137" s="22"/>
      <c r="H137" s="22"/>
      <c r="I137" s="22"/>
      <c r="J137" s="22"/>
      <c r="K137" s="22"/>
      <c r="L137" s="22"/>
      <c r="M137" s="22"/>
      <c r="N137" s="19" t="s">
        <v>167</v>
      </c>
      <c r="O137" s="23">
        <f>O21*O126*10^-6</f>
        <v>4.8713889803846895</v>
      </c>
      <c r="P137" s="23"/>
      <c r="Q137" s="22" t="s">
        <v>175</v>
      </c>
      <c r="R137" s="22"/>
      <c r="S137" s="22"/>
    </row>
    <row r="138" spans="1:19" ht="11.25" customHeight="1" x14ac:dyDescent="0.25">
      <c r="A138" s="22" t="s">
        <v>41</v>
      </c>
      <c r="B138" s="22"/>
      <c r="C138" s="22"/>
      <c r="D138" s="22" t="s">
        <v>442</v>
      </c>
      <c r="E138" s="22"/>
      <c r="F138" s="22"/>
      <c r="G138" s="22"/>
      <c r="H138" s="22"/>
      <c r="I138" s="22"/>
      <c r="J138" s="22"/>
      <c r="K138" s="22"/>
      <c r="L138" s="22"/>
      <c r="M138" s="22"/>
      <c r="N138" s="19" t="s">
        <v>207</v>
      </c>
      <c r="O138" s="23">
        <f>O21*O127*O38*O39*O40*10^-6</f>
        <v>2.4E-2</v>
      </c>
      <c r="P138" s="23"/>
      <c r="Q138" s="22" t="s">
        <v>171</v>
      </c>
      <c r="R138" s="22"/>
      <c r="S138" s="22"/>
    </row>
    <row r="139" spans="1:19" ht="11.25" customHeight="1" x14ac:dyDescent="0.25">
      <c r="A139" s="22"/>
      <c r="B139" s="22"/>
      <c r="C139" s="22"/>
      <c r="D139" s="22" t="s">
        <v>441</v>
      </c>
      <c r="E139" s="22"/>
      <c r="F139" s="22"/>
      <c r="G139" s="22"/>
      <c r="H139" s="22"/>
      <c r="I139" s="22"/>
      <c r="J139" s="22"/>
      <c r="K139" s="22"/>
      <c r="L139" s="22"/>
      <c r="M139" s="22"/>
      <c r="N139" s="19" t="s">
        <v>168</v>
      </c>
      <c r="O139" s="23">
        <f>O21*O128*O38*O39*O40*10^-6</f>
        <v>2.4</v>
      </c>
      <c r="P139" s="23"/>
      <c r="Q139" s="22" t="s">
        <v>172</v>
      </c>
      <c r="R139" s="22"/>
      <c r="S139" s="22"/>
    </row>
    <row r="140" spans="1:19" ht="11.25" customHeight="1" x14ac:dyDescent="0.25">
      <c r="A140" s="22"/>
      <c r="B140" s="22"/>
      <c r="C140" s="22"/>
      <c r="D140" s="22" t="s">
        <v>170</v>
      </c>
      <c r="E140" s="22"/>
      <c r="F140" s="22"/>
      <c r="G140" s="22"/>
      <c r="H140" s="22"/>
      <c r="I140" s="22"/>
      <c r="J140" s="22"/>
      <c r="K140" s="22"/>
      <c r="L140" s="22"/>
      <c r="M140" s="22"/>
      <c r="N140" s="19" t="s">
        <v>169</v>
      </c>
      <c r="O140" s="23">
        <f>O21*O129*O47*O39*10^-6</f>
        <v>0</v>
      </c>
      <c r="P140" s="23"/>
      <c r="Q140" s="22" t="s">
        <v>173</v>
      </c>
      <c r="R140" s="22"/>
      <c r="S140" s="22"/>
    </row>
    <row r="141" spans="1:19" ht="11.25" customHeight="1" x14ac:dyDescent="0.25">
      <c r="A141" s="22" t="s">
        <v>140</v>
      </c>
      <c r="B141" s="22"/>
      <c r="C141" s="22"/>
      <c r="D141" s="22" t="s">
        <v>489</v>
      </c>
      <c r="E141" s="22"/>
      <c r="F141" s="22"/>
      <c r="G141" s="22"/>
      <c r="H141" s="22"/>
      <c r="I141" s="22"/>
      <c r="J141" s="22"/>
      <c r="K141" s="22"/>
      <c r="L141" s="22"/>
      <c r="M141" s="22"/>
      <c r="N141" s="19" t="s">
        <v>486</v>
      </c>
      <c r="O141" s="23">
        <f>O21*O130*O54*O55*O56*10^-6</f>
        <v>2.4E-2</v>
      </c>
      <c r="P141" s="23"/>
      <c r="Q141" s="22" t="s">
        <v>171</v>
      </c>
      <c r="R141" s="22"/>
      <c r="S141" s="22"/>
    </row>
    <row r="142" spans="1:19" ht="11.25" customHeight="1" x14ac:dyDescent="0.25">
      <c r="A142" s="22"/>
      <c r="B142" s="22"/>
      <c r="C142" s="22"/>
      <c r="D142" s="22" t="s">
        <v>491</v>
      </c>
      <c r="E142" s="22"/>
      <c r="F142" s="22"/>
      <c r="G142" s="22"/>
      <c r="H142" s="22"/>
      <c r="I142" s="22"/>
      <c r="J142" s="22"/>
      <c r="K142" s="22"/>
      <c r="L142" s="22"/>
      <c r="M142" s="22"/>
      <c r="N142" s="19" t="s">
        <v>487</v>
      </c>
      <c r="O142" s="23">
        <f>O21*O131*O54*O55*O56*10^-6</f>
        <v>2.4</v>
      </c>
      <c r="P142" s="23"/>
      <c r="Q142" s="22" t="s">
        <v>172</v>
      </c>
      <c r="R142" s="22"/>
      <c r="S142" s="22"/>
    </row>
    <row r="143" spans="1:19" ht="11.25" customHeight="1" x14ac:dyDescent="0.25">
      <c r="A143" s="22"/>
      <c r="B143" s="22"/>
      <c r="C143" s="22"/>
      <c r="D143" s="22" t="s">
        <v>490</v>
      </c>
      <c r="E143" s="22"/>
      <c r="F143" s="22"/>
      <c r="G143" s="22"/>
      <c r="H143" s="22"/>
      <c r="I143" s="22"/>
      <c r="J143" s="22"/>
      <c r="K143" s="22"/>
      <c r="L143" s="22"/>
      <c r="M143" s="22"/>
      <c r="N143" s="19" t="s">
        <v>488</v>
      </c>
      <c r="O143" s="23">
        <f>O21*O132*O63*O55*10^-6</f>
        <v>0</v>
      </c>
      <c r="P143" s="23"/>
      <c r="Q143" s="22" t="s">
        <v>173</v>
      </c>
      <c r="R143" s="22"/>
      <c r="S143" s="22"/>
    </row>
    <row r="145" spans="1:19" ht="11.25" customHeight="1" x14ac:dyDescent="0.25">
      <c r="A145" s="24" t="s">
        <v>176</v>
      </c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</row>
    <row r="146" spans="1:19" ht="11.25" customHeight="1" x14ac:dyDescent="0.25">
      <c r="A146" s="22" t="s">
        <v>177</v>
      </c>
      <c r="B146" s="22"/>
      <c r="C146" s="22"/>
      <c r="D146" s="22"/>
      <c r="E146" s="22"/>
      <c r="F146" s="22"/>
      <c r="G146" s="22"/>
      <c r="H146" s="22"/>
      <c r="I146" s="22" t="s">
        <v>149</v>
      </c>
      <c r="J146" s="22"/>
      <c r="K146" s="22"/>
      <c r="L146" s="22"/>
      <c r="M146" s="22"/>
      <c r="N146" s="19" t="s">
        <v>8</v>
      </c>
      <c r="O146" s="22" t="s">
        <v>7</v>
      </c>
      <c r="P146" s="22"/>
      <c r="Q146" s="22" t="s">
        <v>6</v>
      </c>
      <c r="R146" s="22"/>
      <c r="S146" s="22"/>
    </row>
    <row r="147" spans="1:19" ht="11.25" customHeight="1" x14ac:dyDescent="0.25">
      <c r="A147" s="22" t="s">
        <v>188</v>
      </c>
      <c r="B147" s="22"/>
      <c r="C147" s="22"/>
      <c r="D147" s="22"/>
      <c r="E147" s="22"/>
      <c r="F147" s="22"/>
      <c r="G147" s="22"/>
      <c r="H147" s="22"/>
      <c r="I147" s="22" t="s">
        <v>185</v>
      </c>
      <c r="J147" s="22"/>
      <c r="K147" s="22"/>
      <c r="L147" s="22"/>
      <c r="M147" s="22"/>
      <c r="N147" s="19" t="s">
        <v>178</v>
      </c>
      <c r="O147" s="23">
        <f>O71*O27</f>
        <v>1</v>
      </c>
      <c r="P147" s="23"/>
      <c r="Q147" s="22" t="s">
        <v>182</v>
      </c>
      <c r="R147" s="22"/>
      <c r="S147" s="22"/>
    </row>
    <row r="148" spans="1:19" ht="11.25" customHeight="1" x14ac:dyDescent="0.25">
      <c r="A148" s="25" t="s">
        <v>439</v>
      </c>
      <c r="B148" s="25"/>
      <c r="C148" s="25"/>
      <c r="D148" s="25"/>
      <c r="E148" s="25"/>
      <c r="F148" s="25"/>
      <c r="G148" s="22" t="s">
        <v>71</v>
      </c>
      <c r="H148" s="22"/>
      <c r="I148" s="22" t="s">
        <v>399</v>
      </c>
      <c r="J148" s="22"/>
      <c r="K148" s="22"/>
      <c r="L148" s="22"/>
      <c r="M148" s="22"/>
      <c r="N148" s="19" t="s">
        <v>180</v>
      </c>
      <c r="O148" s="23">
        <f>O76*O42</f>
        <v>1</v>
      </c>
      <c r="P148" s="23"/>
      <c r="Q148" s="22" t="s">
        <v>183</v>
      </c>
      <c r="R148" s="22"/>
      <c r="S148" s="22"/>
    </row>
    <row r="149" spans="1:19" ht="11.25" customHeight="1" x14ac:dyDescent="0.25">
      <c r="A149" s="25"/>
      <c r="B149" s="25"/>
      <c r="C149" s="25"/>
      <c r="D149" s="25"/>
      <c r="E149" s="25"/>
      <c r="F149" s="25"/>
      <c r="G149" s="22" t="s">
        <v>72</v>
      </c>
      <c r="H149" s="22"/>
      <c r="I149" s="22" t="s">
        <v>484</v>
      </c>
      <c r="J149" s="22"/>
      <c r="K149" s="22"/>
      <c r="L149" s="22"/>
      <c r="M149" s="22"/>
      <c r="N149" s="19" t="s">
        <v>181</v>
      </c>
      <c r="O149" s="23">
        <f>O78*O58</f>
        <v>1</v>
      </c>
      <c r="P149" s="23"/>
      <c r="Q149" s="22" t="s">
        <v>183</v>
      </c>
      <c r="R149" s="22"/>
      <c r="S149" s="22"/>
    </row>
    <row r="150" spans="1:19" ht="11.25" customHeight="1" x14ac:dyDescent="0.25">
      <c r="A150" s="25"/>
      <c r="B150" s="25"/>
      <c r="C150" s="25"/>
      <c r="D150" s="25"/>
      <c r="E150" s="25"/>
      <c r="F150" s="25"/>
      <c r="G150" s="22" t="s">
        <v>440</v>
      </c>
      <c r="H150" s="22"/>
      <c r="I150" s="22" t="s">
        <v>186</v>
      </c>
      <c r="J150" s="22"/>
      <c r="K150" s="22"/>
      <c r="L150" s="22"/>
      <c r="M150" s="22"/>
      <c r="N150" s="19" t="s">
        <v>179</v>
      </c>
      <c r="O150" s="23">
        <f>1-(1-O148)*(1-O149)</f>
        <v>1</v>
      </c>
      <c r="P150" s="23"/>
      <c r="Q150" s="22" t="s">
        <v>184</v>
      </c>
      <c r="R150" s="22"/>
      <c r="S150" s="22"/>
    </row>
    <row r="151" spans="1:19" ht="11.25" customHeight="1" x14ac:dyDescent="0.25">
      <c r="A151" s="25" t="s">
        <v>189</v>
      </c>
      <c r="B151" s="25"/>
      <c r="C151" s="25"/>
      <c r="D151" s="25"/>
      <c r="E151" s="25"/>
      <c r="F151" s="25"/>
      <c r="G151" s="22" t="s">
        <v>71</v>
      </c>
      <c r="H151" s="22"/>
      <c r="I151" s="22" t="s">
        <v>190</v>
      </c>
      <c r="J151" s="22"/>
      <c r="K151" s="22"/>
      <c r="L151" s="22"/>
      <c r="M151" s="22"/>
      <c r="N151" s="19" t="s">
        <v>193</v>
      </c>
      <c r="O151" s="23">
        <f>O76*O161</f>
        <v>0.16666666666666666</v>
      </c>
      <c r="P151" s="23"/>
      <c r="Q151" s="22" t="s">
        <v>187</v>
      </c>
      <c r="R151" s="22"/>
      <c r="S151" s="22"/>
    </row>
    <row r="152" spans="1:19" ht="11.25" customHeight="1" x14ac:dyDescent="0.25">
      <c r="A152" s="25"/>
      <c r="B152" s="25"/>
      <c r="C152" s="25"/>
      <c r="D152" s="25"/>
      <c r="E152" s="25"/>
      <c r="F152" s="25"/>
      <c r="G152" s="22" t="s">
        <v>72</v>
      </c>
      <c r="H152" s="22"/>
      <c r="I152" s="22" t="s">
        <v>191</v>
      </c>
      <c r="J152" s="22"/>
      <c r="K152" s="22"/>
      <c r="L152" s="22"/>
      <c r="M152" s="22"/>
      <c r="N152" s="19" t="s">
        <v>194</v>
      </c>
      <c r="O152" s="23">
        <f>O78*O162</f>
        <v>0.16666666666666666</v>
      </c>
      <c r="P152" s="23"/>
      <c r="Q152" s="22" t="s">
        <v>187</v>
      </c>
      <c r="R152" s="22"/>
      <c r="S152" s="22"/>
    </row>
    <row r="153" spans="1:19" ht="11.25" customHeight="1" x14ac:dyDescent="0.25">
      <c r="A153" s="25" t="s">
        <v>192</v>
      </c>
      <c r="B153" s="25"/>
      <c r="C153" s="25"/>
      <c r="D153" s="25"/>
      <c r="E153" s="25"/>
      <c r="F153" s="25"/>
      <c r="G153" s="22" t="s">
        <v>71</v>
      </c>
      <c r="H153" s="22"/>
      <c r="I153" s="22" t="s">
        <v>197</v>
      </c>
      <c r="J153" s="22"/>
      <c r="K153" s="22"/>
      <c r="L153" s="22"/>
      <c r="M153" s="22"/>
      <c r="N153" s="19" t="s">
        <v>195</v>
      </c>
      <c r="O153" s="23">
        <f>O72*O28*O50*O42</f>
        <v>0</v>
      </c>
      <c r="P153" s="23"/>
      <c r="Q153" s="22" t="s">
        <v>204</v>
      </c>
      <c r="R153" s="22"/>
      <c r="S153" s="22"/>
    </row>
    <row r="154" spans="1:19" ht="11.25" customHeight="1" x14ac:dyDescent="0.25">
      <c r="A154" s="25"/>
      <c r="B154" s="25"/>
      <c r="C154" s="25"/>
      <c r="D154" s="25"/>
      <c r="E154" s="25"/>
      <c r="F154" s="25"/>
      <c r="G154" s="22" t="s">
        <v>72</v>
      </c>
      <c r="H154" s="22"/>
      <c r="I154" s="22" t="s">
        <v>404</v>
      </c>
      <c r="J154" s="22"/>
      <c r="K154" s="22"/>
      <c r="L154" s="22"/>
      <c r="M154" s="22"/>
      <c r="N154" s="19" t="s">
        <v>196</v>
      </c>
      <c r="O154" s="23">
        <f>O72*O28*O66*O58</f>
        <v>0</v>
      </c>
      <c r="P154" s="23"/>
      <c r="Q154" s="22" t="s">
        <v>204</v>
      </c>
      <c r="R154" s="22"/>
      <c r="S154" s="22"/>
    </row>
    <row r="155" spans="1:19" ht="11.25" customHeight="1" x14ac:dyDescent="0.25">
      <c r="A155" s="25" t="s">
        <v>198</v>
      </c>
      <c r="B155" s="25"/>
      <c r="C155" s="25"/>
      <c r="D155" s="25"/>
      <c r="E155" s="25"/>
      <c r="F155" s="25"/>
      <c r="G155" s="22" t="s">
        <v>71</v>
      </c>
      <c r="H155" s="22"/>
      <c r="I155" s="22" t="s">
        <v>202</v>
      </c>
      <c r="J155" s="22"/>
      <c r="K155" s="22"/>
      <c r="L155" s="22"/>
      <c r="M155" s="22"/>
      <c r="N155" s="19" t="s">
        <v>200</v>
      </c>
      <c r="O155" s="23">
        <f>O76*O50*O38</f>
        <v>1</v>
      </c>
      <c r="P155" s="23"/>
      <c r="Q155" s="22" t="s">
        <v>205</v>
      </c>
      <c r="R155" s="22"/>
      <c r="S155" s="22"/>
    </row>
    <row r="156" spans="1:19" ht="11.25" customHeight="1" x14ac:dyDescent="0.25">
      <c r="A156" s="25"/>
      <c r="B156" s="25"/>
      <c r="C156" s="25"/>
      <c r="D156" s="25"/>
      <c r="E156" s="25"/>
      <c r="F156" s="25"/>
      <c r="G156" s="22" t="s">
        <v>72</v>
      </c>
      <c r="H156" s="22"/>
      <c r="I156" s="22" t="s">
        <v>446</v>
      </c>
      <c r="J156" s="22"/>
      <c r="K156" s="22"/>
      <c r="L156" s="22"/>
      <c r="M156" s="22"/>
      <c r="N156" s="19" t="s">
        <v>443</v>
      </c>
      <c r="O156" s="23">
        <f>O78*O66*O54</f>
        <v>1</v>
      </c>
      <c r="P156" s="23"/>
      <c r="Q156" s="22" t="s">
        <v>205</v>
      </c>
      <c r="R156" s="22"/>
      <c r="S156" s="22"/>
    </row>
    <row r="157" spans="1:19" ht="11.25" customHeight="1" x14ac:dyDescent="0.25">
      <c r="A157" s="25" t="s">
        <v>199</v>
      </c>
      <c r="B157" s="25"/>
      <c r="C157" s="25"/>
      <c r="D157" s="25"/>
      <c r="E157" s="25"/>
      <c r="F157" s="25"/>
      <c r="G157" s="22" t="s">
        <v>71</v>
      </c>
      <c r="H157" s="22"/>
      <c r="I157" s="22" t="s">
        <v>203</v>
      </c>
      <c r="J157" s="22"/>
      <c r="K157" s="22"/>
      <c r="L157" s="22"/>
      <c r="M157" s="22"/>
      <c r="N157" s="19" t="s">
        <v>201</v>
      </c>
      <c r="O157" s="23">
        <f>O76*O36*O43</f>
        <v>2.0000000000000004E-2</v>
      </c>
      <c r="P157" s="23"/>
      <c r="Q157" s="22" t="s">
        <v>206</v>
      </c>
      <c r="R157" s="22"/>
      <c r="S157" s="22"/>
    </row>
    <row r="158" spans="1:19" ht="11.25" customHeight="1" x14ac:dyDescent="0.25">
      <c r="A158" s="25"/>
      <c r="B158" s="25"/>
      <c r="C158" s="25"/>
      <c r="D158" s="25"/>
      <c r="E158" s="25"/>
      <c r="F158" s="25"/>
      <c r="G158" s="22" t="s">
        <v>72</v>
      </c>
      <c r="H158" s="22"/>
      <c r="I158" s="22" t="s">
        <v>445</v>
      </c>
      <c r="J158" s="22"/>
      <c r="K158" s="22"/>
      <c r="L158" s="22"/>
      <c r="M158" s="22"/>
      <c r="N158" s="19" t="s">
        <v>444</v>
      </c>
      <c r="O158" s="23">
        <f>O78*O52*O59</f>
        <v>4.0000000000000001E-3</v>
      </c>
      <c r="P158" s="23"/>
      <c r="Q158" s="22" t="s">
        <v>206</v>
      </c>
      <c r="R158" s="22"/>
      <c r="S158" s="22"/>
    </row>
    <row r="159" spans="1:19" s="2" customFormat="1" ht="11.25" customHeight="1" x14ac:dyDescent="0.25">
      <c r="A159" s="25" t="s">
        <v>438</v>
      </c>
      <c r="B159" s="25"/>
      <c r="C159" s="25"/>
      <c r="D159" s="25"/>
      <c r="E159" s="25"/>
      <c r="F159" s="25"/>
      <c r="G159" s="22" t="s">
        <v>71</v>
      </c>
      <c r="H159" s="22"/>
      <c r="I159" s="22" t="s">
        <v>233</v>
      </c>
      <c r="J159" s="22"/>
      <c r="K159" s="22"/>
      <c r="L159" s="22"/>
      <c r="M159" s="22"/>
      <c r="N159" s="19" t="s">
        <v>218</v>
      </c>
      <c r="O159" s="23">
        <f>O28*O50*O42</f>
        <v>1</v>
      </c>
      <c r="P159" s="23"/>
      <c r="Q159" s="22" t="s">
        <v>245</v>
      </c>
      <c r="R159" s="22"/>
      <c r="S159" s="22"/>
    </row>
    <row r="160" spans="1:19" s="2" customFormat="1" ht="11.25" customHeight="1" x14ac:dyDescent="0.25">
      <c r="A160" s="25"/>
      <c r="B160" s="25"/>
      <c r="C160" s="25"/>
      <c r="D160" s="25"/>
      <c r="E160" s="25"/>
      <c r="F160" s="25"/>
      <c r="G160" s="22" t="s">
        <v>72</v>
      </c>
      <c r="H160" s="22"/>
      <c r="I160" s="22" t="s">
        <v>234</v>
      </c>
      <c r="J160" s="22"/>
      <c r="K160" s="22"/>
      <c r="L160" s="22"/>
      <c r="M160" s="22"/>
      <c r="N160" s="19" t="s">
        <v>219</v>
      </c>
      <c r="O160" s="23">
        <f>O28*O66*O58</f>
        <v>1</v>
      </c>
      <c r="P160" s="23"/>
      <c r="Q160" s="22" t="s">
        <v>245</v>
      </c>
      <c r="R160" s="22"/>
      <c r="S160" s="22"/>
    </row>
    <row r="161" spans="1:19" s="2" customFormat="1" ht="11.25" customHeight="1" x14ac:dyDescent="0.25">
      <c r="A161" s="22" t="s">
        <v>71</v>
      </c>
      <c r="B161" s="22"/>
      <c r="C161" s="22"/>
      <c r="D161" s="22"/>
      <c r="E161" s="22"/>
      <c r="F161" s="22"/>
      <c r="G161" s="22" t="s">
        <v>227</v>
      </c>
      <c r="H161" s="22"/>
      <c r="I161" s="22"/>
      <c r="J161" s="22"/>
      <c r="K161" s="22"/>
      <c r="L161" s="22"/>
      <c r="M161" s="22"/>
      <c r="N161" s="19" t="s">
        <v>208</v>
      </c>
      <c r="O161" s="23">
        <f>(O31*O32*O75*O49)</f>
        <v>0.16666666666666666</v>
      </c>
      <c r="P161" s="23"/>
      <c r="Q161" s="22" t="s">
        <v>238</v>
      </c>
      <c r="R161" s="22"/>
      <c r="S161" s="22"/>
    </row>
    <row r="162" spans="1:19" s="2" customFormat="1" ht="11.25" customHeight="1" x14ac:dyDescent="0.25">
      <c r="A162" s="22" t="s">
        <v>72</v>
      </c>
      <c r="B162" s="22"/>
      <c r="C162" s="22"/>
      <c r="D162" s="22"/>
      <c r="E162" s="22"/>
      <c r="F162" s="22"/>
      <c r="G162" s="22" t="s">
        <v>405</v>
      </c>
      <c r="H162" s="22"/>
      <c r="I162" s="22"/>
      <c r="J162" s="22"/>
      <c r="K162" s="22"/>
      <c r="L162" s="22"/>
      <c r="M162" s="22"/>
      <c r="N162" s="19" t="s">
        <v>209</v>
      </c>
      <c r="O162" s="23">
        <f>(O31*O32*O77*O65)</f>
        <v>0.16666666666666666</v>
      </c>
      <c r="P162" s="23"/>
      <c r="Q162" s="22" t="s">
        <v>238</v>
      </c>
      <c r="R162" s="22"/>
      <c r="S162" s="22"/>
    </row>
    <row r="163" spans="1:19" s="2" customFormat="1" ht="11.25" customHeight="1" x14ac:dyDescent="0.25">
      <c r="A163" s="22" t="s">
        <v>228</v>
      </c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19" t="s">
        <v>210</v>
      </c>
      <c r="O163" s="23">
        <f>1-(1-O151)*(1-O152)</f>
        <v>0.30555555555555547</v>
      </c>
      <c r="P163" s="23"/>
      <c r="Q163" s="22" t="s">
        <v>239</v>
      </c>
      <c r="R163" s="22"/>
      <c r="S163" s="22"/>
    </row>
    <row r="164" spans="1:19" s="2" customFormat="1" ht="11.25" customHeight="1" x14ac:dyDescent="0.2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</row>
    <row r="165" spans="1:19" s="2" customFormat="1" ht="11.25" customHeight="1" x14ac:dyDescent="0.25">
      <c r="A165" s="24" t="s">
        <v>512</v>
      </c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</row>
    <row r="166" spans="1:19" s="2" customFormat="1" ht="11.25" customHeight="1" x14ac:dyDescent="0.25">
      <c r="A166" s="22" t="s">
        <v>358</v>
      </c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19" t="s">
        <v>8</v>
      </c>
      <c r="O166" s="22" t="s">
        <v>7</v>
      </c>
      <c r="P166" s="22"/>
      <c r="Q166" s="22" t="s">
        <v>6</v>
      </c>
      <c r="R166" s="22"/>
      <c r="S166" s="22"/>
    </row>
    <row r="167" spans="1:19" ht="11.25" customHeight="1" x14ac:dyDescent="0.25">
      <c r="A167" s="22" t="s">
        <v>400</v>
      </c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19" t="s">
        <v>211</v>
      </c>
      <c r="O167" s="23">
        <f>O136*O147*O91</f>
        <v>2.2797415989885297E-6</v>
      </c>
      <c r="P167" s="23"/>
      <c r="Q167" s="22" t="s">
        <v>240</v>
      </c>
      <c r="R167" s="22"/>
      <c r="S167" s="22"/>
    </row>
    <row r="168" spans="1:19" ht="11.25" customHeight="1" x14ac:dyDescent="0.25">
      <c r="A168" s="22" t="s">
        <v>401</v>
      </c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19" t="s">
        <v>212</v>
      </c>
      <c r="O168" s="23">
        <f>O136*O27*O92</f>
        <v>4.5594831979770593E-6</v>
      </c>
      <c r="P168" s="23"/>
      <c r="Q168" s="22" t="s">
        <v>241</v>
      </c>
      <c r="R168" s="22"/>
      <c r="S168" s="22"/>
    </row>
    <row r="169" spans="1:19" ht="11.25" customHeight="1" x14ac:dyDescent="0.25">
      <c r="A169" s="22" t="s">
        <v>461</v>
      </c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19" t="s">
        <v>213</v>
      </c>
      <c r="O169" s="23">
        <f>IF(R204="Sim",O136*O150*O93,0)</f>
        <v>0</v>
      </c>
      <c r="P169" s="23"/>
      <c r="Q169" s="22" t="s">
        <v>242</v>
      </c>
      <c r="R169" s="22"/>
      <c r="S169" s="22"/>
    </row>
    <row r="170" spans="1:19" ht="11.25" customHeight="1" x14ac:dyDescent="0.25">
      <c r="A170" s="22" t="s">
        <v>229</v>
      </c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19" t="s">
        <v>214</v>
      </c>
      <c r="O170" s="23">
        <f>IF(R204="Sim",O137*O163*O93,0)</f>
        <v>0</v>
      </c>
      <c r="P170" s="23"/>
      <c r="Q170" s="22" t="s">
        <v>243</v>
      </c>
      <c r="R170" s="22"/>
      <c r="S170" s="22"/>
    </row>
    <row r="171" spans="1:19" ht="11.25" customHeight="1" x14ac:dyDescent="0.25">
      <c r="A171" s="22" t="s">
        <v>71</v>
      </c>
      <c r="B171" s="22"/>
      <c r="C171" s="22"/>
      <c r="D171" s="22"/>
      <c r="E171" s="22"/>
      <c r="F171" s="22"/>
      <c r="G171" s="22" t="s">
        <v>493</v>
      </c>
      <c r="H171" s="22"/>
      <c r="I171" s="22"/>
      <c r="J171" s="22"/>
      <c r="K171" s="22"/>
      <c r="L171" s="22"/>
      <c r="M171" s="22"/>
      <c r="N171" s="19" t="s">
        <v>216</v>
      </c>
      <c r="O171" s="23">
        <f>(O138+O140)*O153*O91</f>
        <v>0</v>
      </c>
      <c r="P171" s="23"/>
      <c r="Q171" s="22" t="s">
        <v>244</v>
      </c>
      <c r="R171" s="22"/>
      <c r="S171" s="22"/>
    </row>
    <row r="172" spans="1:19" ht="11.25" customHeight="1" x14ac:dyDescent="0.25">
      <c r="A172" s="22" t="s">
        <v>72</v>
      </c>
      <c r="B172" s="22"/>
      <c r="C172" s="22"/>
      <c r="D172" s="22"/>
      <c r="E172" s="22"/>
      <c r="F172" s="22"/>
      <c r="G172" s="22" t="s">
        <v>494</v>
      </c>
      <c r="H172" s="22"/>
      <c r="I172" s="22"/>
      <c r="J172" s="22"/>
      <c r="K172" s="22"/>
      <c r="L172" s="22"/>
      <c r="M172" s="22"/>
      <c r="N172" s="19" t="s">
        <v>217</v>
      </c>
      <c r="O172" s="23">
        <f>(O141+O143)*O154*O91</f>
        <v>0</v>
      </c>
      <c r="P172" s="23"/>
      <c r="Q172" s="22" t="s">
        <v>244</v>
      </c>
      <c r="R172" s="22"/>
      <c r="S172" s="22"/>
    </row>
    <row r="173" spans="1:19" ht="11.25" customHeight="1" x14ac:dyDescent="0.25">
      <c r="A173" s="22" t="s">
        <v>492</v>
      </c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19" t="s">
        <v>215</v>
      </c>
      <c r="O173" s="23">
        <f>O171+O172</f>
        <v>0</v>
      </c>
      <c r="P173" s="23"/>
      <c r="Q173" s="22" t="s">
        <v>244</v>
      </c>
      <c r="R173" s="22"/>
      <c r="S173" s="22"/>
    </row>
    <row r="174" spans="1:19" ht="11.25" customHeight="1" x14ac:dyDescent="0.25">
      <c r="A174" s="22" t="s">
        <v>71</v>
      </c>
      <c r="B174" s="22"/>
      <c r="C174" s="22"/>
      <c r="D174" s="22"/>
      <c r="E174" s="22"/>
      <c r="F174" s="22"/>
      <c r="G174" s="22" t="s">
        <v>495</v>
      </c>
      <c r="H174" s="22"/>
      <c r="I174" s="22"/>
      <c r="J174" s="22"/>
      <c r="K174" s="22"/>
      <c r="L174" s="22"/>
      <c r="M174" s="22"/>
      <c r="N174" s="19" t="s">
        <v>235</v>
      </c>
      <c r="O174" s="23">
        <f>(O138+O140)*O159*O92</f>
        <v>4.6080000000000006E-6</v>
      </c>
      <c r="P174" s="23"/>
      <c r="Q174" s="22" t="s">
        <v>246</v>
      </c>
      <c r="R174" s="22"/>
      <c r="S174" s="22"/>
    </row>
    <row r="175" spans="1:19" ht="11.25" customHeight="1" x14ac:dyDescent="0.25">
      <c r="A175" s="22" t="s">
        <v>72</v>
      </c>
      <c r="B175" s="22"/>
      <c r="C175" s="22"/>
      <c r="D175" s="22"/>
      <c r="E175" s="22"/>
      <c r="F175" s="22"/>
      <c r="G175" s="22" t="s">
        <v>499</v>
      </c>
      <c r="H175" s="22"/>
      <c r="I175" s="22"/>
      <c r="J175" s="22"/>
      <c r="K175" s="22"/>
      <c r="L175" s="22"/>
      <c r="M175" s="22"/>
      <c r="N175" s="19" t="s">
        <v>500</v>
      </c>
      <c r="O175" s="23">
        <f>(O141+O143)*O160*O92</f>
        <v>4.6080000000000006E-6</v>
      </c>
      <c r="P175" s="23"/>
      <c r="Q175" s="22" t="s">
        <v>246</v>
      </c>
      <c r="R175" s="22"/>
      <c r="S175" s="22"/>
    </row>
    <row r="176" spans="1:19" ht="11.25" customHeight="1" x14ac:dyDescent="0.25">
      <c r="A176" s="22" t="s">
        <v>464</v>
      </c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19" t="s">
        <v>220</v>
      </c>
      <c r="O176" s="23">
        <f>O174+O175</f>
        <v>9.2160000000000012E-6</v>
      </c>
      <c r="P176" s="23"/>
      <c r="Q176" s="22" t="s">
        <v>246</v>
      </c>
      <c r="R176" s="22"/>
      <c r="S176" s="22"/>
    </row>
    <row r="177" spans="1:19" ht="11.25" customHeight="1" x14ac:dyDescent="0.25">
      <c r="A177" s="22" t="s">
        <v>71</v>
      </c>
      <c r="B177" s="22"/>
      <c r="C177" s="22"/>
      <c r="D177" s="22"/>
      <c r="E177" s="22"/>
      <c r="F177" s="22"/>
      <c r="G177" s="22" t="s">
        <v>496</v>
      </c>
      <c r="H177" s="22"/>
      <c r="I177" s="22"/>
      <c r="J177" s="22"/>
      <c r="K177" s="22"/>
      <c r="L177" s="22"/>
      <c r="M177" s="22"/>
      <c r="N177" s="19" t="s">
        <v>221</v>
      </c>
      <c r="O177" s="23">
        <f>(O138+O140)*O155*O93</f>
        <v>2.3039999999999998E-2</v>
      </c>
      <c r="P177" s="23"/>
      <c r="Q177" s="22" t="s">
        <v>247</v>
      </c>
      <c r="R177" s="22"/>
      <c r="S177" s="22"/>
    </row>
    <row r="178" spans="1:19" ht="11.25" customHeight="1" x14ac:dyDescent="0.25">
      <c r="A178" s="22" t="s">
        <v>72</v>
      </c>
      <c r="B178" s="22"/>
      <c r="C178" s="22"/>
      <c r="D178" s="22"/>
      <c r="E178" s="22"/>
      <c r="F178" s="22"/>
      <c r="G178" s="22" t="s">
        <v>498</v>
      </c>
      <c r="H178" s="22"/>
      <c r="I178" s="22"/>
      <c r="J178" s="22"/>
      <c r="K178" s="22"/>
      <c r="L178" s="22"/>
      <c r="M178" s="22"/>
      <c r="N178" s="19" t="s">
        <v>222</v>
      </c>
      <c r="O178" s="23">
        <f>(O138+O140)*O156*O93</f>
        <v>2.3039999999999998E-2</v>
      </c>
      <c r="P178" s="23"/>
      <c r="Q178" s="22" t="s">
        <v>247</v>
      </c>
      <c r="R178" s="22"/>
      <c r="S178" s="22"/>
    </row>
    <row r="179" spans="1:19" ht="11.25" customHeight="1" x14ac:dyDescent="0.25">
      <c r="A179" s="22" t="s">
        <v>473</v>
      </c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19" t="s">
        <v>223</v>
      </c>
      <c r="O179" s="23">
        <f>IF(R204="Sim",O177+O178,0)</f>
        <v>0</v>
      </c>
      <c r="P179" s="23"/>
      <c r="Q179" s="22" t="s">
        <v>247</v>
      </c>
      <c r="R179" s="22"/>
      <c r="S179" s="22"/>
    </row>
    <row r="180" spans="1:19" ht="11.25" customHeight="1" x14ac:dyDescent="0.25">
      <c r="A180" s="22" t="s">
        <v>71</v>
      </c>
      <c r="B180" s="22"/>
      <c r="C180" s="22"/>
      <c r="D180" s="22"/>
      <c r="E180" s="22"/>
      <c r="F180" s="22"/>
      <c r="G180" s="22" t="s">
        <v>497</v>
      </c>
      <c r="H180" s="22"/>
      <c r="I180" s="22"/>
      <c r="J180" s="22"/>
      <c r="K180" s="22"/>
      <c r="L180" s="22"/>
      <c r="M180" s="22"/>
      <c r="N180" s="19" t="s">
        <v>224</v>
      </c>
      <c r="O180" s="23">
        <f>O139*O157*O93</f>
        <v>4.6080000000000003E-2</v>
      </c>
      <c r="P180" s="23"/>
      <c r="Q180" s="22" t="s">
        <v>248</v>
      </c>
      <c r="R180" s="22"/>
      <c r="S180" s="22"/>
    </row>
    <row r="181" spans="1:19" ht="11.25" customHeight="1" x14ac:dyDescent="0.25">
      <c r="A181" s="22" t="s">
        <v>72</v>
      </c>
      <c r="B181" s="22"/>
      <c r="C181" s="22"/>
      <c r="D181" s="22"/>
      <c r="E181" s="22"/>
      <c r="F181" s="22"/>
      <c r="G181" s="22" t="s">
        <v>501</v>
      </c>
      <c r="H181" s="22"/>
      <c r="I181" s="22"/>
      <c r="J181" s="22"/>
      <c r="K181" s="22"/>
      <c r="L181" s="22"/>
      <c r="M181" s="22"/>
      <c r="N181" s="19" t="s">
        <v>225</v>
      </c>
      <c r="O181" s="23">
        <f>O142*O158*O93</f>
        <v>9.2159999999999985E-3</v>
      </c>
      <c r="P181" s="23"/>
      <c r="Q181" s="22" t="s">
        <v>248</v>
      </c>
      <c r="R181" s="22"/>
      <c r="S181" s="22"/>
    </row>
    <row r="182" spans="1:19" ht="11.25" customHeight="1" x14ac:dyDescent="0.25">
      <c r="A182" s="22" t="s">
        <v>474</v>
      </c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19" t="s">
        <v>226</v>
      </c>
      <c r="O182" s="23">
        <f>IF(R204="Sim",O180+O181,0)</f>
        <v>0</v>
      </c>
      <c r="P182" s="23"/>
      <c r="Q182" s="22" t="s">
        <v>248</v>
      </c>
      <c r="R182" s="22"/>
      <c r="S182" s="22"/>
    </row>
    <row r="183" spans="1:19" s="2" customFormat="1" ht="11.25" customHeight="1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 ht="11.25" customHeight="1" x14ac:dyDescent="0.25">
      <c r="A184" s="24" t="s">
        <v>513</v>
      </c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</row>
    <row r="185" spans="1:19" s="2" customFormat="1" ht="11.25" customHeight="1" x14ac:dyDescent="0.25">
      <c r="A185" s="22" t="s">
        <v>358</v>
      </c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19" t="s">
        <v>8</v>
      </c>
      <c r="O185" s="22" t="s">
        <v>7</v>
      </c>
      <c r="P185" s="22"/>
      <c r="Q185" s="22" t="s">
        <v>6</v>
      </c>
      <c r="R185" s="22"/>
      <c r="S185" s="22"/>
    </row>
    <row r="186" spans="1:19" s="2" customFormat="1" ht="11.25" customHeight="1" x14ac:dyDescent="0.25">
      <c r="A186" s="22" t="s">
        <v>400</v>
      </c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19" t="s">
        <v>211</v>
      </c>
      <c r="O186" s="23">
        <f>O136*O147*O119</f>
        <v>0</v>
      </c>
      <c r="P186" s="23"/>
      <c r="Q186" s="22" t="s">
        <v>240</v>
      </c>
      <c r="R186" s="22"/>
      <c r="S186" s="22"/>
    </row>
    <row r="187" spans="1:19" s="2" customFormat="1" ht="11.25" customHeight="1" x14ac:dyDescent="0.25">
      <c r="A187" s="22" t="s">
        <v>401</v>
      </c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19" t="s">
        <v>212</v>
      </c>
      <c r="O187" s="23">
        <f>O136*O27*O120</f>
        <v>0</v>
      </c>
      <c r="P187" s="23"/>
      <c r="Q187" s="22" t="s">
        <v>241</v>
      </c>
      <c r="R187" s="22"/>
      <c r="S187" s="22"/>
    </row>
    <row r="188" spans="1:19" s="2" customFormat="1" ht="11.25" customHeight="1" x14ac:dyDescent="0.25">
      <c r="A188" s="22" t="s">
        <v>461</v>
      </c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19" t="s">
        <v>213</v>
      </c>
      <c r="O188" s="23">
        <f>O136*O150*O121</f>
        <v>0</v>
      </c>
      <c r="P188" s="23"/>
      <c r="Q188" s="22" t="s">
        <v>242</v>
      </c>
      <c r="R188" s="22"/>
      <c r="S188" s="22"/>
    </row>
    <row r="189" spans="1:19" s="2" customFormat="1" ht="11.25" customHeight="1" x14ac:dyDescent="0.25">
      <c r="A189" s="22" t="s">
        <v>506</v>
      </c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19" t="s">
        <v>214</v>
      </c>
      <c r="O189" s="23">
        <f>O137*O163*O121</f>
        <v>0</v>
      </c>
      <c r="P189" s="23"/>
      <c r="Q189" s="22" t="s">
        <v>243</v>
      </c>
      <c r="R189" s="22"/>
      <c r="S189" s="22"/>
    </row>
    <row r="190" spans="1:19" s="2" customFormat="1" ht="11.25" customHeight="1" x14ac:dyDescent="0.25">
      <c r="A190" s="22" t="s">
        <v>71</v>
      </c>
      <c r="B190" s="22"/>
      <c r="C190" s="22"/>
      <c r="D190" s="22"/>
      <c r="E190" s="22"/>
      <c r="F190" s="22"/>
      <c r="G190" s="22" t="s">
        <v>230</v>
      </c>
      <c r="H190" s="22"/>
      <c r="I190" s="22"/>
      <c r="J190" s="22"/>
      <c r="K190" s="22"/>
      <c r="L190" s="22"/>
      <c r="M190" s="22"/>
      <c r="N190" s="19" t="s">
        <v>216</v>
      </c>
      <c r="O190" s="23">
        <f>(O138+O140)*O153*O119</f>
        <v>0</v>
      </c>
      <c r="P190" s="23"/>
      <c r="Q190" s="22" t="s">
        <v>244</v>
      </c>
      <c r="R190" s="22"/>
      <c r="S190" s="22"/>
    </row>
    <row r="191" spans="1:19" s="2" customFormat="1" ht="11.25" customHeight="1" x14ac:dyDescent="0.25">
      <c r="A191" s="22" t="s">
        <v>72</v>
      </c>
      <c r="B191" s="22"/>
      <c r="C191" s="22"/>
      <c r="D191" s="22"/>
      <c r="E191" s="22"/>
      <c r="F191" s="22"/>
      <c r="G191" s="22" t="s">
        <v>231</v>
      </c>
      <c r="H191" s="22"/>
      <c r="I191" s="22"/>
      <c r="J191" s="22"/>
      <c r="K191" s="22"/>
      <c r="L191" s="22"/>
      <c r="M191" s="22"/>
      <c r="N191" s="19" t="s">
        <v>217</v>
      </c>
      <c r="O191" s="23">
        <f>(O141+O143)*O154*O119</f>
        <v>0</v>
      </c>
      <c r="P191" s="23"/>
      <c r="Q191" s="22" t="s">
        <v>244</v>
      </c>
      <c r="R191" s="22"/>
      <c r="S191" s="22"/>
    </row>
    <row r="192" spans="1:19" s="2" customFormat="1" ht="11.25" customHeight="1" x14ac:dyDescent="0.25">
      <c r="A192" s="22" t="s">
        <v>232</v>
      </c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19" t="s">
        <v>215</v>
      </c>
      <c r="O192" s="23">
        <f>O190+O191</f>
        <v>0</v>
      </c>
      <c r="P192" s="23"/>
      <c r="Q192" s="22" t="s">
        <v>244</v>
      </c>
      <c r="R192" s="22"/>
      <c r="S192" s="22"/>
    </row>
    <row r="193" spans="1:19" s="2" customFormat="1" ht="11.25" customHeight="1" x14ac:dyDescent="0.25">
      <c r="A193" s="22" t="s">
        <v>71</v>
      </c>
      <c r="B193" s="22"/>
      <c r="C193" s="22"/>
      <c r="D193" s="22"/>
      <c r="E193" s="22"/>
      <c r="F193" s="22"/>
      <c r="G193" s="22" t="s">
        <v>462</v>
      </c>
      <c r="H193" s="22"/>
      <c r="I193" s="22"/>
      <c r="J193" s="22"/>
      <c r="K193" s="22"/>
      <c r="L193" s="22"/>
      <c r="M193" s="22"/>
      <c r="N193" s="19" t="s">
        <v>235</v>
      </c>
      <c r="O193" s="23">
        <f>(O138+O140)*O159*O120</f>
        <v>0</v>
      </c>
      <c r="P193" s="23"/>
      <c r="Q193" s="22" t="s">
        <v>246</v>
      </c>
      <c r="R193" s="22"/>
      <c r="S193" s="22"/>
    </row>
    <row r="194" spans="1:19" s="2" customFormat="1" ht="11.25" customHeight="1" x14ac:dyDescent="0.25">
      <c r="A194" s="22" t="s">
        <v>72</v>
      </c>
      <c r="B194" s="22"/>
      <c r="C194" s="22"/>
      <c r="D194" s="22"/>
      <c r="E194" s="22"/>
      <c r="F194" s="22"/>
      <c r="G194" s="22" t="s">
        <v>463</v>
      </c>
      <c r="H194" s="22"/>
      <c r="I194" s="22"/>
      <c r="J194" s="22"/>
      <c r="K194" s="22"/>
      <c r="L194" s="22"/>
      <c r="M194" s="22"/>
      <c r="N194" s="19" t="s">
        <v>460</v>
      </c>
      <c r="O194" s="23">
        <f>(O141+O143)*O160*O120</f>
        <v>0</v>
      </c>
      <c r="P194" s="23"/>
      <c r="Q194" s="22" t="s">
        <v>246</v>
      </c>
      <c r="R194" s="22"/>
      <c r="S194" s="22"/>
    </row>
    <row r="195" spans="1:19" s="2" customFormat="1" ht="11.25" customHeight="1" x14ac:dyDescent="0.25">
      <c r="A195" s="22" t="s">
        <v>464</v>
      </c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19" t="s">
        <v>220</v>
      </c>
      <c r="O195" s="23">
        <f>O193+O194</f>
        <v>0</v>
      </c>
      <c r="P195" s="23"/>
      <c r="Q195" s="22" t="s">
        <v>246</v>
      </c>
      <c r="R195" s="22"/>
      <c r="S195" s="22"/>
    </row>
    <row r="196" spans="1:19" s="2" customFormat="1" ht="11.25" customHeight="1" x14ac:dyDescent="0.25">
      <c r="A196" s="22" t="s">
        <v>71</v>
      </c>
      <c r="B196" s="22"/>
      <c r="C196" s="22"/>
      <c r="D196" s="22"/>
      <c r="E196" s="22"/>
      <c r="F196" s="22"/>
      <c r="G196" s="22" t="s">
        <v>465</v>
      </c>
      <c r="H196" s="22"/>
      <c r="I196" s="22"/>
      <c r="J196" s="22"/>
      <c r="K196" s="22"/>
      <c r="L196" s="22"/>
      <c r="M196" s="22"/>
      <c r="N196" s="19" t="s">
        <v>221</v>
      </c>
      <c r="O196" s="23">
        <f>(O138+O140)*O155*O121</f>
        <v>0</v>
      </c>
      <c r="P196" s="23"/>
      <c r="Q196" s="22" t="s">
        <v>247</v>
      </c>
      <c r="R196" s="22"/>
      <c r="S196" s="22"/>
    </row>
    <row r="197" spans="1:19" s="2" customFormat="1" ht="11.25" customHeight="1" x14ac:dyDescent="0.25">
      <c r="A197" s="22" t="s">
        <v>72</v>
      </c>
      <c r="B197" s="22"/>
      <c r="C197" s="22"/>
      <c r="D197" s="22"/>
      <c r="E197" s="22"/>
      <c r="F197" s="22"/>
      <c r="G197" s="22" t="s">
        <v>466</v>
      </c>
      <c r="H197" s="22"/>
      <c r="I197" s="22"/>
      <c r="J197" s="22"/>
      <c r="K197" s="22"/>
      <c r="L197" s="22"/>
      <c r="M197" s="22"/>
      <c r="N197" s="19" t="s">
        <v>222</v>
      </c>
      <c r="O197" s="23">
        <f>(O138+O140)*O156*O121</f>
        <v>0</v>
      </c>
      <c r="P197" s="23"/>
      <c r="Q197" s="22" t="s">
        <v>247</v>
      </c>
      <c r="R197" s="22"/>
      <c r="S197" s="22"/>
    </row>
    <row r="198" spans="1:19" s="2" customFormat="1" ht="11.25" customHeight="1" x14ac:dyDescent="0.25">
      <c r="A198" s="22" t="s">
        <v>236</v>
      </c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19" t="s">
        <v>223</v>
      </c>
      <c r="O198" s="23">
        <f>O196+O197</f>
        <v>0</v>
      </c>
      <c r="P198" s="23"/>
      <c r="Q198" s="22" t="s">
        <v>247</v>
      </c>
      <c r="R198" s="22"/>
      <c r="S198" s="22"/>
    </row>
    <row r="199" spans="1:19" s="2" customFormat="1" ht="11.25" customHeight="1" x14ac:dyDescent="0.25">
      <c r="A199" s="22" t="s">
        <v>71</v>
      </c>
      <c r="B199" s="22"/>
      <c r="C199" s="22"/>
      <c r="D199" s="22"/>
      <c r="E199" s="22"/>
      <c r="F199" s="22"/>
      <c r="G199" s="22" t="s">
        <v>504</v>
      </c>
      <c r="H199" s="22"/>
      <c r="I199" s="22"/>
      <c r="J199" s="22"/>
      <c r="K199" s="22"/>
      <c r="L199" s="22"/>
      <c r="M199" s="22"/>
      <c r="N199" s="19" t="s">
        <v>224</v>
      </c>
      <c r="O199" s="23">
        <f>O139*O157*O121</f>
        <v>0</v>
      </c>
      <c r="P199" s="23"/>
      <c r="Q199" s="22" t="s">
        <v>248</v>
      </c>
      <c r="R199" s="22"/>
      <c r="S199" s="22"/>
    </row>
    <row r="200" spans="1:19" s="2" customFormat="1" ht="11.25" customHeight="1" x14ac:dyDescent="0.25">
      <c r="A200" s="22" t="s">
        <v>72</v>
      </c>
      <c r="B200" s="22"/>
      <c r="C200" s="22"/>
      <c r="D200" s="22"/>
      <c r="E200" s="22"/>
      <c r="F200" s="22"/>
      <c r="G200" s="22" t="s">
        <v>505</v>
      </c>
      <c r="H200" s="22"/>
      <c r="I200" s="22"/>
      <c r="J200" s="22"/>
      <c r="K200" s="22"/>
      <c r="L200" s="22"/>
      <c r="M200" s="22"/>
      <c r="N200" s="19" t="s">
        <v>225</v>
      </c>
      <c r="O200" s="23">
        <f>O142*O158*O121</f>
        <v>0</v>
      </c>
      <c r="P200" s="23"/>
      <c r="Q200" s="22" t="s">
        <v>248</v>
      </c>
      <c r="R200" s="22"/>
      <c r="S200" s="22"/>
    </row>
    <row r="201" spans="1:19" s="2" customFormat="1" ht="11.25" customHeight="1" x14ac:dyDescent="0.25">
      <c r="A201" s="22" t="s">
        <v>237</v>
      </c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19" t="s">
        <v>226</v>
      </c>
      <c r="O201" s="23">
        <f>O199+O200</f>
        <v>0</v>
      </c>
      <c r="P201" s="23"/>
      <c r="Q201" s="22" t="s">
        <v>248</v>
      </c>
      <c r="R201" s="22"/>
      <c r="S201" s="22"/>
    </row>
    <row r="202" spans="1:19" s="2" customFormat="1" ht="11.25" customHeight="1" x14ac:dyDescent="0.2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</row>
    <row r="203" spans="1:19" ht="11.25" customHeight="1" x14ac:dyDescent="0.25">
      <c r="A203" s="24" t="s">
        <v>514</v>
      </c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</row>
    <row r="204" spans="1:19" ht="11.25" customHeight="1" x14ac:dyDescent="0.25">
      <c r="A204" s="22" t="s">
        <v>149</v>
      </c>
      <c r="B204" s="22"/>
      <c r="C204" s="22"/>
      <c r="D204" s="22"/>
      <c r="E204" s="22"/>
      <c r="F204" s="19" t="s">
        <v>8</v>
      </c>
      <c r="G204" s="22" t="s">
        <v>7</v>
      </c>
      <c r="H204" s="22"/>
      <c r="I204" s="22" t="s">
        <v>6</v>
      </c>
      <c r="J204" s="22"/>
      <c r="K204" s="22"/>
      <c r="L204" s="22" t="s">
        <v>470</v>
      </c>
      <c r="M204" s="22"/>
      <c r="N204" s="26" t="s">
        <v>511</v>
      </c>
      <c r="O204" s="26"/>
      <c r="P204" s="26"/>
      <c r="Q204" s="26"/>
      <c r="R204" s="22" t="s">
        <v>459</v>
      </c>
      <c r="S204" s="22"/>
    </row>
    <row r="205" spans="1:19" ht="11.25" customHeight="1" x14ac:dyDescent="0.2">
      <c r="A205" s="22" t="s">
        <v>451</v>
      </c>
      <c r="B205" s="22"/>
      <c r="C205" s="22"/>
      <c r="D205" s="22"/>
      <c r="E205" s="22"/>
      <c r="F205" s="19" t="s">
        <v>447</v>
      </c>
      <c r="G205" s="23">
        <f>O167+O168+O169+O170+O173+O176+O179+O182</f>
        <v>1.6055224796965589E-5</v>
      </c>
      <c r="H205" s="22"/>
      <c r="I205" s="22" t="s">
        <v>455</v>
      </c>
      <c r="J205" s="22"/>
      <c r="K205" s="22"/>
      <c r="L205" s="32">
        <v>1.0000000000000001E-5</v>
      </c>
      <c r="M205" s="32"/>
      <c r="N205" s="22" t="s">
        <v>65</v>
      </c>
      <c r="O205" s="22"/>
      <c r="P205" s="22"/>
      <c r="Q205" s="22"/>
      <c r="R205" s="22" t="s">
        <v>510</v>
      </c>
      <c r="S205" s="22"/>
    </row>
    <row r="206" spans="1:19" ht="11.25" customHeight="1" x14ac:dyDescent="0.2">
      <c r="A206" s="22" t="s">
        <v>453</v>
      </c>
      <c r="B206" s="22"/>
      <c r="C206" s="22"/>
      <c r="D206" s="22"/>
      <c r="E206" s="22"/>
      <c r="F206" s="19" t="s">
        <v>448</v>
      </c>
      <c r="G206" s="23">
        <v>0</v>
      </c>
      <c r="H206" s="23"/>
      <c r="I206" s="22" t="s">
        <v>456</v>
      </c>
      <c r="J206" s="22"/>
      <c r="K206" s="22"/>
      <c r="L206" s="32">
        <v>1E-3</v>
      </c>
      <c r="M206" s="32"/>
      <c r="N206" s="26" t="s">
        <v>467</v>
      </c>
      <c r="O206" s="26"/>
      <c r="P206" s="26"/>
      <c r="Q206" s="26"/>
      <c r="R206" s="22" t="s">
        <v>459</v>
      </c>
      <c r="S206" s="22"/>
    </row>
    <row r="207" spans="1:19" ht="11.25" customHeight="1" x14ac:dyDescent="0.2">
      <c r="A207" s="22" t="s">
        <v>454</v>
      </c>
      <c r="B207" s="22"/>
      <c r="C207" s="22"/>
      <c r="D207" s="22"/>
      <c r="E207" s="22"/>
      <c r="F207" s="19" t="s">
        <v>449</v>
      </c>
      <c r="G207" s="23">
        <v>0</v>
      </c>
      <c r="H207" s="23"/>
      <c r="I207" s="22" t="s">
        <v>457</v>
      </c>
      <c r="J207" s="22"/>
      <c r="K207" s="22"/>
      <c r="L207" s="32">
        <v>1E-4</v>
      </c>
      <c r="M207" s="32"/>
      <c r="N207" s="22" t="s">
        <v>468</v>
      </c>
      <c r="O207" s="22"/>
      <c r="P207" s="22"/>
      <c r="Q207" s="22"/>
      <c r="R207" s="22" t="s">
        <v>459</v>
      </c>
      <c r="S207" s="22"/>
    </row>
    <row r="208" spans="1:19" ht="11.25" customHeight="1" x14ac:dyDescent="0.2">
      <c r="A208" s="22" t="s">
        <v>452</v>
      </c>
      <c r="B208" s="22"/>
      <c r="C208" s="22"/>
      <c r="D208" s="22"/>
      <c r="E208" s="22"/>
      <c r="F208" s="19" t="s">
        <v>450</v>
      </c>
      <c r="G208" s="23">
        <f>IF(R208="Sim",SUMIF(R207,"Sim",O186)+O187+O188+O189+SUMIF(R204,"Sim",O192)+O195+O198+O201,0)</f>
        <v>0</v>
      </c>
      <c r="H208" s="23"/>
      <c r="I208" s="22" t="s">
        <v>458</v>
      </c>
      <c r="J208" s="22"/>
      <c r="K208" s="22"/>
      <c r="L208" s="32">
        <v>1E-3</v>
      </c>
      <c r="M208" s="32"/>
      <c r="N208" s="22" t="s">
        <v>469</v>
      </c>
      <c r="O208" s="22"/>
      <c r="P208" s="22"/>
      <c r="Q208" s="22"/>
      <c r="R208" s="22" t="s">
        <v>459</v>
      </c>
      <c r="S208" s="22"/>
    </row>
    <row r="209" spans="1:19" ht="11.25" customHeight="1" x14ac:dyDescent="0.2">
      <c r="A209" s="22" t="s">
        <v>471</v>
      </c>
      <c r="B209" s="22"/>
      <c r="C209" s="22"/>
      <c r="D209" s="22"/>
      <c r="E209" s="22"/>
      <c r="F209" s="19" t="s">
        <v>62</v>
      </c>
      <c r="G209" s="23">
        <f>O167+O168+O173+O176</f>
        <v>1.6055224796965589E-5</v>
      </c>
      <c r="H209" s="22"/>
      <c r="I209" s="22" t="s">
        <v>62</v>
      </c>
      <c r="J209" s="22"/>
      <c r="K209" s="22"/>
      <c r="L209" s="32">
        <v>1.0000000000000001E-5</v>
      </c>
      <c r="M209" s="32"/>
      <c r="N209" s="18"/>
      <c r="O209" s="18"/>
      <c r="P209" s="18"/>
      <c r="Q209" s="18"/>
      <c r="R209" s="18"/>
      <c r="S209" s="18"/>
    </row>
  </sheetData>
  <mergeCells count="597">
    <mergeCell ref="A209:E209"/>
    <mergeCell ref="G209:H209"/>
    <mergeCell ref="L209:M209"/>
    <mergeCell ref="I209:K209"/>
    <mergeCell ref="O113:P113"/>
    <mergeCell ref="E110:M110"/>
    <mergeCell ref="N204:Q204"/>
    <mergeCell ref="N205:Q205"/>
    <mergeCell ref="N206:Q206"/>
    <mergeCell ref="N207:Q207"/>
    <mergeCell ref="N208:Q208"/>
    <mergeCell ref="A204:E204"/>
    <mergeCell ref="A205:E205"/>
    <mergeCell ref="A206:E206"/>
    <mergeCell ref="A207:E207"/>
    <mergeCell ref="A208:E208"/>
    <mergeCell ref="L204:M204"/>
    <mergeCell ref="L205:M205"/>
    <mergeCell ref="L206:M206"/>
    <mergeCell ref="L207:M207"/>
    <mergeCell ref="L208:M208"/>
    <mergeCell ref="O176:P176"/>
    <mergeCell ref="O175:P175"/>
    <mergeCell ref="O174:P174"/>
    <mergeCell ref="Q86:S90"/>
    <mergeCell ref="O93:P93"/>
    <mergeCell ref="O62:P62"/>
    <mergeCell ref="O63:P63"/>
    <mergeCell ref="O79:P79"/>
    <mergeCell ref="Q75:S75"/>
    <mergeCell ref="Q76:S76"/>
    <mergeCell ref="Q77:S77"/>
    <mergeCell ref="Q78:S78"/>
    <mergeCell ref="Q79:S79"/>
    <mergeCell ref="O85:P85"/>
    <mergeCell ref="O86:P86"/>
    <mergeCell ref="Q82:S82"/>
    <mergeCell ref="O82:P82"/>
    <mergeCell ref="O83:P83"/>
    <mergeCell ref="F96:M96"/>
    <mergeCell ref="F97:M97"/>
    <mergeCell ref="F98:M98"/>
    <mergeCell ref="D103:M103"/>
    <mergeCell ref="D104:M104"/>
    <mergeCell ref="A109:S109"/>
    <mergeCell ref="G172:M172"/>
    <mergeCell ref="A173:M173"/>
    <mergeCell ref="A171:F171"/>
    <mergeCell ref="A172:F172"/>
    <mergeCell ref="O172:P172"/>
    <mergeCell ref="O171:P171"/>
    <mergeCell ref="O169:P169"/>
    <mergeCell ref="O170:P170"/>
    <mergeCell ref="O168:P168"/>
    <mergeCell ref="Q173:S173"/>
    <mergeCell ref="Q169:S169"/>
    <mergeCell ref="Q170:S170"/>
    <mergeCell ref="Q171:S171"/>
    <mergeCell ref="Q172:S172"/>
    <mergeCell ref="G171:M171"/>
    <mergeCell ref="O114:P114"/>
    <mergeCell ref="Q111:S111"/>
    <mergeCell ref="A119:C121"/>
    <mergeCell ref="A182:M182"/>
    <mergeCell ref="E48:M50"/>
    <mergeCell ref="D120:M120"/>
    <mergeCell ref="D121:M121"/>
    <mergeCell ref="Q178:S178"/>
    <mergeCell ref="Q179:S179"/>
    <mergeCell ref="Q180:S180"/>
    <mergeCell ref="Q181:S181"/>
    <mergeCell ref="Q182:S182"/>
    <mergeCell ref="O182:P182"/>
    <mergeCell ref="O181:P181"/>
    <mergeCell ref="O180:P180"/>
    <mergeCell ref="O179:P179"/>
    <mergeCell ref="O178:P178"/>
    <mergeCell ref="Q163:S163"/>
    <mergeCell ref="Q167:S167"/>
    <mergeCell ref="Q168:S168"/>
    <mergeCell ref="O173:P173"/>
    <mergeCell ref="Q119:S119"/>
    <mergeCell ref="Q120:S120"/>
    <mergeCell ref="A117:M117"/>
    <mergeCell ref="O117:P117"/>
    <mergeCell ref="O110:P110"/>
    <mergeCell ref="Q110:S110"/>
    <mergeCell ref="D119:M119"/>
    <mergeCell ref="O119:P119"/>
    <mergeCell ref="G76:M76"/>
    <mergeCell ref="G77:M77"/>
    <mergeCell ref="G71:M71"/>
    <mergeCell ref="G72:M72"/>
    <mergeCell ref="A57:D57"/>
    <mergeCell ref="E58:M59"/>
    <mergeCell ref="E64:M66"/>
    <mergeCell ref="G69:M69"/>
    <mergeCell ref="G70:M70"/>
    <mergeCell ref="A70:F70"/>
    <mergeCell ref="A71:F71"/>
    <mergeCell ref="A72:F72"/>
    <mergeCell ref="A73:F73"/>
    <mergeCell ref="A74:F74"/>
    <mergeCell ref="C75:F75"/>
    <mergeCell ref="A64:D66"/>
    <mergeCell ref="A68:S68"/>
    <mergeCell ref="O69:P69"/>
    <mergeCell ref="Q69:S69"/>
    <mergeCell ref="A69:F69"/>
    <mergeCell ref="G74:M74"/>
    <mergeCell ref="G75:M75"/>
    <mergeCell ref="Q176:S176"/>
    <mergeCell ref="Q177:S177"/>
    <mergeCell ref="A180:F180"/>
    <mergeCell ref="G174:M174"/>
    <mergeCell ref="G175:M175"/>
    <mergeCell ref="G177:M177"/>
    <mergeCell ref="G178:M178"/>
    <mergeCell ref="G180:M180"/>
    <mergeCell ref="G181:M181"/>
    <mergeCell ref="A176:M176"/>
    <mergeCell ref="A179:M179"/>
    <mergeCell ref="A174:F174"/>
    <mergeCell ref="A175:F175"/>
    <mergeCell ref="A177:F177"/>
    <mergeCell ref="A178:F178"/>
    <mergeCell ref="A181:F181"/>
    <mergeCell ref="O177:P177"/>
    <mergeCell ref="Q174:S174"/>
    <mergeCell ref="Q175:S175"/>
    <mergeCell ref="O163:P163"/>
    <mergeCell ref="O162:P162"/>
    <mergeCell ref="O167:P167"/>
    <mergeCell ref="O161:P161"/>
    <mergeCell ref="A165:S165"/>
    <mergeCell ref="O166:P166"/>
    <mergeCell ref="Q166:S166"/>
    <mergeCell ref="A166:M166"/>
    <mergeCell ref="G161:M161"/>
    <mergeCell ref="G162:M162"/>
    <mergeCell ref="A161:F161"/>
    <mergeCell ref="A162:F162"/>
    <mergeCell ref="A170:M170"/>
    <mergeCell ref="A169:M169"/>
    <mergeCell ref="A168:M168"/>
    <mergeCell ref="A167:M167"/>
    <mergeCell ref="A163:M163"/>
    <mergeCell ref="Q161:S161"/>
    <mergeCell ref="Q162:S162"/>
    <mergeCell ref="O155:P155"/>
    <mergeCell ref="O156:P156"/>
    <mergeCell ref="O157:P157"/>
    <mergeCell ref="O158:P158"/>
    <mergeCell ref="Q155:S155"/>
    <mergeCell ref="Q156:S156"/>
    <mergeCell ref="Q157:S157"/>
    <mergeCell ref="Q158:S158"/>
    <mergeCell ref="I160:M160"/>
    <mergeCell ref="A155:F156"/>
    <mergeCell ref="G155:H155"/>
    <mergeCell ref="G156:H156"/>
    <mergeCell ref="A157:F158"/>
    <mergeCell ref="G157:H157"/>
    <mergeCell ref="G158:H158"/>
    <mergeCell ref="I155:M155"/>
    <mergeCell ref="I156:M156"/>
    <mergeCell ref="I157:M157"/>
    <mergeCell ref="I158:M158"/>
    <mergeCell ref="Q151:S151"/>
    <mergeCell ref="A151:F152"/>
    <mergeCell ref="G151:H151"/>
    <mergeCell ref="G152:H152"/>
    <mergeCell ref="I151:M151"/>
    <mergeCell ref="I152:M152"/>
    <mergeCell ref="A153:F154"/>
    <mergeCell ref="G153:H153"/>
    <mergeCell ref="G154:H154"/>
    <mergeCell ref="O151:P151"/>
    <mergeCell ref="O152:P152"/>
    <mergeCell ref="O153:P153"/>
    <mergeCell ref="O154:P154"/>
    <mergeCell ref="I153:M153"/>
    <mergeCell ref="I154:M154"/>
    <mergeCell ref="Q152:S152"/>
    <mergeCell ref="Q153:S153"/>
    <mergeCell ref="Q154:S154"/>
    <mergeCell ref="A145:S145"/>
    <mergeCell ref="Q146:S146"/>
    <mergeCell ref="O146:P146"/>
    <mergeCell ref="A146:H146"/>
    <mergeCell ref="A147:H147"/>
    <mergeCell ref="I146:M146"/>
    <mergeCell ref="Q147:S147"/>
    <mergeCell ref="Q148:S148"/>
    <mergeCell ref="Q149:S149"/>
    <mergeCell ref="A148:F150"/>
    <mergeCell ref="G148:H148"/>
    <mergeCell ref="G149:H149"/>
    <mergeCell ref="G150:H150"/>
    <mergeCell ref="Q150:S150"/>
    <mergeCell ref="I147:M147"/>
    <mergeCell ref="I148:M148"/>
    <mergeCell ref="I149:M149"/>
    <mergeCell ref="I150:M150"/>
    <mergeCell ref="O147:P147"/>
    <mergeCell ref="O148:P148"/>
    <mergeCell ref="O149:P149"/>
    <mergeCell ref="O150:P150"/>
    <mergeCell ref="Q136:S136"/>
    <mergeCell ref="Q137:S137"/>
    <mergeCell ref="Q138:S138"/>
    <mergeCell ref="Q139:S139"/>
    <mergeCell ref="Q140:S140"/>
    <mergeCell ref="Q141:S141"/>
    <mergeCell ref="Q142:S142"/>
    <mergeCell ref="Q143:S143"/>
    <mergeCell ref="D139:M139"/>
    <mergeCell ref="D140:M140"/>
    <mergeCell ref="D141:M141"/>
    <mergeCell ref="D142:M142"/>
    <mergeCell ref="D143:M143"/>
    <mergeCell ref="A136:C137"/>
    <mergeCell ref="A138:C140"/>
    <mergeCell ref="A141:C143"/>
    <mergeCell ref="D135:M135"/>
    <mergeCell ref="D136:M136"/>
    <mergeCell ref="D137:M137"/>
    <mergeCell ref="D138:M138"/>
    <mergeCell ref="O136:P136"/>
    <mergeCell ref="O137:P137"/>
    <mergeCell ref="O138:P138"/>
    <mergeCell ref="O139:P139"/>
    <mergeCell ref="O140:P140"/>
    <mergeCell ref="O141:P141"/>
    <mergeCell ref="O142:P142"/>
    <mergeCell ref="O143:P143"/>
    <mergeCell ref="Q127:S127"/>
    <mergeCell ref="Q128:S128"/>
    <mergeCell ref="Q129:S129"/>
    <mergeCell ref="Q130:S130"/>
    <mergeCell ref="Q131:S131"/>
    <mergeCell ref="Q132:S132"/>
    <mergeCell ref="D124:M124"/>
    <mergeCell ref="A134:S134"/>
    <mergeCell ref="Q135:S135"/>
    <mergeCell ref="O135:P135"/>
    <mergeCell ref="A135:C135"/>
    <mergeCell ref="O124:P124"/>
    <mergeCell ref="Q124:S124"/>
    <mergeCell ref="A124:C124"/>
    <mergeCell ref="A125:C126"/>
    <mergeCell ref="A127:C129"/>
    <mergeCell ref="A130:C132"/>
    <mergeCell ref="D125:M125"/>
    <mergeCell ref="D126:M126"/>
    <mergeCell ref="D129:M129"/>
    <mergeCell ref="D128:M128"/>
    <mergeCell ref="D127:M127"/>
    <mergeCell ref="D130:M130"/>
    <mergeCell ref="D131:M131"/>
    <mergeCell ref="D132:M132"/>
    <mergeCell ref="O125:P125"/>
    <mergeCell ref="O126:P126"/>
    <mergeCell ref="O127:P127"/>
    <mergeCell ref="O128:P128"/>
    <mergeCell ref="O129:P129"/>
    <mergeCell ref="O130:P130"/>
    <mergeCell ref="O131:P131"/>
    <mergeCell ref="O132:P132"/>
    <mergeCell ref="O31:P31"/>
    <mergeCell ref="Q125:S125"/>
    <mergeCell ref="Q126:S126"/>
    <mergeCell ref="A20:D20"/>
    <mergeCell ref="O22:P22"/>
    <mergeCell ref="A22:D25"/>
    <mergeCell ref="O20:P20"/>
    <mergeCell ref="Q20:S20"/>
    <mergeCell ref="E20:M20"/>
    <mergeCell ref="E21:M21"/>
    <mergeCell ref="O21:P21"/>
    <mergeCell ref="Q21:S21"/>
    <mergeCell ref="Q22:S25"/>
    <mergeCell ref="O26:P26"/>
    <mergeCell ref="Q26:S26"/>
    <mergeCell ref="A26:D26"/>
    <mergeCell ref="A27:D27"/>
    <mergeCell ref="E26:M26"/>
    <mergeCell ref="E27:M27"/>
    <mergeCell ref="O27:P27"/>
    <mergeCell ref="Q27:S27"/>
    <mergeCell ref="O25:P25"/>
    <mergeCell ref="A55:D55"/>
    <mergeCell ref="A36:D36"/>
    <mergeCell ref="A1:S1"/>
    <mergeCell ref="A2:D2"/>
    <mergeCell ref="A3:D3"/>
    <mergeCell ref="E2:S2"/>
    <mergeCell ref="E3:S3"/>
    <mergeCell ref="O23:P23"/>
    <mergeCell ref="O24:P24"/>
    <mergeCell ref="E22:M24"/>
    <mergeCell ref="A19:R19"/>
    <mergeCell ref="A21:D21"/>
    <mergeCell ref="O32:P32"/>
    <mergeCell ref="Q31:S31"/>
    <mergeCell ref="Q32:S32"/>
    <mergeCell ref="E29:M30"/>
    <mergeCell ref="O29:P29"/>
    <mergeCell ref="O30:P30"/>
    <mergeCell ref="Q29:S30"/>
    <mergeCell ref="E35:M35"/>
    <mergeCell ref="A42:D43"/>
    <mergeCell ref="O39:P39"/>
    <mergeCell ref="O40:P40"/>
    <mergeCell ref="O41:P41"/>
    <mergeCell ref="O42:P42"/>
    <mergeCell ref="E36:M36"/>
    <mergeCell ref="O35:P35"/>
    <mergeCell ref="Q35:S35"/>
    <mergeCell ref="O36:P36"/>
    <mergeCell ref="O37:P37"/>
    <mergeCell ref="O38:P38"/>
    <mergeCell ref="E31:M31"/>
    <mergeCell ref="E32:M32"/>
    <mergeCell ref="A29:D32"/>
    <mergeCell ref="A34:S34"/>
    <mergeCell ref="A35:D35"/>
    <mergeCell ref="A44:D46"/>
    <mergeCell ref="A48:D50"/>
    <mergeCell ref="A47:D47"/>
    <mergeCell ref="A52:D52"/>
    <mergeCell ref="A53:D53"/>
    <mergeCell ref="A54:D54"/>
    <mergeCell ref="E37:M37"/>
    <mergeCell ref="E38:M38"/>
    <mergeCell ref="E39:M39"/>
    <mergeCell ref="E40:M40"/>
    <mergeCell ref="E41:M41"/>
    <mergeCell ref="E42:M43"/>
    <mergeCell ref="E44:M46"/>
    <mergeCell ref="A38:D38"/>
    <mergeCell ref="A39:D39"/>
    <mergeCell ref="A40:D40"/>
    <mergeCell ref="A41:D41"/>
    <mergeCell ref="A37:D37"/>
    <mergeCell ref="E47:M47"/>
    <mergeCell ref="E52:M52"/>
    <mergeCell ref="E53:M53"/>
    <mergeCell ref="E54:M54"/>
    <mergeCell ref="Q47:S47"/>
    <mergeCell ref="Q36:S36"/>
    <mergeCell ref="Q37:S37"/>
    <mergeCell ref="Q38:S38"/>
    <mergeCell ref="Q39:S39"/>
    <mergeCell ref="Q40:S40"/>
    <mergeCell ref="Q41:S41"/>
    <mergeCell ref="O43:P43"/>
    <mergeCell ref="O44:P44"/>
    <mergeCell ref="O45:P45"/>
    <mergeCell ref="O46:P46"/>
    <mergeCell ref="O47:P47"/>
    <mergeCell ref="Q42:S43"/>
    <mergeCell ref="Q44:S46"/>
    <mergeCell ref="O58:P58"/>
    <mergeCell ref="O59:P59"/>
    <mergeCell ref="O60:P60"/>
    <mergeCell ref="Q63:S63"/>
    <mergeCell ref="Q64:S64"/>
    <mergeCell ref="Q65:S65"/>
    <mergeCell ref="Q66:S66"/>
    <mergeCell ref="O48:P48"/>
    <mergeCell ref="Q48:S48"/>
    <mergeCell ref="Q49:S49"/>
    <mergeCell ref="Q50:S50"/>
    <mergeCell ref="O49:P49"/>
    <mergeCell ref="O50:P50"/>
    <mergeCell ref="A51:S51"/>
    <mergeCell ref="A58:D59"/>
    <mergeCell ref="A60:D62"/>
    <mergeCell ref="A63:D63"/>
    <mergeCell ref="O61:P61"/>
    <mergeCell ref="A56:D56"/>
    <mergeCell ref="E55:M55"/>
    <mergeCell ref="E56:M56"/>
    <mergeCell ref="E57:M57"/>
    <mergeCell ref="E63:M63"/>
    <mergeCell ref="E60:M62"/>
    <mergeCell ref="Q52:S52"/>
    <mergeCell ref="Q53:S53"/>
    <mergeCell ref="Q54:S54"/>
    <mergeCell ref="Q55:S55"/>
    <mergeCell ref="Q56:S56"/>
    <mergeCell ref="Q57:S57"/>
    <mergeCell ref="O72:P72"/>
    <mergeCell ref="O73:P73"/>
    <mergeCell ref="O74:P74"/>
    <mergeCell ref="O64:P64"/>
    <mergeCell ref="O65:P65"/>
    <mergeCell ref="O66:P66"/>
    <mergeCell ref="O70:P70"/>
    <mergeCell ref="O71:P71"/>
    <mergeCell ref="O52:P52"/>
    <mergeCell ref="O53:P53"/>
    <mergeCell ref="O54:P54"/>
    <mergeCell ref="O55:P55"/>
    <mergeCell ref="Q58:S59"/>
    <mergeCell ref="Q60:S62"/>
    <mergeCell ref="Q70:S70"/>
    <mergeCell ref="Q71:S71"/>
    <mergeCell ref="O56:P56"/>
    <mergeCell ref="O57:P57"/>
    <mergeCell ref="A83:F83"/>
    <mergeCell ref="Q83:S85"/>
    <mergeCell ref="A84:F84"/>
    <mergeCell ref="A85:F85"/>
    <mergeCell ref="Q72:S72"/>
    <mergeCell ref="Q73:S73"/>
    <mergeCell ref="Q74:S74"/>
    <mergeCell ref="C76:F76"/>
    <mergeCell ref="C77:F77"/>
    <mergeCell ref="C78:F78"/>
    <mergeCell ref="A75:B76"/>
    <mergeCell ref="A77:B78"/>
    <mergeCell ref="G73:M73"/>
    <mergeCell ref="O78:P78"/>
    <mergeCell ref="O75:P75"/>
    <mergeCell ref="O76:P76"/>
    <mergeCell ref="O77:P77"/>
    <mergeCell ref="G83:M83"/>
    <mergeCell ref="G84:M84"/>
    <mergeCell ref="G85:M85"/>
    <mergeCell ref="G78:M78"/>
    <mergeCell ref="G79:M79"/>
    <mergeCell ref="A82:M82"/>
    <mergeCell ref="A79:F79"/>
    <mergeCell ref="A95:S95"/>
    <mergeCell ref="Q96:S96"/>
    <mergeCell ref="O96:P96"/>
    <mergeCell ref="E25:M25"/>
    <mergeCell ref="A96:E96"/>
    <mergeCell ref="O89:P89"/>
    <mergeCell ref="O90:P90"/>
    <mergeCell ref="O91:P91"/>
    <mergeCell ref="O92:P92"/>
    <mergeCell ref="A90:M90"/>
    <mergeCell ref="A92:M92"/>
    <mergeCell ref="Q91:S91"/>
    <mergeCell ref="Q92:S92"/>
    <mergeCell ref="Q93:S93"/>
    <mergeCell ref="A89:M89"/>
    <mergeCell ref="A91:M91"/>
    <mergeCell ref="A93:M93"/>
    <mergeCell ref="A86:M86"/>
    <mergeCell ref="A87:M87"/>
    <mergeCell ref="A88:M88"/>
    <mergeCell ref="O84:P84"/>
    <mergeCell ref="O87:P87"/>
    <mergeCell ref="O88:P88"/>
    <mergeCell ref="A81:S81"/>
    <mergeCell ref="O98:P98"/>
    <mergeCell ref="O99:P99"/>
    <mergeCell ref="O100:P100"/>
    <mergeCell ref="A102:S102"/>
    <mergeCell ref="Q103:S103"/>
    <mergeCell ref="O103:P103"/>
    <mergeCell ref="Q97:S98"/>
    <mergeCell ref="Q99:S99"/>
    <mergeCell ref="Q100:S100"/>
    <mergeCell ref="A99:M99"/>
    <mergeCell ref="A100:M100"/>
    <mergeCell ref="A97:E97"/>
    <mergeCell ref="A98:E98"/>
    <mergeCell ref="O97:P97"/>
    <mergeCell ref="O106:P106"/>
    <mergeCell ref="Q107:S107"/>
    <mergeCell ref="O120:P120"/>
    <mergeCell ref="O121:P121"/>
    <mergeCell ref="Q121:S121"/>
    <mergeCell ref="A114:M114"/>
    <mergeCell ref="A115:M115"/>
    <mergeCell ref="O115:P115"/>
    <mergeCell ref="Q112:S112"/>
    <mergeCell ref="A116:M116"/>
    <mergeCell ref="O116:P116"/>
    <mergeCell ref="Q113:S113"/>
    <mergeCell ref="A118:M118"/>
    <mergeCell ref="O118:P118"/>
    <mergeCell ref="Q114:S118"/>
    <mergeCell ref="A111:D111"/>
    <mergeCell ref="A110:D110"/>
    <mergeCell ref="E111:M111"/>
    <mergeCell ref="A113:D113"/>
    <mergeCell ref="A112:D112"/>
    <mergeCell ref="E112:M112"/>
    <mergeCell ref="E113:M113"/>
    <mergeCell ref="O111:P111"/>
    <mergeCell ref="O112:P112"/>
    <mergeCell ref="A28:D28"/>
    <mergeCell ref="E28:M28"/>
    <mergeCell ref="O28:P28"/>
    <mergeCell ref="Q28:S28"/>
    <mergeCell ref="O159:P159"/>
    <mergeCell ref="Q159:S159"/>
    <mergeCell ref="O160:P160"/>
    <mergeCell ref="Q160:S160"/>
    <mergeCell ref="A159:F160"/>
    <mergeCell ref="G159:H159"/>
    <mergeCell ref="G160:H160"/>
    <mergeCell ref="I159:M159"/>
    <mergeCell ref="O107:P107"/>
    <mergeCell ref="Q105:S106"/>
    <mergeCell ref="A105:C107"/>
    <mergeCell ref="D107:M107"/>
    <mergeCell ref="A123:S123"/>
    <mergeCell ref="A104:C104"/>
    <mergeCell ref="A103:C103"/>
    <mergeCell ref="D106:M106"/>
    <mergeCell ref="D105:M105"/>
    <mergeCell ref="Q104:S104"/>
    <mergeCell ref="O104:P104"/>
    <mergeCell ref="O105:P105"/>
    <mergeCell ref="A203:S203"/>
    <mergeCell ref="G204:H204"/>
    <mergeCell ref="I204:K204"/>
    <mergeCell ref="G205:H205"/>
    <mergeCell ref="G206:H206"/>
    <mergeCell ref="G207:H207"/>
    <mergeCell ref="G208:H208"/>
    <mergeCell ref="I205:K205"/>
    <mergeCell ref="I206:K206"/>
    <mergeCell ref="I207:K207"/>
    <mergeCell ref="I208:K208"/>
    <mergeCell ref="R204:S204"/>
    <mergeCell ref="R205:S205"/>
    <mergeCell ref="R206:S206"/>
    <mergeCell ref="R207:S207"/>
    <mergeCell ref="R208:S208"/>
    <mergeCell ref="A184:S184"/>
    <mergeCell ref="A185:M185"/>
    <mergeCell ref="O185:P185"/>
    <mergeCell ref="Q185:S185"/>
    <mergeCell ref="A186:M186"/>
    <mergeCell ref="O186:P186"/>
    <mergeCell ref="Q186:S186"/>
    <mergeCell ref="A187:M187"/>
    <mergeCell ref="O187:P187"/>
    <mergeCell ref="Q187:S187"/>
    <mergeCell ref="A188:M188"/>
    <mergeCell ref="O188:P188"/>
    <mergeCell ref="Q188:S188"/>
    <mergeCell ref="A189:M189"/>
    <mergeCell ref="O189:P189"/>
    <mergeCell ref="Q189:S189"/>
    <mergeCell ref="A190:F190"/>
    <mergeCell ref="G190:M190"/>
    <mergeCell ref="O190:P190"/>
    <mergeCell ref="Q190:S190"/>
    <mergeCell ref="A191:F191"/>
    <mergeCell ref="G191:M191"/>
    <mergeCell ref="O191:P191"/>
    <mergeCell ref="Q191:S191"/>
    <mergeCell ref="A192:M192"/>
    <mergeCell ref="O192:P192"/>
    <mergeCell ref="Q192:S192"/>
    <mergeCell ref="A193:F193"/>
    <mergeCell ref="G193:M193"/>
    <mergeCell ref="O193:P193"/>
    <mergeCell ref="Q193:S193"/>
    <mergeCell ref="A194:F194"/>
    <mergeCell ref="G194:M194"/>
    <mergeCell ref="O194:P194"/>
    <mergeCell ref="Q194:S194"/>
    <mergeCell ref="A195:M195"/>
    <mergeCell ref="O195:P195"/>
    <mergeCell ref="Q195:S195"/>
    <mergeCell ref="A196:F196"/>
    <mergeCell ref="G196:M196"/>
    <mergeCell ref="O196:P196"/>
    <mergeCell ref="Q196:S196"/>
    <mergeCell ref="A200:F200"/>
    <mergeCell ref="G200:M200"/>
    <mergeCell ref="O200:P200"/>
    <mergeCell ref="Q200:S200"/>
    <mergeCell ref="A201:M201"/>
    <mergeCell ref="O201:P201"/>
    <mergeCell ref="Q201:S201"/>
    <mergeCell ref="A197:F197"/>
    <mergeCell ref="G197:M197"/>
    <mergeCell ref="O197:P197"/>
    <mergeCell ref="Q197:S197"/>
    <mergeCell ref="A198:M198"/>
    <mergeCell ref="O198:P198"/>
    <mergeCell ref="Q198:S198"/>
    <mergeCell ref="A199:F199"/>
    <mergeCell ref="G199:M199"/>
    <mergeCell ref="O199:P199"/>
    <mergeCell ref="Q199:S199"/>
  </mergeCells>
  <conditionalFormatting sqref="G205:H205">
    <cfRule type="cellIs" dxfId="8" priority="8" operator="greaterThan">
      <formula>$L$205</formula>
    </cfRule>
  </conditionalFormatting>
  <conditionalFormatting sqref="G206:H206">
    <cfRule type="cellIs" dxfId="7" priority="7" operator="greaterThan">
      <formula>$L$206</formula>
    </cfRule>
  </conditionalFormatting>
  <conditionalFormatting sqref="G207:H207">
    <cfRule type="cellIs" dxfId="6" priority="6" operator="greaterThan">
      <formula>$L$207</formula>
    </cfRule>
  </conditionalFormatting>
  <conditionalFormatting sqref="G208:H208">
    <cfRule type="cellIs" dxfId="5" priority="5" operator="greaterThan">
      <formula>$L$208</formula>
    </cfRule>
  </conditionalFormatting>
  <conditionalFormatting sqref="G209:H209">
    <cfRule type="cellIs" dxfId="4" priority="4" operator="greaterThan">
      <formula>$L$205</formula>
    </cfRule>
  </conditionalFormatting>
  <dataValidations count="4">
    <dataValidation type="list" allowBlank="1" showInputMessage="1" showErrorMessage="1" sqref="E22:M24">
      <formula1>"Estudo com formato prismático simples,Estudo com formato prismático complexo"</formula1>
    </dataValidation>
    <dataValidation type="list" allowBlank="1" showInputMessage="1" showErrorMessage="1" sqref="E36:M36 E52:M52">
      <formula1>"Se aplica,Não se aplica"</formula1>
    </dataValidation>
    <dataValidation type="list" allowBlank="1" showInputMessage="1" showErrorMessage="1" sqref="R204:S208">
      <formula1>"Sim,Não"</formula1>
    </dataValidation>
    <dataValidation type="list" allowBlank="1" showInputMessage="1" showErrorMessage="1" sqref="E29:M30">
      <formula1>"Blindagem externa presente,Não se aplica"</formula1>
    </dataValidation>
  </dataValidations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portrait" horizontalDpi="1200" verticalDpi="1200" r:id="rId1"/>
  <headerFooter>
    <oddHeader>&amp;C&amp;"-,Negrito"ANÁLISE DE RISCO PDA</oddHeader>
    <oddFooter>&amp;LEstudo&amp;R&amp;P/&amp;N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4">
        <x14:dataValidation type="list" allowBlank="1" showInputMessage="1" showErrorMessage="1">
          <x14:formula1>
            <xm:f>Dados!$A$3:$A$6</xm:f>
          </x14:formula1>
          <xm:sqref>E26:M26 E47:M47 E63:M63</xm:sqref>
        </x14:dataValidation>
        <x14:dataValidation type="list" allowBlank="1" showInputMessage="1" showErrorMessage="1">
          <x14:formula1>
            <xm:f>Dados!$D$3:$D$5</xm:f>
          </x14:formula1>
          <xm:sqref>E54:M54 E38:M38</xm:sqref>
        </x14:dataValidation>
        <x14:dataValidation type="list" allowBlank="1" showInputMessage="1" showErrorMessage="1">
          <x14:formula1>
            <xm:f>Dados!$G$3:$G$4</xm:f>
          </x14:formula1>
          <xm:sqref>E39:M39 E55:M55</xm:sqref>
        </x14:dataValidation>
        <x14:dataValidation type="list" allowBlank="1" showInputMessage="1" showErrorMessage="1">
          <x14:formula1>
            <xm:f>Dados!$J$3:$J$6</xm:f>
          </x14:formula1>
          <xm:sqref>E40:M40 E56:M56</xm:sqref>
        </x14:dataValidation>
        <x14:dataValidation type="list" allowBlank="1" showInputMessage="1" showErrorMessage="1">
          <x14:formula1>
            <xm:f>Dados!$AI$4:$AI$7</xm:f>
          </x14:formula1>
          <xm:sqref>E41:M41 E57:M57</xm:sqref>
        </x14:dataValidation>
        <x14:dataValidation type="list" allowBlank="1" showInputMessage="1" showErrorMessage="1">
          <x14:formula1>
            <xm:f>Dados!$V$3:$V$12</xm:f>
          </x14:formula1>
          <xm:sqref>E42:M43 E58</xm:sqref>
        </x14:dataValidation>
        <x14:dataValidation type="list" allowBlank="1" showInputMessage="1" showErrorMessage="1">
          <x14:formula1>
            <xm:f>Dados!$AJ$3:$AN$3</xm:f>
          </x14:formula1>
          <xm:sqref>E48:M50 E64:M66</xm:sqref>
        </x14:dataValidation>
        <x14:dataValidation type="list" allowBlank="1" showInputMessage="1" showErrorMessage="1">
          <x14:formula1>
            <xm:f>Dados!$BC$3:$BC$6</xm:f>
          </x14:formula1>
          <xm:sqref>G70:M70</xm:sqref>
        </x14:dataValidation>
        <x14:dataValidation type="list" allowBlank="1" showInputMessage="1" showErrorMessage="1">
          <x14:formula1>
            <xm:f>Dados!$M$3:$M$7</xm:f>
          </x14:formula1>
          <xm:sqref>G71:M71</xm:sqref>
        </x14:dataValidation>
        <x14:dataValidation type="list" allowBlank="1" showInputMessage="1" showErrorMessage="1">
          <x14:formula1>
            <xm:f>Dados!$AC$3:$AC$6</xm:f>
          </x14:formula1>
          <xm:sqref>G72:M72</xm:sqref>
        </x14:dataValidation>
        <x14:dataValidation type="list" allowBlank="1" showInputMessage="1" showErrorMessage="1">
          <x14:formula1>
            <xm:f>Dados!$BI$3:$BI$9</xm:f>
          </x14:formula1>
          <xm:sqref>G73:M73</xm:sqref>
        </x14:dataValidation>
        <x14:dataValidation type="list" allowBlank="1" showInputMessage="1" showErrorMessage="1">
          <x14:formula1>
            <xm:f>Dados!$BF$3:$BF$5</xm:f>
          </x14:formula1>
          <xm:sqref>G74:M74</xm:sqref>
        </x14:dataValidation>
        <x14:dataValidation type="list" allowBlank="1" showInputMessage="1" showErrorMessage="1">
          <x14:formula1>
            <xm:f>Dados!$Z$3:$Z$6</xm:f>
          </x14:formula1>
          <xm:sqref>G75:M75 G77:M77</xm:sqref>
        </x14:dataValidation>
        <x14:dataValidation type="list" allowBlank="1" showInputMessage="1" showErrorMessage="1">
          <x14:formula1>
            <xm:f>Dados!$S$3:$S$7</xm:f>
          </x14:formula1>
          <xm:sqref>G76:M76 G78:M78</xm:sqref>
        </x14:dataValidation>
        <x14:dataValidation type="list" allowBlank="1" showInputMessage="1" showErrorMessage="1">
          <x14:formula1>
            <xm:f>Dados!$BL$3:$BL$7</xm:f>
          </x14:formula1>
          <xm:sqref>G79:M79</xm:sqref>
        </x14:dataValidation>
        <x14:dataValidation type="list" allowBlank="1" showInputMessage="1" showErrorMessage="1">
          <x14:formula1>
            <xm:f>Dados!$AZ$3:$AZ$7</xm:f>
          </x14:formula1>
          <xm:sqref>G84:M84</xm:sqref>
        </x14:dataValidation>
        <x14:dataValidation type="list" allowBlank="1" showInputMessage="1" showErrorMessage="1">
          <x14:formula1>
            <xm:f>Dados!$AZ$8:$AZ$11</xm:f>
          </x14:formula1>
          <xm:sqref>G85:M85</xm:sqref>
        </x14:dataValidation>
        <x14:dataValidation type="list" allowBlank="1" showInputMessage="1" showErrorMessage="1">
          <x14:formula1>
            <xm:f>Dados!$BO$3:$BO$7</xm:f>
          </x14:formula1>
          <xm:sqref>F97:M98</xm:sqref>
        </x14:dataValidation>
        <x14:dataValidation type="list" allowBlank="1" showInputMessage="1" showErrorMessage="1">
          <x14:formula1>
            <xm:f>Dados!$BR$2:$BR$3</xm:f>
          </x14:formula1>
          <xm:sqref>D104:M104</xm:sqref>
        </x14:dataValidation>
        <x14:dataValidation type="list" allowBlank="1" showInputMessage="1" showErrorMessage="1">
          <x14:formula1>
            <xm:f>Dados!$P$2:$P$8</xm:f>
          </x14:formula1>
          <xm:sqref>E27:M27</xm:sqref>
        </x14:dataValidation>
        <x14:dataValidation type="list" allowBlank="1" showInputMessage="1" showErrorMessage="1">
          <x14:formula1>
            <xm:f>Dados!$BV$2:$BV$3</xm:f>
          </x14:formula1>
          <xm:sqref>E111:M111</xm:sqref>
        </x14:dataValidation>
        <x14:dataValidation type="list" allowBlank="1" showInputMessage="1" showErrorMessage="1">
          <x14:formula1>
            <xm:f>Dados!$BV$4:$BV$7</xm:f>
          </x14:formula1>
          <xm:sqref>E112:M112</xm:sqref>
        </x14:dataValidation>
        <x14:dataValidation type="list" allowBlank="1" showInputMessage="1" showErrorMessage="1">
          <x14:formula1>
            <xm:f>Dados!$BV$8:$BV$11</xm:f>
          </x14:formula1>
          <xm:sqref>E113:M113</xm:sqref>
        </x14:dataValidation>
        <x14:dataValidation type="list" allowBlank="1" showInputMessage="1" showErrorMessage="1">
          <x14:formula1>
            <xm:f>Dados!$AF$3:$AF$7</xm:f>
          </x14:formula1>
          <xm:sqref>E28:M28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6"/>
  <sheetViews>
    <sheetView view="pageLayout" zoomScaleNormal="100" workbookViewId="0">
      <selection activeCell="G27" sqref="G27:H27"/>
    </sheetView>
  </sheetViews>
  <sheetFormatPr defaultColWidth="4.7109375" defaultRowHeight="11.25" customHeight="1" x14ac:dyDescent="0.25"/>
  <cols>
    <col min="1" max="16384" width="4.7109375" style="16"/>
  </cols>
  <sheetData>
    <row r="1" spans="1:19" s="2" customFormat="1" ht="11.25" customHeight="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</row>
    <row r="2" spans="1:19" s="2" customFormat="1" ht="11.25" customHeight="1" x14ac:dyDescent="0.25">
      <c r="A2" s="24" t="s">
        <v>1</v>
      </c>
      <c r="B2" s="24"/>
      <c r="C2" s="24"/>
      <c r="D2" s="24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</row>
    <row r="3" spans="1:19" s="2" customFormat="1" ht="11.25" customHeight="1" x14ac:dyDescent="0.25">
      <c r="A3" s="24" t="s">
        <v>2</v>
      </c>
      <c r="B3" s="24"/>
      <c r="C3" s="24"/>
      <c r="D3" s="24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8" spans="1:19" ht="11.25" customHeight="1" x14ac:dyDescent="0.25">
      <c r="A8" s="22" t="s">
        <v>481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</row>
    <row r="9" spans="1:19" ht="11.25" customHeight="1" x14ac:dyDescent="0.25">
      <c r="A9" s="22" t="s">
        <v>477</v>
      </c>
      <c r="B9" s="22"/>
      <c r="C9" s="22"/>
      <c r="D9" s="22"/>
      <c r="E9" s="22"/>
      <c r="F9" s="22"/>
      <c r="G9" s="22" t="s">
        <v>475</v>
      </c>
      <c r="H9" s="22"/>
      <c r="I9" s="22"/>
      <c r="J9" s="22"/>
      <c r="K9" s="22"/>
      <c r="L9" s="22"/>
      <c r="M9" s="22"/>
      <c r="N9" s="21" t="s">
        <v>478</v>
      </c>
      <c r="O9" s="22" t="s">
        <v>7</v>
      </c>
      <c r="P9" s="22"/>
      <c r="Q9" s="22" t="s">
        <v>6</v>
      </c>
      <c r="R9" s="22"/>
      <c r="S9" s="22"/>
    </row>
    <row r="10" spans="1:19" ht="11.25" customHeight="1" x14ac:dyDescent="0.25">
      <c r="A10" s="22" t="s">
        <v>20</v>
      </c>
      <c r="B10" s="22"/>
      <c r="C10" s="22"/>
      <c r="D10" s="22"/>
      <c r="E10" s="22"/>
      <c r="F10" s="22"/>
      <c r="G10" s="22" t="s">
        <v>282</v>
      </c>
      <c r="H10" s="22"/>
      <c r="I10" s="22"/>
      <c r="J10" s="22"/>
      <c r="K10" s="22"/>
      <c r="L10" s="22"/>
      <c r="M10" s="22"/>
      <c r="N10" s="21" t="s">
        <v>21</v>
      </c>
      <c r="O10" s="22">
        <f>VLOOKUP(G10,Dados!P2:Q8,2,0)</f>
        <v>1</v>
      </c>
      <c r="P10" s="22"/>
      <c r="Q10" s="22" t="s">
        <v>23</v>
      </c>
      <c r="R10" s="22"/>
      <c r="S10" s="22"/>
    </row>
    <row r="11" spans="1:19" ht="11.25" customHeight="1" x14ac:dyDescent="0.25">
      <c r="A11" s="22" t="s">
        <v>67</v>
      </c>
      <c r="B11" s="22"/>
      <c r="C11" s="22"/>
      <c r="D11" s="22"/>
      <c r="E11" s="22"/>
      <c r="F11" s="22"/>
      <c r="G11" s="22" t="s">
        <v>276</v>
      </c>
      <c r="H11" s="22"/>
      <c r="I11" s="22"/>
      <c r="J11" s="22"/>
      <c r="K11" s="22"/>
      <c r="L11" s="22"/>
      <c r="M11" s="22"/>
      <c r="N11" s="21" t="s">
        <v>79</v>
      </c>
      <c r="O11" s="22">
        <f>VLOOKUP(G11,Dados!M3:N7,2,0)</f>
        <v>1</v>
      </c>
      <c r="P11" s="22"/>
      <c r="Q11" s="22" t="s">
        <v>22</v>
      </c>
      <c r="R11" s="22"/>
      <c r="S11" s="22"/>
    </row>
    <row r="12" spans="1:19" ht="11.25" customHeight="1" x14ac:dyDescent="0.25">
      <c r="A12" s="22" t="s">
        <v>68</v>
      </c>
      <c r="B12" s="22"/>
      <c r="C12" s="22"/>
      <c r="D12" s="22"/>
      <c r="E12" s="22"/>
      <c r="F12" s="22"/>
      <c r="G12" s="22" t="s">
        <v>322</v>
      </c>
      <c r="H12" s="22"/>
      <c r="I12" s="22"/>
      <c r="J12" s="22"/>
      <c r="K12" s="22"/>
      <c r="L12" s="22"/>
      <c r="M12" s="22"/>
      <c r="N12" s="21" t="s">
        <v>80</v>
      </c>
      <c r="O12" s="22">
        <f>VLOOKUP(G12,Dados!AC3:AD6,2,0)</f>
        <v>0</v>
      </c>
      <c r="P12" s="22"/>
      <c r="Q12" s="22" t="s">
        <v>87</v>
      </c>
      <c r="R12" s="22"/>
      <c r="S12" s="22"/>
    </row>
    <row r="13" spans="1:19" ht="11.25" customHeight="1" x14ac:dyDescent="0.25">
      <c r="A13" s="22" t="s">
        <v>70</v>
      </c>
      <c r="B13" s="22"/>
      <c r="C13" s="22"/>
      <c r="D13" s="22"/>
      <c r="E13" s="22"/>
      <c r="F13" s="22"/>
      <c r="G13" s="22" t="s">
        <v>354</v>
      </c>
      <c r="H13" s="22"/>
      <c r="I13" s="22"/>
      <c r="J13" s="22"/>
      <c r="K13" s="22"/>
      <c r="L13" s="22"/>
      <c r="M13" s="22"/>
      <c r="N13" s="21" t="s">
        <v>82</v>
      </c>
      <c r="O13" s="22">
        <f>VLOOKUP(G13,Dados!BF3:BG5,2,0)</f>
        <v>1</v>
      </c>
      <c r="P13" s="22"/>
      <c r="Q13" s="22" t="s">
        <v>89</v>
      </c>
      <c r="R13" s="22"/>
      <c r="S13" s="22"/>
    </row>
    <row r="14" spans="1:19" ht="11.25" customHeight="1" x14ac:dyDescent="0.25">
      <c r="A14" s="22" t="s">
        <v>479</v>
      </c>
      <c r="B14" s="22"/>
      <c r="C14" s="22"/>
      <c r="D14" s="22"/>
      <c r="E14" s="22"/>
      <c r="F14" s="22"/>
      <c r="G14" s="22" t="s">
        <v>293</v>
      </c>
      <c r="H14" s="22"/>
      <c r="I14" s="22"/>
      <c r="J14" s="22"/>
      <c r="K14" s="22"/>
      <c r="L14" s="22"/>
      <c r="M14" s="22"/>
      <c r="N14" s="21" t="s">
        <v>436</v>
      </c>
      <c r="O14" s="22">
        <f>VLOOKUP(G14,Dados!AF3:AG7,2,0)</f>
        <v>0.05</v>
      </c>
      <c r="P14" s="22"/>
      <c r="Q14" s="22" t="s">
        <v>437</v>
      </c>
      <c r="R14" s="22"/>
      <c r="S14" s="22"/>
    </row>
    <row r="15" spans="1:19" ht="11.25" customHeight="1" x14ac:dyDescent="0.25">
      <c r="A15" s="22" t="s">
        <v>71</v>
      </c>
      <c r="B15" s="22"/>
      <c r="C15" s="22" t="s">
        <v>476</v>
      </c>
      <c r="D15" s="22"/>
      <c r="E15" s="22"/>
      <c r="F15" s="22"/>
      <c r="G15" s="26" t="s">
        <v>313</v>
      </c>
      <c r="H15" s="26"/>
      <c r="I15" s="26"/>
      <c r="J15" s="26"/>
      <c r="K15" s="26"/>
      <c r="L15" s="26"/>
      <c r="M15" s="26"/>
      <c r="N15" s="21" t="s">
        <v>84</v>
      </c>
      <c r="O15" s="22">
        <f>VLOOKUP(G15,Dados!Z3:AA6,2,0)</f>
        <v>1</v>
      </c>
      <c r="P15" s="22"/>
      <c r="Q15" s="22" t="s">
        <v>90</v>
      </c>
      <c r="R15" s="22"/>
      <c r="S15" s="22"/>
    </row>
    <row r="16" spans="1:19" ht="11.25" customHeight="1" x14ac:dyDescent="0.25">
      <c r="A16" s="22"/>
      <c r="B16" s="22"/>
      <c r="C16" s="22" t="s">
        <v>74</v>
      </c>
      <c r="D16" s="22"/>
      <c r="E16" s="22"/>
      <c r="F16" s="22"/>
      <c r="G16" s="22" t="s">
        <v>292</v>
      </c>
      <c r="H16" s="22"/>
      <c r="I16" s="22"/>
      <c r="J16" s="22"/>
      <c r="K16" s="22"/>
      <c r="L16" s="22"/>
      <c r="M16" s="22"/>
      <c r="N16" s="21" t="s">
        <v>403</v>
      </c>
      <c r="O16" s="22">
        <f>VLOOKUP(G16,Dados!S3:T7,2,0)</f>
        <v>1</v>
      </c>
      <c r="P16" s="22"/>
      <c r="Q16" s="22" t="s">
        <v>91</v>
      </c>
      <c r="R16" s="22"/>
      <c r="S16" s="22"/>
    </row>
    <row r="17" spans="1:19" ht="11.25" customHeight="1" x14ac:dyDescent="0.25">
      <c r="A17" s="22" t="s">
        <v>72</v>
      </c>
      <c r="B17" s="22"/>
      <c r="C17" s="22" t="s">
        <v>476</v>
      </c>
      <c r="D17" s="22"/>
      <c r="E17" s="22"/>
      <c r="F17" s="22"/>
      <c r="G17" s="26" t="s">
        <v>316</v>
      </c>
      <c r="H17" s="26"/>
      <c r="I17" s="26"/>
      <c r="J17" s="26"/>
      <c r="K17" s="26"/>
      <c r="L17" s="26"/>
      <c r="M17" s="26"/>
      <c r="N17" s="21" t="s">
        <v>433</v>
      </c>
      <c r="O17" s="22">
        <f>VLOOKUP(G17,Dados!Z3:AA6,2,0)</f>
        <v>1E-4</v>
      </c>
      <c r="P17" s="22"/>
      <c r="Q17" s="22" t="s">
        <v>90</v>
      </c>
      <c r="R17" s="22"/>
      <c r="S17" s="22"/>
    </row>
    <row r="18" spans="1:19" ht="11.25" customHeight="1" x14ac:dyDescent="0.25">
      <c r="A18" s="22"/>
      <c r="B18" s="22"/>
      <c r="C18" s="22" t="s">
        <v>74</v>
      </c>
      <c r="D18" s="22"/>
      <c r="E18" s="22"/>
      <c r="F18" s="22"/>
      <c r="G18" s="22" t="s">
        <v>292</v>
      </c>
      <c r="H18" s="22"/>
      <c r="I18" s="22"/>
      <c r="J18" s="22"/>
      <c r="K18" s="22"/>
      <c r="L18" s="22"/>
      <c r="M18" s="22"/>
      <c r="N18" s="21" t="s">
        <v>483</v>
      </c>
      <c r="O18" s="22">
        <f>VLOOKUP(G18,Dados!S3:T7,2,0)</f>
        <v>1</v>
      </c>
      <c r="P18" s="22"/>
      <c r="Q18" s="22" t="s">
        <v>91</v>
      </c>
      <c r="R18" s="22"/>
      <c r="S18" s="22"/>
    </row>
    <row r="23" spans="1:19" ht="11.25" customHeight="1" x14ac:dyDescent="0.25">
      <c r="A23" s="22" t="s">
        <v>480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1:19" ht="11.25" customHeight="1" x14ac:dyDescent="0.25">
      <c r="A24" s="22" t="s">
        <v>149</v>
      </c>
      <c r="B24" s="22"/>
      <c r="C24" s="22"/>
      <c r="D24" s="22"/>
      <c r="E24" s="22"/>
      <c r="F24" s="21" t="s">
        <v>8</v>
      </c>
      <c r="G24" s="22" t="s">
        <v>7</v>
      </c>
      <c r="H24" s="22"/>
      <c r="I24" s="22" t="s">
        <v>6</v>
      </c>
      <c r="J24" s="22"/>
      <c r="K24" s="22"/>
      <c r="L24" s="22" t="s">
        <v>470</v>
      </c>
      <c r="M24" s="22"/>
      <c r="N24" s="22" t="s">
        <v>507</v>
      </c>
      <c r="O24" s="22"/>
      <c r="P24" s="22"/>
      <c r="Q24" s="22"/>
      <c r="R24" s="22"/>
      <c r="S24" s="22"/>
    </row>
    <row r="25" spans="1:19" ht="11.25" customHeight="1" x14ac:dyDescent="0.2">
      <c r="A25" s="22" t="s">
        <v>451</v>
      </c>
      <c r="B25" s="22"/>
      <c r="C25" s="22"/>
      <c r="D25" s="22"/>
      <c r="E25" s="22"/>
      <c r="F25" s="21" t="s">
        <v>447</v>
      </c>
      <c r="G25" s="23">
        <f>O62+O63+O64+O65+O71+O74+O77</f>
        <v>7.3000247969655889E-6</v>
      </c>
      <c r="H25" s="22"/>
      <c r="I25" s="22" t="s">
        <v>455</v>
      </c>
      <c r="J25" s="22"/>
      <c r="K25" s="22"/>
      <c r="L25" s="32">
        <v>1.0000000000000001E-5</v>
      </c>
      <c r="M25" s="32"/>
      <c r="N25" s="22" t="str">
        <f>IF(G25&gt;L25,"Não","Sim")</f>
        <v>Sim</v>
      </c>
      <c r="O25" s="22"/>
      <c r="P25" s="22"/>
      <c r="Q25" s="22"/>
      <c r="R25" s="22"/>
      <c r="S25" s="22"/>
    </row>
    <row r="26" spans="1:19" ht="11.25" customHeight="1" x14ac:dyDescent="0.2">
      <c r="A26" s="22" t="s">
        <v>453</v>
      </c>
      <c r="B26" s="22"/>
      <c r="C26" s="22"/>
      <c r="D26" s="22"/>
      <c r="E26" s="22"/>
      <c r="F26" s="21" t="s">
        <v>448</v>
      </c>
      <c r="G26" s="23">
        <v>0</v>
      </c>
      <c r="H26" s="23"/>
      <c r="I26" s="22" t="s">
        <v>456</v>
      </c>
      <c r="J26" s="22"/>
      <c r="K26" s="22"/>
      <c r="L26" s="32">
        <v>1E-3</v>
      </c>
      <c r="M26" s="32"/>
      <c r="N26" s="22" t="str">
        <f>IF(Relatório!R205="Sim",IF(G26&gt;L26,"Não","Sim"),"Não estudado")</f>
        <v>Sim</v>
      </c>
      <c r="O26" s="22"/>
      <c r="P26" s="22"/>
      <c r="Q26" s="22"/>
      <c r="R26" s="22"/>
      <c r="S26" s="22"/>
    </row>
    <row r="27" spans="1:19" ht="11.25" customHeight="1" x14ac:dyDescent="0.2">
      <c r="A27" s="22" t="s">
        <v>454</v>
      </c>
      <c r="B27" s="22"/>
      <c r="C27" s="22"/>
      <c r="D27" s="22"/>
      <c r="E27" s="22"/>
      <c r="F27" s="21" t="s">
        <v>449</v>
      </c>
      <c r="G27" s="23">
        <v>0</v>
      </c>
      <c r="H27" s="23"/>
      <c r="I27" s="22" t="s">
        <v>457</v>
      </c>
      <c r="J27" s="22"/>
      <c r="K27" s="22"/>
      <c r="L27" s="32">
        <v>1E-4</v>
      </c>
      <c r="M27" s="32"/>
      <c r="N27" s="22" t="str">
        <f>IF(Relatório!R206="Sim",IF(G27&gt;L27,"Não","Sim"),"Não estudado")</f>
        <v>Não estudado</v>
      </c>
      <c r="O27" s="22"/>
      <c r="P27" s="22"/>
      <c r="Q27" s="22"/>
      <c r="R27" s="22"/>
      <c r="S27" s="22"/>
    </row>
    <row r="28" spans="1:19" ht="11.25" customHeight="1" x14ac:dyDescent="0.2">
      <c r="A28" s="22" t="s">
        <v>452</v>
      </c>
      <c r="B28" s="22"/>
      <c r="C28" s="22"/>
      <c r="D28" s="22"/>
      <c r="E28" s="22"/>
      <c r="F28" s="21" t="s">
        <v>450</v>
      </c>
      <c r="G28" s="23">
        <f>IF(Relatório!R208="Sim",SUMIF(Relatório!R207,"Sim",O61)+O62+O63+O64+SUMIF(Relatório!R204,"Sim",O67)+O70+O73+O76,0)</f>
        <v>0</v>
      </c>
      <c r="H28" s="23"/>
      <c r="I28" s="22" t="s">
        <v>458</v>
      </c>
      <c r="J28" s="22"/>
      <c r="K28" s="22"/>
      <c r="L28" s="32">
        <v>1E-3</v>
      </c>
      <c r="M28" s="32"/>
      <c r="N28" s="22" t="str">
        <f>IF(Relatório!R208="Sim",IF(G28&gt;L28,"Não","Sim"),"Não estudado")</f>
        <v>Não estudado</v>
      </c>
      <c r="O28" s="22"/>
      <c r="P28" s="22"/>
      <c r="Q28" s="22"/>
      <c r="R28" s="22"/>
      <c r="S28" s="22"/>
    </row>
    <row r="40" spans="1:19" ht="11.25" customHeight="1" x14ac:dyDescent="0.25">
      <c r="A40" s="22" t="s">
        <v>482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</row>
    <row r="41" spans="1:19" ht="11.25" customHeight="1" x14ac:dyDescent="0.25">
      <c r="A41" s="22" t="s">
        <v>177</v>
      </c>
      <c r="B41" s="22"/>
      <c r="C41" s="22"/>
      <c r="D41" s="22"/>
      <c r="E41" s="22"/>
      <c r="F41" s="22"/>
      <c r="G41" s="22"/>
      <c r="H41" s="22"/>
      <c r="I41" s="22" t="s">
        <v>149</v>
      </c>
      <c r="J41" s="22"/>
      <c r="K41" s="22"/>
      <c r="L41" s="22"/>
      <c r="M41" s="22"/>
      <c r="N41" s="21" t="s">
        <v>8</v>
      </c>
      <c r="O41" s="22" t="s">
        <v>7</v>
      </c>
      <c r="P41" s="22"/>
      <c r="Q41" s="22" t="s">
        <v>6</v>
      </c>
      <c r="R41" s="22"/>
      <c r="S41" s="22"/>
    </row>
    <row r="42" spans="1:19" ht="11.25" customHeight="1" x14ac:dyDescent="0.25">
      <c r="A42" s="22" t="s">
        <v>188</v>
      </c>
      <c r="B42" s="22"/>
      <c r="C42" s="22"/>
      <c r="D42" s="22"/>
      <c r="E42" s="22"/>
      <c r="F42" s="22"/>
      <c r="G42" s="22"/>
      <c r="H42" s="22"/>
      <c r="I42" s="22" t="s">
        <v>185</v>
      </c>
      <c r="J42" s="22"/>
      <c r="K42" s="22"/>
      <c r="L42" s="22"/>
      <c r="M42" s="22"/>
      <c r="N42" s="21" t="s">
        <v>178</v>
      </c>
      <c r="O42" s="23">
        <f>O11*O10</f>
        <v>1</v>
      </c>
      <c r="P42" s="23"/>
      <c r="Q42" s="22" t="s">
        <v>182</v>
      </c>
      <c r="R42" s="22"/>
      <c r="S42" s="22"/>
    </row>
    <row r="43" spans="1:19" ht="11.25" customHeight="1" x14ac:dyDescent="0.25">
      <c r="A43" s="25" t="s">
        <v>439</v>
      </c>
      <c r="B43" s="25"/>
      <c r="C43" s="25"/>
      <c r="D43" s="25"/>
      <c r="E43" s="25"/>
      <c r="F43" s="25"/>
      <c r="G43" s="22" t="s">
        <v>71</v>
      </c>
      <c r="H43" s="22"/>
      <c r="I43" s="22" t="s">
        <v>399</v>
      </c>
      <c r="J43" s="22"/>
      <c r="K43" s="22"/>
      <c r="L43" s="22"/>
      <c r="M43" s="22"/>
      <c r="N43" s="21" t="s">
        <v>180</v>
      </c>
      <c r="O43" s="23">
        <f>O16*Relatório!O42</f>
        <v>1</v>
      </c>
      <c r="P43" s="23"/>
      <c r="Q43" s="22" t="s">
        <v>183</v>
      </c>
      <c r="R43" s="22"/>
      <c r="S43" s="22"/>
    </row>
    <row r="44" spans="1:19" ht="11.25" customHeight="1" x14ac:dyDescent="0.25">
      <c r="A44" s="25"/>
      <c r="B44" s="25"/>
      <c r="C44" s="25"/>
      <c r="D44" s="25"/>
      <c r="E44" s="25"/>
      <c r="F44" s="25"/>
      <c r="G44" s="22" t="s">
        <v>72</v>
      </c>
      <c r="H44" s="22"/>
      <c r="I44" s="22" t="s">
        <v>484</v>
      </c>
      <c r="J44" s="22"/>
      <c r="K44" s="22"/>
      <c r="L44" s="22"/>
      <c r="M44" s="22"/>
      <c r="N44" s="21" t="s">
        <v>181</v>
      </c>
      <c r="O44" s="23">
        <f>O18*Relatório!O58</f>
        <v>1</v>
      </c>
      <c r="P44" s="23"/>
      <c r="Q44" s="22" t="s">
        <v>183</v>
      </c>
      <c r="R44" s="22"/>
      <c r="S44" s="22"/>
    </row>
    <row r="45" spans="1:19" ht="11.25" customHeight="1" x14ac:dyDescent="0.25">
      <c r="A45" s="25"/>
      <c r="B45" s="25"/>
      <c r="C45" s="25"/>
      <c r="D45" s="25"/>
      <c r="E45" s="25"/>
      <c r="F45" s="25"/>
      <c r="G45" s="22" t="s">
        <v>440</v>
      </c>
      <c r="H45" s="22"/>
      <c r="I45" s="22" t="s">
        <v>186</v>
      </c>
      <c r="J45" s="22"/>
      <c r="K45" s="22"/>
      <c r="L45" s="22"/>
      <c r="M45" s="22"/>
      <c r="N45" s="21" t="s">
        <v>179</v>
      </c>
      <c r="O45" s="23">
        <f>1-(1-O43)*(1-O44)</f>
        <v>1</v>
      </c>
      <c r="P45" s="23"/>
      <c r="Q45" s="22" t="s">
        <v>184</v>
      </c>
      <c r="R45" s="22"/>
      <c r="S45" s="22"/>
    </row>
    <row r="46" spans="1:19" ht="11.25" customHeight="1" x14ac:dyDescent="0.25">
      <c r="A46" s="25" t="s">
        <v>189</v>
      </c>
      <c r="B46" s="25"/>
      <c r="C46" s="25"/>
      <c r="D46" s="25"/>
      <c r="E46" s="25"/>
      <c r="F46" s="25"/>
      <c r="G46" s="22" t="s">
        <v>71</v>
      </c>
      <c r="H46" s="22"/>
      <c r="I46" s="22" t="s">
        <v>190</v>
      </c>
      <c r="J46" s="22"/>
      <c r="K46" s="22"/>
      <c r="L46" s="22"/>
      <c r="M46" s="22"/>
      <c r="N46" s="21" t="s">
        <v>193</v>
      </c>
      <c r="O46" s="23">
        <f>O16*O56</f>
        <v>2.7777777777777776E-2</v>
      </c>
      <c r="P46" s="23"/>
      <c r="Q46" s="22" t="s">
        <v>187</v>
      </c>
      <c r="R46" s="22"/>
      <c r="S46" s="22"/>
    </row>
    <row r="47" spans="1:19" ht="11.25" customHeight="1" x14ac:dyDescent="0.25">
      <c r="A47" s="25"/>
      <c r="B47" s="25"/>
      <c r="C47" s="25"/>
      <c r="D47" s="25"/>
      <c r="E47" s="25"/>
      <c r="F47" s="25"/>
      <c r="G47" s="22" t="s">
        <v>72</v>
      </c>
      <c r="H47" s="22"/>
      <c r="I47" s="22" t="s">
        <v>191</v>
      </c>
      <c r="J47" s="22"/>
      <c r="K47" s="22"/>
      <c r="L47" s="22"/>
      <c r="M47" s="22"/>
      <c r="N47" s="21" t="s">
        <v>194</v>
      </c>
      <c r="O47" s="23">
        <f>O18*O57</f>
        <v>2.7777777777777782E-10</v>
      </c>
      <c r="P47" s="23"/>
      <c r="Q47" s="22" t="s">
        <v>187</v>
      </c>
      <c r="R47" s="22"/>
      <c r="S47" s="22"/>
    </row>
    <row r="48" spans="1:19" ht="11.25" customHeight="1" x14ac:dyDescent="0.25">
      <c r="A48" s="25" t="s">
        <v>192</v>
      </c>
      <c r="B48" s="25"/>
      <c r="C48" s="25"/>
      <c r="D48" s="25"/>
      <c r="E48" s="25"/>
      <c r="F48" s="25"/>
      <c r="G48" s="22" t="s">
        <v>71</v>
      </c>
      <c r="H48" s="22"/>
      <c r="I48" s="22" t="s">
        <v>197</v>
      </c>
      <c r="J48" s="22"/>
      <c r="K48" s="22"/>
      <c r="L48" s="22"/>
      <c r="M48" s="22"/>
      <c r="N48" s="21" t="s">
        <v>195</v>
      </c>
      <c r="O48" s="23">
        <f>O12*O14*Relatório!O50*Relatório!O42</f>
        <v>0</v>
      </c>
      <c r="P48" s="23"/>
      <c r="Q48" s="22" t="s">
        <v>204</v>
      </c>
      <c r="R48" s="22"/>
      <c r="S48" s="22"/>
    </row>
    <row r="49" spans="1:19" ht="11.25" customHeight="1" x14ac:dyDescent="0.25">
      <c r="A49" s="25"/>
      <c r="B49" s="25"/>
      <c r="C49" s="25"/>
      <c r="D49" s="25"/>
      <c r="E49" s="25"/>
      <c r="F49" s="25"/>
      <c r="G49" s="22" t="s">
        <v>72</v>
      </c>
      <c r="H49" s="22"/>
      <c r="I49" s="22" t="s">
        <v>404</v>
      </c>
      <c r="J49" s="22"/>
      <c r="K49" s="22"/>
      <c r="L49" s="22"/>
      <c r="M49" s="22"/>
      <c r="N49" s="21" t="s">
        <v>196</v>
      </c>
      <c r="O49" s="23">
        <f>O12*O14*Relatório!O66*Relatório!O58</f>
        <v>0</v>
      </c>
      <c r="P49" s="23"/>
      <c r="Q49" s="22" t="s">
        <v>204</v>
      </c>
      <c r="R49" s="22"/>
      <c r="S49" s="22"/>
    </row>
    <row r="50" spans="1:19" ht="11.25" customHeight="1" x14ac:dyDescent="0.25">
      <c r="A50" s="25" t="s">
        <v>198</v>
      </c>
      <c r="B50" s="25"/>
      <c r="C50" s="25"/>
      <c r="D50" s="25"/>
      <c r="E50" s="25"/>
      <c r="F50" s="25"/>
      <c r="G50" s="22" t="s">
        <v>71</v>
      </c>
      <c r="H50" s="22"/>
      <c r="I50" s="22" t="s">
        <v>202</v>
      </c>
      <c r="J50" s="22"/>
      <c r="K50" s="22"/>
      <c r="L50" s="22"/>
      <c r="M50" s="22"/>
      <c r="N50" s="21" t="s">
        <v>200</v>
      </c>
      <c r="O50" s="23">
        <f>O16*Relatório!O50*Relatório!O38</f>
        <v>1</v>
      </c>
      <c r="P50" s="23"/>
      <c r="Q50" s="22" t="s">
        <v>205</v>
      </c>
      <c r="R50" s="22"/>
      <c r="S50" s="22"/>
    </row>
    <row r="51" spans="1:19" ht="11.25" customHeight="1" x14ac:dyDescent="0.25">
      <c r="A51" s="25"/>
      <c r="B51" s="25"/>
      <c r="C51" s="25"/>
      <c r="D51" s="25"/>
      <c r="E51" s="25"/>
      <c r="F51" s="25"/>
      <c r="G51" s="22" t="s">
        <v>72</v>
      </c>
      <c r="H51" s="22"/>
      <c r="I51" s="22" t="s">
        <v>446</v>
      </c>
      <c r="J51" s="22"/>
      <c r="K51" s="22"/>
      <c r="L51" s="22"/>
      <c r="M51" s="22"/>
      <c r="N51" s="21" t="s">
        <v>443</v>
      </c>
      <c r="O51" s="23">
        <f>O18*Relatório!O66*Relatório!O54</f>
        <v>1</v>
      </c>
      <c r="P51" s="23"/>
      <c r="Q51" s="22" t="s">
        <v>205</v>
      </c>
      <c r="R51" s="22"/>
      <c r="S51" s="22"/>
    </row>
    <row r="52" spans="1:19" ht="11.25" customHeight="1" x14ac:dyDescent="0.25">
      <c r="A52" s="25" t="s">
        <v>199</v>
      </c>
      <c r="B52" s="25"/>
      <c r="C52" s="25"/>
      <c r="D52" s="25"/>
      <c r="E52" s="25"/>
      <c r="F52" s="25"/>
      <c r="G52" s="22" t="s">
        <v>71</v>
      </c>
      <c r="H52" s="22"/>
      <c r="I52" s="22" t="s">
        <v>203</v>
      </c>
      <c r="J52" s="22"/>
      <c r="K52" s="22"/>
      <c r="L52" s="22"/>
      <c r="M52" s="22"/>
      <c r="N52" s="21" t="s">
        <v>201</v>
      </c>
      <c r="O52" s="23">
        <f>O16*Relatório!O36*Relatório!O43</f>
        <v>2.0000000000000004E-2</v>
      </c>
      <c r="P52" s="23"/>
      <c r="Q52" s="22" t="s">
        <v>206</v>
      </c>
      <c r="R52" s="22"/>
      <c r="S52" s="22"/>
    </row>
    <row r="53" spans="1:19" ht="11.25" customHeight="1" x14ac:dyDescent="0.25">
      <c r="A53" s="25"/>
      <c r="B53" s="25"/>
      <c r="C53" s="25"/>
      <c r="D53" s="25"/>
      <c r="E53" s="25"/>
      <c r="F53" s="25"/>
      <c r="G53" s="22" t="s">
        <v>72</v>
      </c>
      <c r="H53" s="22"/>
      <c r="I53" s="22" t="s">
        <v>445</v>
      </c>
      <c r="J53" s="22"/>
      <c r="K53" s="22"/>
      <c r="L53" s="22"/>
      <c r="M53" s="22"/>
      <c r="N53" s="21" t="s">
        <v>444</v>
      </c>
      <c r="O53" s="23">
        <f>O18*Relatório!O52*Relatório!O59</f>
        <v>4.0000000000000001E-3</v>
      </c>
      <c r="P53" s="23"/>
      <c r="Q53" s="22" t="s">
        <v>206</v>
      </c>
      <c r="R53" s="22"/>
      <c r="S53" s="22"/>
    </row>
    <row r="54" spans="1:19" ht="11.25" customHeight="1" x14ac:dyDescent="0.25">
      <c r="A54" s="25" t="s">
        <v>438</v>
      </c>
      <c r="B54" s="25"/>
      <c r="C54" s="25"/>
      <c r="D54" s="25"/>
      <c r="E54" s="25"/>
      <c r="F54" s="25"/>
      <c r="G54" s="22" t="s">
        <v>71</v>
      </c>
      <c r="H54" s="22"/>
      <c r="I54" s="22" t="s">
        <v>233</v>
      </c>
      <c r="J54" s="22"/>
      <c r="K54" s="22"/>
      <c r="L54" s="22"/>
      <c r="M54" s="22"/>
      <c r="N54" s="21" t="s">
        <v>218</v>
      </c>
      <c r="O54" s="23">
        <f>O14*Relatório!O50*Relatório!O42</f>
        <v>0.05</v>
      </c>
      <c r="P54" s="23"/>
      <c r="Q54" s="22" t="s">
        <v>245</v>
      </c>
      <c r="R54" s="22"/>
      <c r="S54" s="22"/>
    </row>
    <row r="55" spans="1:19" ht="11.25" customHeight="1" x14ac:dyDescent="0.25">
      <c r="A55" s="25"/>
      <c r="B55" s="25"/>
      <c r="C55" s="25"/>
      <c r="D55" s="25"/>
      <c r="E55" s="25"/>
      <c r="F55" s="25"/>
      <c r="G55" s="22" t="s">
        <v>72</v>
      </c>
      <c r="H55" s="22"/>
      <c r="I55" s="22" t="s">
        <v>234</v>
      </c>
      <c r="J55" s="22"/>
      <c r="K55" s="22"/>
      <c r="L55" s="22"/>
      <c r="M55" s="22"/>
      <c r="N55" s="21" t="s">
        <v>219</v>
      </c>
      <c r="O55" s="23">
        <f>O14*Relatório!O66*Relatório!O58</f>
        <v>0.05</v>
      </c>
      <c r="P55" s="23"/>
      <c r="Q55" s="22" t="s">
        <v>245</v>
      </c>
      <c r="R55" s="22"/>
      <c r="S55" s="22"/>
    </row>
    <row r="56" spans="1:19" ht="11.25" customHeight="1" x14ac:dyDescent="0.25">
      <c r="A56" s="22" t="s">
        <v>71</v>
      </c>
      <c r="B56" s="22"/>
      <c r="C56" s="22"/>
      <c r="D56" s="22"/>
      <c r="E56" s="22"/>
      <c r="F56" s="22"/>
      <c r="G56" s="22" t="s">
        <v>227</v>
      </c>
      <c r="H56" s="22"/>
      <c r="I56" s="22"/>
      <c r="J56" s="22"/>
      <c r="K56" s="22"/>
      <c r="L56" s="22"/>
      <c r="M56" s="22"/>
      <c r="N56" s="21" t="s">
        <v>208</v>
      </c>
      <c r="O56" s="23">
        <f>(Relatório!O31*Relatório!O32*O15*Relatório!O49)^2</f>
        <v>2.7777777777777776E-2</v>
      </c>
      <c r="P56" s="23"/>
      <c r="Q56" s="22" t="s">
        <v>238</v>
      </c>
      <c r="R56" s="22"/>
      <c r="S56" s="22"/>
    </row>
    <row r="57" spans="1:19" ht="11.25" customHeight="1" x14ac:dyDescent="0.25">
      <c r="A57" s="22" t="s">
        <v>72</v>
      </c>
      <c r="B57" s="22"/>
      <c r="C57" s="22"/>
      <c r="D57" s="22"/>
      <c r="E57" s="22"/>
      <c r="F57" s="22"/>
      <c r="G57" s="22" t="s">
        <v>405</v>
      </c>
      <c r="H57" s="22"/>
      <c r="I57" s="22"/>
      <c r="J57" s="22"/>
      <c r="K57" s="22"/>
      <c r="L57" s="22"/>
      <c r="M57" s="22"/>
      <c r="N57" s="21" t="s">
        <v>209</v>
      </c>
      <c r="O57" s="23">
        <f>(Relatório!O31*Relatório!O32*O17*Relatório!O49)^2</f>
        <v>2.7777777777777782E-10</v>
      </c>
      <c r="P57" s="23"/>
      <c r="Q57" s="22" t="s">
        <v>238</v>
      </c>
      <c r="R57" s="22"/>
      <c r="S57" s="22"/>
    </row>
    <row r="58" spans="1:19" ht="11.25" customHeight="1" x14ac:dyDescent="0.25">
      <c r="A58" s="22" t="s">
        <v>228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1" t="s">
        <v>210</v>
      </c>
      <c r="O58" s="23">
        <f>1-(1-O46)*(1-O47)</f>
        <v>2.7777778047839541E-2</v>
      </c>
      <c r="P58" s="23"/>
      <c r="Q58" s="22" t="s">
        <v>239</v>
      </c>
      <c r="R58" s="22"/>
      <c r="S58" s="22"/>
    </row>
    <row r="60" spans="1:19" ht="11.25" customHeight="1" x14ac:dyDescent="0.25">
      <c r="A60" s="22" t="s">
        <v>508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</row>
    <row r="61" spans="1:19" ht="11.25" customHeight="1" x14ac:dyDescent="0.25">
      <c r="A61" s="22" t="s">
        <v>358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1" t="s">
        <v>8</v>
      </c>
      <c r="O61" s="22" t="s">
        <v>7</v>
      </c>
      <c r="P61" s="22"/>
      <c r="Q61" s="22" t="s">
        <v>6</v>
      </c>
      <c r="R61" s="22"/>
      <c r="S61" s="22"/>
    </row>
    <row r="62" spans="1:19" ht="11.25" customHeight="1" x14ac:dyDescent="0.25">
      <c r="A62" s="22" t="s">
        <v>400</v>
      </c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1" t="s">
        <v>211</v>
      </c>
      <c r="O62" s="23">
        <f>Relatório!$O$136*$O$42*Relatório!$O$91</f>
        <v>2.2797415989885297E-6</v>
      </c>
      <c r="P62" s="23"/>
      <c r="Q62" s="22" t="s">
        <v>240</v>
      </c>
      <c r="R62" s="22"/>
      <c r="S62" s="22"/>
    </row>
    <row r="63" spans="1:19" ht="11.25" customHeight="1" x14ac:dyDescent="0.25">
      <c r="A63" s="22" t="s">
        <v>401</v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1" t="s">
        <v>212</v>
      </c>
      <c r="O63" s="23">
        <f>Relatório!$O$136*$O$10*Relatório!$O$92/Relatório!O74*Estudo!O13</f>
        <v>4.5594831979770593E-6</v>
      </c>
      <c r="P63" s="23"/>
      <c r="Q63" s="22" t="s">
        <v>241</v>
      </c>
      <c r="R63" s="22"/>
      <c r="S63" s="22"/>
    </row>
    <row r="64" spans="1:19" ht="11.25" customHeight="1" x14ac:dyDescent="0.25">
      <c r="A64" s="22" t="s">
        <v>461</v>
      </c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1" t="s">
        <v>213</v>
      </c>
      <c r="O64" s="23">
        <f>IF(Relatório!R204="Sim",Relatório!$O$136*$O$45*Relatório!$O$93,0)</f>
        <v>0</v>
      </c>
      <c r="P64" s="23"/>
      <c r="Q64" s="22" t="s">
        <v>242</v>
      </c>
      <c r="R64" s="22"/>
      <c r="S64" s="22"/>
    </row>
    <row r="65" spans="1:19" ht="11.25" customHeight="1" x14ac:dyDescent="0.25">
      <c r="A65" s="22" t="s">
        <v>506</v>
      </c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1" t="s">
        <v>214</v>
      </c>
      <c r="O65" s="23">
        <f>IF(Relatório!R204="Sim",Relatório!$O$137*$O$58*Relatório!$O$93,0)</f>
        <v>0</v>
      </c>
      <c r="P65" s="23"/>
      <c r="Q65" s="22" t="s">
        <v>243</v>
      </c>
      <c r="R65" s="22"/>
      <c r="S65" s="22"/>
    </row>
    <row r="66" spans="1:19" ht="11.25" customHeight="1" x14ac:dyDescent="0.25">
      <c r="A66" s="22" t="s">
        <v>71</v>
      </c>
      <c r="B66" s="22"/>
      <c r="C66" s="22"/>
      <c r="D66" s="22"/>
      <c r="E66" s="22"/>
      <c r="F66" s="22"/>
      <c r="G66" s="22" t="s">
        <v>493</v>
      </c>
      <c r="H66" s="22"/>
      <c r="I66" s="22"/>
      <c r="J66" s="22"/>
      <c r="K66" s="22"/>
      <c r="L66" s="22"/>
      <c r="M66" s="22"/>
      <c r="N66" s="21" t="s">
        <v>216</v>
      </c>
      <c r="O66" s="23">
        <f>(Relatório!$O$138+Relatório!$O$140)*$O$48*Relatório!$O$91</f>
        <v>0</v>
      </c>
      <c r="P66" s="23"/>
      <c r="Q66" s="22" t="s">
        <v>244</v>
      </c>
      <c r="R66" s="22"/>
      <c r="S66" s="22"/>
    </row>
    <row r="67" spans="1:19" ht="11.25" customHeight="1" x14ac:dyDescent="0.25">
      <c r="A67" s="22" t="s">
        <v>72</v>
      </c>
      <c r="B67" s="22"/>
      <c r="C67" s="22"/>
      <c r="D67" s="22"/>
      <c r="E67" s="22"/>
      <c r="F67" s="22"/>
      <c r="G67" s="22" t="s">
        <v>494</v>
      </c>
      <c r="H67" s="22"/>
      <c r="I67" s="22"/>
      <c r="J67" s="22"/>
      <c r="K67" s="22"/>
      <c r="L67" s="22"/>
      <c r="M67" s="22"/>
      <c r="N67" s="21" t="s">
        <v>217</v>
      </c>
      <c r="O67" s="23">
        <f>(Relatório!$O$141+Relatório!$O$143)*$O$49*Relatório!$O$91</f>
        <v>0</v>
      </c>
      <c r="P67" s="23"/>
      <c r="Q67" s="22" t="s">
        <v>244</v>
      </c>
      <c r="R67" s="22"/>
      <c r="S67" s="22"/>
    </row>
    <row r="68" spans="1:19" ht="11.25" customHeight="1" x14ac:dyDescent="0.25">
      <c r="A68" s="22" t="s">
        <v>232</v>
      </c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1" t="s">
        <v>215</v>
      </c>
      <c r="O68" s="23">
        <f>O66+O67</f>
        <v>0</v>
      </c>
      <c r="P68" s="23"/>
      <c r="Q68" s="22" t="s">
        <v>244</v>
      </c>
      <c r="R68" s="22"/>
      <c r="S68" s="22"/>
    </row>
    <row r="69" spans="1:19" ht="11.25" customHeight="1" x14ac:dyDescent="0.25">
      <c r="A69" s="22" t="s">
        <v>71</v>
      </c>
      <c r="B69" s="22"/>
      <c r="C69" s="22"/>
      <c r="D69" s="22"/>
      <c r="E69" s="22"/>
      <c r="F69" s="22"/>
      <c r="G69" s="22" t="s">
        <v>495</v>
      </c>
      <c r="H69" s="22"/>
      <c r="I69" s="22"/>
      <c r="J69" s="22"/>
      <c r="K69" s="22"/>
      <c r="L69" s="22"/>
      <c r="M69" s="22"/>
      <c r="N69" s="21" t="s">
        <v>235</v>
      </c>
      <c r="O69" s="23">
        <f>(Relatório!$O$138+Relatório!$O$140)*$O$54*Relatório!$O$92/Relatório!O74*Estudo!O13</f>
        <v>2.3040000000000002E-7</v>
      </c>
      <c r="P69" s="23"/>
      <c r="Q69" s="22" t="s">
        <v>246</v>
      </c>
      <c r="R69" s="22"/>
      <c r="S69" s="22"/>
    </row>
    <row r="70" spans="1:19" ht="11.25" customHeight="1" x14ac:dyDescent="0.25">
      <c r="A70" s="22" t="s">
        <v>72</v>
      </c>
      <c r="B70" s="22"/>
      <c r="C70" s="22"/>
      <c r="D70" s="22"/>
      <c r="E70" s="22"/>
      <c r="F70" s="22"/>
      <c r="G70" s="22" t="s">
        <v>499</v>
      </c>
      <c r="H70" s="22"/>
      <c r="I70" s="22"/>
      <c r="J70" s="22"/>
      <c r="K70" s="22"/>
      <c r="L70" s="22"/>
      <c r="M70" s="22"/>
      <c r="N70" s="21" t="s">
        <v>460</v>
      </c>
      <c r="O70" s="23">
        <f>(Relatório!$O$141+Relatório!$O$143)*$O$55*Relatório!$O$92/Relatório!O74*Estudo!O13</f>
        <v>2.3040000000000002E-7</v>
      </c>
      <c r="P70" s="23"/>
      <c r="Q70" s="22" t="s">
        <v>246</v>
      </c>
      <c r="R70" s="22"/>
      <c r="S70" s="22"/>
    </row>
    <row r="71" spans="1:19" ht="11.25" customHeight="1" x14ac:dyDescent="0.25">
      <c r="A71" s="22" t="s">
        <v>464</v>
      </c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1" t="s">
        <v>220</v>
      </c>
      <c r="O71" s="23">
        <f>O69+O70</f>
        <v>4.6080000000000005E-7</v>
      </c>
      <c r="P71" s="23"/>
      <c r="Q71" s="22" t="s">
        <v>246</v>
      </c>
      <c r="R71" s="22"/>
      <c r="S71" s="22"/>
    </row>
    <row r="72" spans="1:19" ht="11.25" customHeight="1" x14ac:dyDescent="0.25">
      <c r="A72" s="22" t="s">
        <v>71</v>
      </c>
      <c r="B72" s="22"/>
      <c r="C72" s="22"/>
      <c r="D72" s="22"/>
      <c r="E72" s="22"/>
      <c r="F72" s="22"/>
      <c r="G72" s="22" t="s">
        <v>496</v>
      </c>
      <c r="H72" s="22"/>
      <c r="I72" s="22"/>
      <c r="J72" s="22"/>
      <c r="K72" s="22"/>
      <c r="L72" s="22"/>
      <c r="M72" s="22"/>
      <c r="N72" s="21" t="s">
        <v>221</v>
      </c>
      <c r="O72" s="23">
        <f>(Relatório!$O$138+Relatório!$O$140)*$O$50*Relatório!$O$93</f>
        <v>2.3039999999999998E-2</v>
      </c>
      <c r="P72" s="23"/>
      <c r="Q72" s="22" t="s">
        <v>247</v>
      </c>
      <c r="R72" s="22"/>
      <c r="S72" s="22"/>
    </row>
    <row r="73" spans="1:19" ht="11.25" customHeight="1" x14ac:dyDescent="0.25">
      <c r="A73" s="22" t="s">
        <v>72</v>
      </c>
      <c r="B73" s="22"/>
      <c r="C73" s="22"/>
      <c r="D73" s="22"/>
      <c r="E73" s="22"/>
      <c r="F73" s="22"/>
      <c r="G73" s="22" t="s">
        <v>498</v>
      </c>
      <c r="H73" s="22"/>
      <c r="I73" s="22"/>
      <c r="J73" s="22"/>
      <c r="K73" s="22"/>
      <c r="L73" s="22"/>
      <c r="M73" s="22"/>
      <c r="N73" s="21" t="s">
        <v>222</v>
      </c>
      <c r="O73" s="23">
        <f>(Relatório!$O$141+Relatório!$O$143)*$O$51*Relatório!$O$93</f>
        <v>2.3039999999999998E-2</v>
      </c>
      <c r="P73" s="23"/>
      <c r="Q73" s="22" t="s">
        <v>247</v>
      </c>
      <c r="R73" s="22"/>
      <c r="S73" s="22"/>
    </row>
    <row r="74" spans="1:19" ht="11.25" customHeight="1" x14ac:dyDescent="0.25">
      <c r="A74" s="22" t="s">
        <v>473</v>
      </c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1" t="s">
        <v>223</v>
      </c>
      <c r="O74" s="23">
        <f>IF(Relatório!R204="Sim",O72+O73,0)</f>
        <v>0</v>
      </c>
      <c r="P74" s="23"/>
      <c r="Q74" s="22" t="s">
        <v>247</v>
      </c>
      <c r="R74" s="22"/>
      <c r="S74" s="22"/>
    </row>
    <row r="75" spans="1:19" ht="11.25" customHeight="1" x14ac:dyDescent="0.25">
      <c r="A75" s="22" t="s">
        <v>71</v>
      </c>
      <c r="B75" s="22"/>
      <c r="C75" s="22"/>
      <c r="D75" s="22"/>
      <c r="E75" s="22"/>
      <c r="F75" s="22"/>
      <c r="G75" s="22" t="s">
        <v>502</v>
      </c>
      <c r="H75" s="22"/>
      <c r="I75" s="22"/>
      <c r="J75" s="22"/>
      <c r="K75" s="22"/>
      <c r="L75" s="22"/>
      <c r="M75" s="22"/>
      <c r="N75" s="21" t="s">
        <v>224</v>
      </c>
      <c r="O75" s="23">
        <f>Relatório!$O$139*$O$52*Relatório!$O$93</f>
        <v>4.6080000000000003E-2</v>
      </c>
      <c r="P75" s="23"/>
      <c r="Q75" s="22" t="s">
        <v>248</v>
      </c>
      <c r="R75" s="22"/>
      <c r="S75" s="22"/>
    </row>
    <row r="76" spans="1:19" ht="11.25" customHeight="1" x14ac:dyDescent="0.25">
      <c r="A76" s="22" t="s">
        <v>72</v>
      </c>
      <c r="B76" s="22"/>
      <c r="C76" s="22"/>
      <c r="D76" s="22"/>
      <c r="E76" s="22"/>
      <c r="F76" s="22"/>
      <c r="G76" s="22" t="s">
        <v>503</v>
      </c>
      <c r="H76" s="22"/>
      <c r="I76" s="22"/>
      <c r="J76" s="22"/>
      <c r="K76" s="22"/>
      <c r="L76" s="22"/>
      <c r="M76" s="22"/>
      <c r="N76" s="21" t="s">
        <v>225</v>
      </c>
      <c r="O76" s="23">
        <f>Relatório!$O$142*$O$53*Relatório!$O$93</f>
        <v>9.2159999999999985E-3</v>
      </c>
      <c r="P76" s="23"/>
      <c r="Q76" s="22" t="s">
        <v>248</v>
      </c>
      <c r="R76" s="22"/>
      <c r="S76" s="22"/>
    </row>
    <row r="77" spans="1:19" ht="11.25" customHeight="1" x14ac:dyDescent="0.25">
      <c r="A77" s="22" t="s">
        <v>474</v>
      </c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1" t="s">
        <v>226</v>
      </c>
      <c r="O77" s="23">
        <f>IF(Relatório!R204="Sim",O75+O76,0)</f>
        <v>0</v>
      </c>
      <c r="P77" s="23"/>
      <c r="Q77" s="22" t="s">
        <v>248</v>
      </c>
      <c r="R77" s="22"/>
      <c r="S77" s="22"/>
    </row>
    <row r="79" spans="1:19" ht="11.25" customHeight="1" x14ac:dyDescent="0.25">
      <c r="A79" s="22" t="s">
        <v>509</v>
      </c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</row>
    <row r="80" spans="1:19" ht="11.25" customHeight="1" x14ac:dyDescent="0.25">
      <c r="A80" s="22" t="s">
        <v>358</v>
      </c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1" t="s">
        <v>8</v>
      </c>
      <c r="O80" s="22" t="s">
        <v>7</v>
      </c>
      <c r="P80" s="22"/>
      <c r="Q80" s="22" t="s">
        <v>6</v>
      </c>
      <c r="R80" s="22"/>
      <c r="S80" s="22"/>
    </row>
    <row r="81" spans="1:19" ht="11.25" customHeight="1" x14ac:dyDescent="0.25">
      <c r="A81" s="22" t="s">
        <v>400</v>
      </c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1" t="s">
        <v>211</v>
      </c>
      <c r="O81" s="23">
        <f>IF(Relatório!R207="Sim",Relatório!$O$136*$O$42*Relatório!O119,0)</f>
        <v>0</v>
      </c>
      <c r="P81" s="23"/>
      <c r="Q81" s="22" t="s">
        <v>240</v>
      </c>
      <c r="R81" s="22"/>
      <c r="S81" s="22"/>
    </row>
    <row r="82" spans="1:19" ht="11.25" customHeight="1" x14ac:dyDescent="0.25">
      <c r="A82" s="22" t="s">
        <v>401</v>
      </c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1" t="s">
        <v>212</v>
      </c>
      <c r="O82" s="23">
        <f>Relatório!$O$136*$O$10*Relatório!O120</f>
        <v>0</v>
      </c>
      <c r="P82" s="23"/>
      <c r="Q82" s="22" t="s">
        <v>241</v>
      </c>
      <c r="R82" s="22"/>
      <c r="S82" s="22"/>
    </row>
    <row r="83" spans="1:19" ht="11.25" customHeight="1" x14ac:dyDescent="0.25">
      <c r="A83" s="22" t="s">
        <v>461</v>
      </c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1" t="s">
        <v>213</v>
      </c>
      <c r="O83" s="23">
        <f>IF(Relatório!R208="Sim",Relatório!$O$136*$O$45*Relatório!O121,0)</f>
        <v>0</v>
      </c>
      <c r="P83" s="23"/>
      <c r="Q83" s="22" t="s">
        <v>242</v>
      </c>
      <c r="R83" s="22"/>
      <c r="S83" s="22"/>
    </row>
    <row r="84" spans="1:19" ht="11.25" customHeight="1" x14ac:dyDescent="0.25">
      <c r="A84" s="22" t="s">
        <v>506</v>
      </c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1" t="s">
        <v>214</v>
      </c>
      <c r="O84" s="23">
        <f>IF(Relatório!R208="Sim",Relatório!$O$137*$O$58*Relatório!O121,0)</f>
        <v>0</v>
      </c>
      <c r="P84" s="23"/>
      <c r="Q84" s="22" t="s">
        <v>243</v>
      </c>
      <c r="R84" s="22"/>
      <c r="S84" s="22"/>
    </row>
    <row r="85" spans="1:19" ht="11.25" customHeight="1" x14ac:dyDescent="0.25">
      <c r="A85" s="22" t="s">
        <v>71</v>
      </c>
      <c r="B85" s="22"/>
      <c r="C85" s="22"/>
      <c r="D85" s="22"/>
      <c r="E85" s="22"/>
      <c r="F85" s="22"/>
      <c r="G85" s="22" t="s">
        <v>493</v>
      </c>
      <c r="H85" s="22"/>
      <c r="I85" s="22"/>
      <c r="J85" s="22"/>
      <c r="K85" s="22"/>
      <c r="L85" s="22"/>
      <c r="M85" s="22"/>
      <c r="N85" s="21" t="s">
        <v>216</v>
      </c>
      <c r="O85" s="23">
        <f>(Relatório!$O$138+Relatório!$O$140)*$O$48*Relatório!O119</f>
        <v>0</v>
      </c>
      <c r="P85" s="23"/>
      <c r="Q85" s="22" t="s">
        <v>244</v>
      </c>
      <c r="R85" s="22"/>
      <c r="S85" s="22"/>
    </row>
    <row r="86" spans="1:19" ht="11.25" customHeight="1" x14ac:dyDescent="0.25">
      <c r="A86" s="22" t="s">
        <v>72</v>
      </c>
      <c r="B86" s="22"/>
      <c r="C86" s="22"/>
      <c r="D86" s="22"/>
      <c r="E86" s="22"/>
      <c r="F86" s="22"/>
      <c r="G86" s="22" t="s">
        <v>494</v>
      </c>
      <c r="H86" s="22"/>
      <c r="I86" s="22"/>
      <c r="J86" s="22"/>
      <c r="K86" s="22"/>
      <c r="L86" s="22"/>
      <c r="M86" s="22"/>
      <c r="N86" s="21" t="s">
        <v>217</v>
      </c>
      <c r="O86" s="23">
        <f>(Relatório!$O$141+Relatório!$O$143)*$O$49*Relatório!O119</f>
        <v>0</v>
      </c>
      <c r="P86" s="23"/>
      <c r="Q86" s="22" t="s">
        <v>244</v>
      </c>
      <c r="R86" s="22"/>
      <c r="S86" s="22"/>
    </row>
    <row r="87" spans="1:19" ht="11.25" customHeight="1" x14ac:dyDescent="0.25">
      <c r="A87" s="22" t="s">
        <v>232</v>
      </c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1" t="s">
        <v>215</v>
      </c>
      <c r="O87" s="23">
        <f>IF(Relatório!R207="Sim",O85+O86,0)</f>
        <v>0</v>
      </c>
      <c r="P87" s="23"/>
      <c r="Q87" s="22" t="s">
        <v>244</v>
      </c>
      <c r="R87" s="22"/>
      <c r="S87" s="22"/>
    </row>
    <row r="88" spans="1:19" ht="11.25" customHeight="1" x14ac:dyDescent="0.25">
      <c r="A88" s="22" t="s">
        <v>71</v>
      </c>
      <c r="B88" s="22"/>
      <c r="C88" s="22"/>
      <c r="D88" s="22"/>
      <c r="E88" s="22"/>
      <c r="F88" s="22"/>
      <c r="G88" s="22" t="s">
        <v>495</v>
      </c>
      <c r="H88" s="22"/>
      <c r="I88" s="22"/>
      <c r="J88" s="22"/>
      <c r="K88" s="22"/>
      <c r="L88" s="22"/>
      <c r="M88" s="22"/>
      <c r="N88" s="21" t="s">
        <v>235</v>
      </c>
      <c r="O88" s="23">
        <f>(Relatório!$O$138+Relatório!$O$140)*$O$54*Relatório!O120</f>
        <v>0</v>
      </c>
      <c r="P88" s="23"/>
      <c r="Q88" s="22" t="s">
        <v>246</v>
      </c>
      <c r="R88" s="22"/>
      <c r="S88" s="22"/>
    </row>
    <row r="89" spans="1:19" ht="11.25" customHeight="1" x14ac:dyDescent="0.25">
      <c r="A89" s="22" t="s">
        <v>72</v>
      </c>
      <c r="B89" s="22"/>
      <c r="C89" s="22"/>
      <c r="D89" s="22"/>
      <c r="E89" s="22"/>
      <c r="F89" s="22"/>
      <c r="G89" s="22" t="s">
        <v>499</v>
      </c>
      <c r="H89" s="22"/>
      <c r="I89" s="22"/>
      <c r="J89" s="22"/>
      <c r="K89" s="22"/>
      <c r="L89" s="22"/>
      <c r="M89" s="22"/>
      <c r="N89" s="21" t="s">
        <v>460</v>
      </c>
      <c r="O89" s="23">
        <f>(Relatório!$O$141+Relatório!$O$143)*$O$55*Relatório!O120</f>
        <v>0</v>
      </c>
      <c r="P89" s="23"/>
      <c r="Q89" s="22" t="s">
        <v>246</v>
      </c>
      <c r="R89" s="22"/>
      <c r="S89" s="22"/>
    </row>
    <row r="90" spans="1:19" ht="11.25" customHeight="1" x14ac:dyDescent="0.25">
      <c r="A90" s="22" t="s">
        <v>464</v>
      </c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1" t="s">
        <v>220</v>
      </c>
      <c r="O90" s="23">
        <f>O88+O89</f>
        <v>0</v>
      </c>
      <c r="P90" s="23"/>
      <c r="Q90" s="22" t="s">
        <v>246</v>
      </c>
      <c r="R90" s="22"/>
      <c r="S90" s="22"/>
    </row>
    <row r="91" spans="1:19" ht="11.25" customHeight="1" x14ac:dyDescent="0.25">
      <c r="A91" s="22" t="s">
        <v>71</v>
      </c>
      <c r="B91" s="22"/>
      <c r="C91" s="22"/>
      <c r="D91" s="22"/>
      <c r="E91" s="22"/>
      <c r="F91" s="22"/>
      <c r="G91" s="22" t="s">
        <v>496</v>
      </c>
      <c r="H91" s="22"/>
      <c r="I91" s="22"/>
      <c r="J91" s="22"/>
      <c r="K91" s="22"/>
      <c r="L91" s="22"/>
      <c r="M91" s="22"/>
      <c r="N91" s="21" t="s">
        <v>221</v>
      </c>
      <c r="O91" s="23">
        <f>(Relatório!$O$138+Relatório!$O$140)*$O$50*Relatório!O121</f>
        <v>0</v>
      </c>
      <c r="P91" s="23"/>
      <c r="Q91" s="22" t="s">
        <v>247</v>
      </c>
      <c r="R91" s="22"/>
      <c r="S91" s="22"/>
    </row>
    <row r="92" spans="1:19" ht="11.25" customHeight="1" x14ac:dyDescent="0.25">
      <c r="A92" s="22" t="s">
        <v>72</v>
      </c>
      <c r="B92" s="22"/>
      <c r="C92" s="22"/>
      <c r="D92" s="22"/>
      <c r="E92" s="22"/>
      <c r="F92" s="22"/>
      <c r="G92" s="22" t="s">
        <v>498</v>
      </c>
      <c r="H92" s="22"/>
      <c r="I92" s="22"/>
      <c r="J92" s="22"/>
      <c r="K92" s="22"/>
      <c r="L92" s="22"/>
      <c r="M92" s="22"/>
      <c r="N92" s="21" t="s">
        <v>222</v>
      </c>
      <c r="O92" s="23">
        <f>(Relatório!$O$141+Relatório!$O$143)*$O$51*Relatório!O121</f>
        <v>0</v>
      </c>
      <c r="P92" s="23"/>
      <c r="Q92" s="22" t="s">
        <v>247</v>
      </c>
      <c r="R92" s="22"/>
      <c r="S92" s="22"/>
    </row>
    <row r="93" spans="1:19" ht="11.25" customHeight="1" x14ac:dyDescent="0.25">
      <c r="A93" s="22" t="s">
        <v>473</v>
      </c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1" t="s">
        <v>223</v>
      </c>
      <c r="O93" s="23">
        <f>IF($R$24="Sim",O91+O92,0)</f>
        <v>0</v>
      </c>
      <c r="P93" s="23"/>
      <c r="Q93" s="22" t="s">
        <v>247</v>
      </c>
      <c r="R93" s="22"/>
      <c r="S93" s="22"/>
    </row>
    <row r="94" spans="1:19" ht="11.25" customHeight="1" x14ac:dyDescent="0.25">
      <c r="A94" s="22" t="s">
        <v>71</v>
      </c>
      <c r="B94" s="22"/>
      <c r="C94" s="22"/>
      <c r="D94" s="22"/>
      <c r="E94" s="22"/>
      <c r="F94" s="22"/>
      <c r="G94" s="22" t="s">
        <v>502</v>
      </c>
      <c r="H94" s="22"/>
      <c r="I94" s="22"/>
      <c r="J94" s="22"/>
      <c r="K94" s="22"/>
      <c r="L94" s="22"/>
      <c r="M94" s="22"/>
      <c r="N94" s="21" t="s">
        <v>224</v>
      </c>
      <c r="O94" s="23">
        <f>Relatório!$O$139*$O$52*Relatório!O121</f>
        <v>0</v>
      </c>
      <c r="P94" s="23"/>
      <c r="Q94" s="22" t="s">
        <v>248</v>
      </c>
      <c r="R94" s="22"/>
      <c r="S94" s="22"/>
    </row>
    <row r="95" spans="1:19" ht="11.25" customHeight="1" x14ac:dyDescent="0.25">
      <c r="A95" s="22" t="s">
        <v>72</v>
      </c>
      <c r="B95" s="22"/>
      <c r="C95" s="22"/>
      <c r="D95" s="22"/>
      <c r="E95" s="22"/>
      <c r="F95" s="22"/>
      <c r="G95" s="22" t="s">
        <v>503</v>
      </c>
      <c r="H95" s="22"/>
      <c r="I95" s="22"/>
      <c r="J95" s="22"/>
      <c r="K95" s="22"/>
      <c r="L95" s="22"/>
      <c r="M95" s="22"/>
      <c r="N95" s="21" t="s">
        <v>225</v>
      </c>
      <c r="O95" s="23">
        <f>Relatório!$O$142*$O$53*Relatório!O121</f>
        <v>0</v>
      </c>
      <c r="P95" s="23"/>
      <c r="Q95" s="22" t="s">
        <v>248</v>
      </c>
      <c r="R95" s="22"/>
      <c r="S95" s="22"/>
    </row>
    <row r="96" spans="1:19" ht="11.25" customHeight="1" x14ac:dyDescent="0.25">
      <c r="A96" s="22" t="s">
        <v>474</v>
      </c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1" t="s">
        <v>226</v>
      </c>
      <c r="O96" s="23">
        <f>IF($R$24="Sim",O94+O95,0)</f>
        <v>0</v>
      </c>
      <c r="P96" s="23"/>
      <c r="Q96" s="22" t="s">
        <v>248</v>
      </c>
      <c r="R96" s="22"/>
      <c r="S96" s="22"/>
    </row>
  </sheetData>
  <mergeCells count="272">
    <mergeCell ref="A1:S1"/>
    <mergeCell ref="A2:D2"/>
    <mergeCell ref="E2:S2"/>
    <mergeCell ref="A3:D3"/>
    <mergeCell ref="E3:S3"/>
    <mergeCell ref="A96:M96"/>
    <mergeCell ref="O96:P96"/>
    <mergeCell ref="Q96:S96"/>
    <mergeCell ref="A94:F94"/>
    <mergeCell ref="G94:M94"/>
    <mergeCell ref="O94:P94"/>
    <mergeCell ref="Q94:S94"/>
    <mergeCell ref="A95:F95"/>
    <mergeCell ref="G95:M95"/>
    <mergeCell ref="O95:P95"/>
    <mergeCell ref="Q95:S95"/>
    <mergeCell ref="A92:F92"/>
    <mergeCell ref="G92:M92"/>
    <mergeCell ref="O92:P92"/>
    <mergeCell ref="Q92:S92"/>
    <mergeCell ref="A93:M93"/>
    <mergeCell ref="O93:P93"/>
    <mergeCell ref="Q93:S93"/>
    <mergeCell ref="A90:M90"/>
    <mergeCell ref="O90:P90"/>
    <mergeCell ref="Q90:S90"/>
    <mergeCell ref="A91:F91"/>
    <mergeCell ref="G91:M91"/>
    <mergeCell ref="O91:P91"/>
    <mergeCell ref="Q91:S91"/>
    <mergeCell ref="A88:F88"/>
    <mergeCell ref="G88:M88"/>
    <mergeCell ref="O88:P88"/>
    <mergeCell ref="Q88:S88"/>
    <mergeCell ref="A89:F89"/>
    <mergeCell ref="G89:M89"/>
    <mergeCell ref="O89:P89"/>
    <mergeCell ref="Q89:S89"/>
    <mergeCell ref="A86:F86"/>
    <mergeCell ref="G86:M86"/>
    <mergeCell ref="O86:P86"/>
    <mergeCell ref="Q86:S86"/>
    <mergeCell ref="A87:M87"/>
    <mergeCell ref="O87:P87"/>
    <mergeCell ref="Q87:S87"/>
    <mergeCell ref="A84:M84"/>
    <mergeCell ref="O84:P84"/>
    <mergeCell ref="Q84:S84"/>
    <mergeCell ref="A85:F85"/>
    <mergeCell ref="G85:M85"/>
    <mergeCell ref="O85:P85"/>
    <mergeCell ref="Q85:S85"/>
    <mergeCell ref="A82:M82"/>
    <mergeCell ref="O82:P82"/>
    <mergeCell ref="Q82:S82"/>
    <mergeCell ref="A83:M83"/>
    <mergeCell ref="O83:P83"/>
    <mergeCell ref="Q83:S83"/>
    <mergeCell ref="A81:M81"/>
    <mergeCell ref="O81:P81"/>
    <mergeCell ref="Q81:S81"/>
    <mergeCell ref="A8:S8"/>
    <mergeCell ref="A79:S79"/>
    <mergeCell ref="N24:S24"/>
    <mergeCell ref="A28:E28"/>
    <mergeCell ref="G28:H28"/>
    <mergeCell ref="I28:K28"/>
    <mergeCell ref="L28:M28"/>
    <mergeCell ref="N28:S28"/>
    <mergeCell ref="A27:E27"/>
    <mergeCell ref="G27:H27"/>
    <mergeCell ref="I27:K27"/>
    <mergeCell ref="L27:M27"/>
    <mergeCell ref="N27:S27"/>
    <mergeCell ref="A26:E26"/>
    <mergeCell ref="G26:H26"/>
    <mergeCell ref="I26:K26"/>
    <mergeCell ref="L26:M26"/>
    <mergeCell ref="N26:S26"/>
    <mergeCell ref="N25:S25"/>
    <mergeCell ref="A23:S23"/>
    <mergeCell ref="A24:E24"/>
    <mergeCell ref="O9:P9"/>
    <mergeCell ref="O11:P11"/>
    <mergeCell ref="Q11:S11"/>
    <mergeCell ref="A80:M80"/>
    <mergeCell ref="O80:P80"/>
    <mergeCell ref="Q80:S80"/>
    <mergeCell ref="G13:M13"/>
    <mergeCell ref="G15:M15"/>
    <mergeCell ref="G14:M14"/>
    <mergeCell ref="O17:P17"/>
    <mergeCell ref="Q17:S17"/>
    <mergeCell ref="O18:P18"/>
    <mergeCell ref="Q18:S18"/>
    <mergeCell ref="O14:P14"/>
    <mergeCell ref="Q14:S14"/>
    <mergeCell ref="O13:P13"/>
    <mergeCell ref="Q13:S13"/>
    <mergeCell ref="O15:P15"/>
    <mergeCell ref="Q15:S15"/>
    <mergeCell ref="O16:P16"/>
    <mergeCell ref="Q16:S16"/>
    <mergeCell ref="A14:F14"/>
    <mergeCell ref="A76:F76"/>
    <mergeCell ref="A72:F72"/>
    <mergeCell ref="A46:F47"/>
    <mergeCell ref="G46:H46"/>
    <mergeCell ref="I46:M46"/>
    <mergeCell ref="O10:P10"/>
    <mergeCell ref="Q10:S10"/>
    <mergeCell ref="O12:P12"/>
    <mergeCell ref="Q12:S12"/>
    <mergeCell ref="Q9:S9"/>
    <mergeCell ref="G9:M9"/>
    <mergeCell ref="G10:M10"/>
    <mergeCell ref="G11:M11"/>
    <mergeCell ref="G12:M12"/>
    <mergeCell ref="A42:H42"/>
    <mergeCell ref="I42:M42"/>
    <mergeCell ref="G16:M16"/>
    <mergeCell ref="G17:M17"/>
    <mergeCell ref="G18:M18"/>
    <mergeCell ref="A25:E25"/>
    <mergeCell ref="G25:H25"/>
    <mergeCell ref="I25:K25"/>
    <mergeCell ref="L25:M25"/>
    <mergeCell ref="G24:H24"/>
    <mergeCell ref="I24:K24"/>
    <mergeCell ref="L24:M24"/>
    <mergeCell ref="G76:M76"/>
    <mergeCell ref="O76:P76"/>
    <mergeCell ref="Q76:S76"/>
    <mergeCell ref="A77:M77"/>
    <mergeCell ref="O77:P77"/>
    <mergeCell ref="Q77:S77"/>
    <mergeCell ref="A74:M74"/>
    <mergeCell ref="O74:P74"/>
    <mergeCell ref="Q74:S74"/>
    <mergeCell ref="A75:F75"/>
    <mergeCell ref="G75:M75"/>
    <mergeCell ref="O75:P75"/>
    <mergeCell ref="Q75:S75"/>
    <mergeCell ref="G72:M72"/>
    <mergeCell ref="O72:P72"/>
    <mergeCell ref="Q72:S72"/>
    <mergeCell ref="A73:F73"/>
    <mergeCell ref="G73:M73"/>
    <mergeCell ref="O73:P73"/>
    <mergeCell ref="Q73:S73"/>
    <mergeCell ref="A70:F70"/>
    <mergeCell ref="G70:M70"/>
    <mergeCell ref="O70:P70"/>
    <mergeCell ref="Q70:S70"/>
    <mergeCell ref="A71:M71"/>
    <mergeCell ref="O71:P71"/>
    <mergeCell ref="Q71:S71"/>
    <mergeCell ref="O68:P68"/>
    <mergeCell ref="Q68:S68"/>
    <mergeCell ref="A69:F69"/>
    <mergeCell ref="G69:M69"/>
    <mergeCell ref="O69:P69"/>
    <mergeCell ref="Q69:S69"/>
    <mergeCell ref="A66:F66"/>
    <mergeCell ref="G66:M66"/>
    <mergeCell ref="O66:P66"/>
    <mergeCell ref="Q66:S66"/>
    <mergeCell ref="A67:F67"/>
    <mergeCell ref="G67:M67"/>
    <mergeCell ref="O67:P67"/>
    <mergeCell ref="Q67:S67"/>
    <mergeCell ref="A68:M68"/>
    <mergeCell ref="O64:P64"/>
    <mergeCell ref="Q64:S64"/>
    <mergeCell ref="A65:M65"/>
    <mergeCell ref="O65:P65"/>
    <mergeCell ref="Q65:S65"/>
    <mergeCell ref="A62:M62"/>
    <mergeCell ref="O62:P62"/>
    <mergeCell ref="Q62:S62"/>
    <mergeCell ref="A63:M63"/>
    <mergeCell ref="O63:P63"/>
    <mergeCell ref="Q63:S63"/>
    <mergeCell ref="A64:M64"/>
    <mergeCell ref="O58:P58"/>
    <mergeCell ref="Q58:S58"/>
    <mergeCell ref="A60:S60"/>
    <mergeCell ref="A61:M61"/>
    <mergeCell ref="O61:P61"/>
    <mergeCell ref="Q61:S61"/>
    <mergeCell ref="A56:F56"/>
    <mergeCell ref="G56:M56"/>
    <mergeCell ref="O56:P56"/>
    <mergeCell ref="Q56:S56"/>
    <mergeCell ref="A57:F57"/>
    <mergeCell ref="G57:M57"/>
    <mergeCell ref="O57:P57"/>
    <mergeCell ref="Q57:S57"/>
    <mergeCell ref="A58:M58"/>
    <mergeCell ref="O54:P54"/>
    <mergeCell ref="Q54:S54"/>
    <mergeCell ref="G55:H55"/>
    <mergeCell ref="I55:M55"/>
    <mergeCell ref="O55:P55"/>
    <mergeCell ref="Q55:S55"/>
    <mergeCell ref="A52:F53"/>
    <mergeCell ref="G52:H52"/>
    <mergeCell ref="I52:M52"/>
    <mergeCell ref="O52:P52"/>
    <mergeCell ref="Q52:S52"/>
    <mergeCell ref="G53:H53"/>
    <mergeCell ref="I53:M53"/>
    <mergeCell ref="O53:P53"/>
    <mergeCell ref="Q53:S53"/>
    <mergeCell ref="A54:F55"/>
    <mergeCell ref="G54:H54"/>
    <mergeCell ref="I54:M54"/>
    <mergeCell ref="O50:P50"/>
    <mergeCell ref="Q50:S50"/>
    <mergeCell ref="G51:H51"/>
    <mergeCell ref="I51:M51"/>
    <mergeCell ref="O51:P51"/>
    <mergeCell ref="Q51:S51"/>
    <mergeCell ref="A48:F49"/>
    <mergeCell ref="G48:H48"/>
    <mergeCell ref="I48:M48"/>
    <mergeCell ref="O48:P48"/>
    <mergeCell ref="Q48:S48"/>
    <mergeCell ref="G49:H49"/>
    <mergeCell ref="I49:M49"/>
    <mergeCell ref="O49:P49"/>
    <mergeCell ref="Q49:S49"/>
    <mergeCell ref="A50:F51"/>
    <mergeCell ref="G50:H50"/>
    <mergeCell ref="I50:M50"/>
    <mergeCell ref="O46:P46"/>
    <mergeCell ref="Q46:S46"/>
    <mergeCell ref="G47:H47"/>
    <mergeCell ref="I47:M47"/>
    <mergeCell ref="O47:P47"/>
    <mergeCell ref="Q47:S47"/>
    <mergeCell ref="I44:M44"/>
    <mergeCell ref="O44:P44"/>
    <mergeCell ref="Q44:S44"/>
    <mergeCell ref="G45:H45"/>
    <mergeCell ref="I45:M45"/>
    <mergeCell ref="O45:P45"/>
    <mergeCell ref="Q45:S45"/>
    <mergeCell ref="A9:F9"/>
    <mergeCell ref="A10:F10"/>
    <mergeCell ref="A11:F11"/>
    <mergeCell ref="A12:F12"/>
    <mergeCell ref="O42:P42"/>
    <mergeCell ref="Q42:S42"/>
    <mergeCell ref="A43:F45"/>
    <mergeCell ref="G43:H43"/>
    <mergeCell ref="I43:M43"/>
    <mergeCell ref="O43:P43"/>
    <mergeCell ref="Q43:S43"/>
    <mergeCell ref="G44:H44"/>
    <mergeCell ref="A40:S40"/>
    <mergeCell ref="A41:H41"/>
    <mergeCell ref="I41:M41"/>
    <mergeCell ref="O41:P41"/>
    <mergeCell ref="Q41:S41"/>
    <mergeCell ref="A13:F13"/>
    <mergeCell ref="A15:B16"/>
    <mergeCell ref="A17:B18"/>
    <mergeCell ref="C15:F15"/>
    <mergeCell ref="C16:F16"/>
    <mergeCell ref="C17:F17"/>
    <mergeCell ref="C18:F18"/>
  </mergeCells>
  <conditionalFormatting sqref="G25:H25">
    <cfRule type="cellIs" dxfId="3" priority="5" operator="greaterThan">
      <formula>$L$25</formula>
    </cfRule>
  </conditionalFormatting>
  <conditionalFormatting sqref="G26:H26">
    <cfRule type="cellIs" dxfId="2" priority="4" operator="greaterThan">
      <formula>$L$190</formula>
    </cfRule>
  </conditionalFormatting>
  <conditionalFormatting sqref="G27:H27">
    <cfRule type="cellIs" dxfId="1" priority="3" operator="greaterThan">
      <formula>$L$191</formula>
    </cfRule>
  </conditionalFormatting>
  <conditionalFormatting sqref="G28:H28">
    <cfRule type="cellIs" dxfId="0" priority="2" operator="greaterThan">
      <formula>$L$28</formula>
    </cfRule>
  </conditionalFormatting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portrait" horizontalDpi="1200" verticalDpi="1200" r:id="rId1"/>
  <headerFooter>
    <oddHeader>&amp;C&amp;"-,Negrito"ANÁLISE DE RISCO PDA</oddHeader>
    <oddFooter>&amp;LSolução&amp;R&amp;P/&amp;N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7">
        <x14:dataValidation type="list" allowBlank="1" showInputMessage="1" showErrorMessage="1">
          <x14:formula1>
            <xm:f>Dados!$M$3:$M$7</xm:f>
          </x14:formula1>
          <xm:sqref>G11:M11</xm:sqref>
        </x14:dataValidation>
        <x14:dataValidation type="list" allowBlank="1" showInputMessage="1" showErrorMessage="1">
          <x14:formula1>
            <xm:f>Dados!$AC$3:$AC$6</xm:f>
          </x14:formula1>
          <xm:sqref>G12:M12</xm:sqref>
        </x14:dataValidation>
        <x14:dataValidation type="list" allowBlank="1" showInputMessage="1" showErrorMessage="1">
          <x14:formula1>
            <xm:f>Dados!$BF$3:$BF$5</xm:f>
          </x14:formula1>
          <xm:sqref>G13:M13</xm:sqref>
        </x14:dataValidation>
        <x14:dataValidation type="list" allowBlank="1" showInputMessage="1" showErrorMessage="1">
          <x14:formula1>
            <xm:f>Dados!$AF$3:$AF$7</xm:f>
          </x14:formula1>
          <xm:sqref>G14:M14</xm:sqref>
        </x14:dataValidation>
        <x14:dataValidation type="list" allowBlank="1" showInputMessage="1" showErrorMessage="1">
          <x14:formula1>
            <xm:f>Dados!$Z$3:$Z$6</xm:f>
          </x14:formula1>
          <xm:sqref>G15:M15 G17:M17</xm:sqref>
        </x14:dataValidation>
        <x14:dataValidation type="list" allowBlank="1" showInputMessage="1" showErrorMessage="1">
          <x14:formula1>
            <xm:f>Dados!$S$3:$S$7</xm:f>
          </x14:formula1>
          <xm:sqref>G16:M16 G18:M18</xm:sqref>
        </x14:dataValidation>
        <x14:dataValidation type="list" allowBlank="1" showInputMessage="1" showErrorMessage="1">
          <x14:formula1>
            <xm:f>Dados!$P$2:$P$8</xm:f>
          </x14:formula1>
          <xm:sqref>G10:M10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2"/>
  <sheetViews>
    <sheetView topLeftCell="Q1" workbookViewId="0">
      <selection activeCell="AG3" sqref="AG3"/>
    </sheetView>
  </sheetViews>
  <sheetFormatPr defaultRowHeight="15" x14ac:dyDescent="0.25"/>
  <cols>
    <col min="1" max="1" width="19.28515625" style="4" customWidth="1"/>
    <col min="2" max="3" width="9.140625" style="4"/>
    <col min="4" max="4" width="21.85546875" style="4" customWidth="1"/>
    <col min="5" max="6" width="9.140625" style="4"/>
    <col min="7" max="7" width="21.28515625" style="4" customWidth="1"/>
    <col min="8" max="9" width="9.140625" style="4"/>
    <col min="10" max="10" width="16.7109375" style="4" customWidth="1"/>
    <col min="11" max="12" width="9.140625" style="4"/>
    <col min="13" max="13" width="25.28515625" style="4" customWidth="1"/>
    <col min="14" max="14" width="8" style="4" customWidth="1"/>
    <col min="15" max="15" width="9.140625" style="4"/>
    <col min="16" max="16" width="26.5703125" style="4" customWidth="1"/>
    <col min="17" max="18" width="9.140625" style="4"/>
    <col min="19" max="19" width="21.140625" style="4" customWidth="1"/>
    <col min="20" max="21" width="9.140625" style="4"/>
    <col min="22" max="22" width="20.7109375" style="4" customWidth="1"/>
    <col min="23" max="25" width="9.140625" style="4"/>
    <col min="26" max="26" width="18.28515625" style="4" customWidth="1"/>
    <col min="27" max="28" width="9.140625" style="4"/>
    <col min="29" max="29" width="21.7109375" style="4" customWidth="1"/>
    <col min="30" max="34" width="9.140625" style="4"/>
    <col min="35" max="35" width="20.42578125" style="4" customWidth="1"/>
    <col min="36" max="40" width="9.140625" style="4"/>
    <col min="41" max="42" width="11.28515625" style="4" customWidth="1"/>
    <col min="43" max="51" width="9.140625" style="4"/>
    <col min="52" max="52" width="16.7109375" style="4" bestFit="1" customWidth="1"/>
    <col min="53" max="57" width="9.140625" style="4"/>
    <col min="58" max="58" width="16.140625" style="4" customWidth="1"/>
    <col min="59" max="59" width="5.85546875" style="4" customWidth="1"/>
    <col min="60" max="60" width="9.140625" style="4"/>
    <col min="61" max="61" width="26.7109375" style="4" customWidth="1"/>
    <col min="62" max="62" width="7.85546875" style="4" customWidth="1"/>
    <col min="63" max="63" width="9.140625" style="4"/>
    <col min="64" max="64" width="18.5703125" style="5" customWidth="1"/>
    <col min="65" max="66" width="9.140625" style="4"/>
    <col min="67" max="67" width="12.42578125" style="4" bestFit="1" customWidth="1"/>
    <col min="68" max="16384" width="9.140625" style="4"/>
  </cols>
  <sheetData>
    <row r="1" spans="1:75" ht="61.5" customHeight="1" x14ac:dyDescent="0.25">
      <c r="A1" s="34" t="s">
        <v>261</v>
      </c>
      <c r="B1" s="34"/>
      <c r="D1" s="6" t="s">
        <v>255</v>
      </c>
      <c r="E1" s="7"/>
      <c r="G1" s="35" t="s">
        <v>262</v>
      </c>
      <c r="H1" s="36"/>
      <c r="J1" s="34" t="s">
        <v>267</v>
      </c>
      <c r="K1" s="34"/>
      <c r="M1" s="33" t="s">
        <v>273</v>
      </c>
      <c r="N1" s="33"/>
      <c r="P1" s="33" t="s">
        <v>281</v>
      </c>
      <c r="Q1" s="33"/>
      <c r="S1" s="33" t="s">
        <v>289</v>
      </c>
      <c r="T1" s="33"/>
      <c r="V1" s="33" t="s">
        <v>297</v>
      </c>
      <c r="W1" s="33"/>
      <c r="X1" s="33"/>
      <c r="Z1" s="33" t="s">
        <v>310</v>
      </c>
      <c r="AA1" s="33"/>
      <c r="AC1" s="33" t="s">
        <v>317</v>
      </c>
      <c r="AD1" s="33"/>
      <c r="AF1" s="33" t="s">
        <v>515</v>
      </c>
      <c r="AG1" s="33"/>
      <c r="AI1" s="37" t="s">
        <v>324</v>
      </c>
      <c r="AJ1" s="38"/>
      <c r="AK1" s="38"/>
      <c r="AL1" s="38"/>
      <c r="AM1" s="38"/>
      <c r="AN1" s="38"/>
      <c r="AO1" s="39"/>
      <c r="AP1" s="11"/>
      <c r="AR1" s="37" t="s">
        <v>331</v>
      </c>
      <c r="AS1" s="38"/>
      <c r="AT1" s="38"/>
      <c r="AU1" s="38"/>
      <c r="AV1" s="38"/>
      <c r="AW1" s="39"/>
      <c r="AY1" s="37" t="s">
        <v>336</v>
      </c>
      <c r="AZ1" s="38"/>
      <c r="BA1" s="39"/>
      <c r="BC1" s="37" t="s">
        <v>346</v>
      </c>
      <c r="BD1" s="39"/>
      <c r="BF1" s="33" t="s">
        <v>352</v>
      </c>
      <c r="BG1" s="33"/>
      <c r="BI1" s="33" t="s">
        <v>357</v>
      </c>
      <c r="BJ1" s="33"/>
      <c r="BL1" s="33" t="s">
        <v>366</v>
      </c>
      <c r="BM1" s="33"/>
      <c r="BO1" s="33" t="s">
        <v>372</v>
      </c>
      <c r="BP1" s="33"/>
      <c r="BR1" s="33" t="s">
        <v>384</v>
      </c>
      <c r="BS1" s="33"/>
      <c r="BU1" s="33" t="s">
        <v>417</v>
      </c>
      <c r="BV1" s="33"/>
      <c r="BW1" s="33"/>
    </row>
    <row r="2" spans="1:75" ht="30" customHeight="1" x14ac:dyDescent="0.25">
      <c r="A2" s="9" t="s">
        <v>249</v>
      </c>
      <c r="B2" s="7" t="s">
        <v>250</v>
      </c>
      <c r="D2" s="9" t="s">
        <v>259</v>
      </c>
      <c r="E2" s="7" t="s">
        <v>260</v>
      </c>
      <c r="G2" s="7" t="s">
        <v>263</v>
      </c>
      <c r="H2" s="7" t="s">
        <v>264</v>
      </c>
      <c r="J2" s="7" t="s">
        <v>268</v>
      </c>
      <c r="K2" s="7" t="s">
        <v>269</v>
      </c>
      <c r="M2" s="7" t="s">
        <v>274</v>
      </c>
      <c r="N2" s="7" t="s">
        <v>275</v>
      </c>
      <c r="P2" s="7" t="s">
        <v>282</v>
      </c>
      <c r="Q2" s="7">
        <v>1</v>
      </c>
      <c r="S2" s="7" t="s">
        <v>290</v>
      </c>
      <c r="T2" s="7" t="s">
        <v>291</v>
      </c>
      <c r="V2" s="7" t="s">
        <v>298</v>
      </c>
      <c r="W2" s="7" t="s">
        <v>299</v>
      </c>
      <c r="X2" s="7" t="s">
        <v>300</v>
      </c>
      <c r="Z2" s="7" t="s">
        <v>311</v>
      </c>
      <c r="AA2" s="7" t="s">
        <v>312</v>
      </c>
      <c r="AC2" s="7" t="s">
        <v>318</v>
      </c>
      <c r="AD2" s="7" t="s">
        <v>319</v>
      </c>
      <c r="AF2" s="7" t="s">
        <v>290</v>
      </c>
      <c r="AG2" s="7" t="s">
        <v>83</v>
      </c>
      <c r="AI2" s="34" t="s">
        <v>329</v>
      </c>
      <c r="AJ2" s="34" t="s">
        <v>330</v>
      </c>
      <c r="AK2" s="34"/>
      <c r="AL2" s="34"/>
      <c r="AM2" s="34"/>
      <c r="AN2" s="34"/>
      <c r="AO2" s="7" t="s">
        <v>387</v>
      </c>
      <c r="AP2" s="12"/>
      <c r="AR2" s="40" t="s">
        <v>332</v>
      </c>
      <c r="AS2" s="35" t="s">
        <v>330</v>
      </c>
      <c r="AT2" s="42"/>
      <c r="AU2" s="42"/>
      <c r="AV2" s="42"/>
      <c r="AW2" s="36"/>
      <c r="AY2" s="7" t="s">
        <v>94</v>
      </c>
      <c r="AZ2" s="6" t="s">
        <v>335</v>
      </c>
      <c r="BA2" s="7">
        <v>0.01</v>
      </c>
      <c r="BC2" s="6" t="s">
        <v>347</v>
      </c>
      <c r="BD2" s="7" t="s">
        <v>77</v>
      </c>
      <c r="BF2" s="6" t="s">
        <v>353</v>
      </c>
      <c r="BG2" s="7" t="s">
        <v>82</v>
      </c>
      <c r="BI2" s="7" t="s">
        <v>358</v>
      </c>
      <c r="BJ2" s="7" t="s">
        <v>81</v>
      </c>
      <c r="BL2" s="6" t="s">
        <v>76</v>
      </c>
      <c r="BM2" s="7" t="s">
        <v>85</v>
      </c>
      <c r="BO2" s="7" t="s">
        <v>373</v>
      </c>
      <c r="BP2" s="7" t="s">
        <v>376</v>
      </c>
      <c r="BR2" s="7" t="s">
        <v>385</v>
      </c>
      <c r="BS2" s="7">
        <v>0.1</v>
      </c>
      <c r="BU2" s="13" t="s">
        <v>94</v>
      </c>
      <c r="BV2" s="13" t="s">
        <v>418</v>
      </c>
      <c r="BW2" s="13">
        <v>0.01</v>
      </c>
    </row>
    <row r="3" spans="1:75" ht="45" x14ac:dyDescent="0.25">
      <c r="A3" s="6" t="s">
        <v>251</v>
      </c>
      <c r="B3" s="7">
        <v>0.25</v>
      </c>
      <c r="D3" s="6" t="s">
        <v>256</v>
      </c>
      <c r="E3" s="7">
        <v>1</v>
      </c>
      <c r="G3" s="8" t="s">
        <v>265</v>
      </c>
      <c r="H3" s="7">
        <v>1</v>
      </c>
      <c r="J3" s="7" t="s">
        <v>270</v>
      </c>
      <c r="K3" s="7">
        <v>1</v>
      </c>
      <c r="M3" s="6" t="s">
        <v>276</v>
      </c>
      <c r="N3" s="10">
        <v>1</v>
      </c>
      <c r="P3" s="6" t="s">
        <v>283</v>
      </c>
      <c r="Q3" s="7">
        <v>0.02</v>
      </c>
      <c r="S3" s="6" t="s">
        <v>292</v>
      </c>
      <c r="T3" s="7">
        <v>1</v>
      </c>
      <c r="V3" s="6" t="s">
        <v>301</v>
      </c>
      <c r="W3" s="7">
        <v>1</v>
      </c>
      <c r="X3" s="7">
        <v>1</v>
      </c>
      <c r="Z3" s="6" t="s">
        <v>313</v>
      </c>
      <c r="AA3" s="7">
        <v>1</v>
      </c>
      <c r="AC3" s="7" t="s">
        <v>276</v>
      </c>
      <c r="AD3" s="7">
        <v>1</v>
      </c>
      <c r="AF3" s="7" t="s">
        <v>323</v>
      </c>
      <c r="AG3" s="7">
        <v>1</v>
      </c>
      <c r="AI3" s="34"/>
      <c r="AJ3" s="7">
        <v>1</v>
      </c>
      <c r="AK3" s="7">
        <v>1.5</v>
      </c>
      <c r="AL3" s="7">
        <v>2.5</v>
      </c>
      <c r="AM3" s="7">
        <v>4</v>
      </c>
      <c r="AN3" s="7">
        <v>6</v>
      </c>
      <c r="AO3" s="7"/>
      <c r="AP3" s="12"/>
      <c r="AR3" s="41"/>
      <c r="AS3" s="7">
        <v>1</v>
      </c>
      <c r="AT3" s="7">
        <v>1.5</v>
      </c>
      <c r="AU3" s="7">
        <v>2.5</v>
      </c>
      <c r="AV3" s="7">
        <v>4</v>
      </c>
      <c r="AW3" s="7">
        <v>6</v>
      </c>
      <c r="AY3" s="34" t="s">
        <v>337</v>
      </c>
      <c r="AZ3" s="6" t="s">
        <v>338</v>
      </c>
      <c r="BA3" s="7">
        <v>0.1</v>
      </c>
      <c r="BC3" s="6" t="s">
        <v>348</v>
      </c>
      <c r="BD3" s="7">
        <v>0.01</v>
      </c>
      <c r="BF3" s="6" t="s">
        <v>354</v>
      </c>
      <c r="BG3" s="7">
        <v>1</v>
      </c>
      <c r="BI3" s="6" t="s">
        <v>359</v>
      </c>
      <c r="BJ3" s="7">
        <v>1</v>
      </c>
      <c r="BL3" s="6" t="s">
        <v>367</v>
      </c>
      <c r="BM3" s="7">
        <v>1</v>
      </c>
      <c r="BO3" s="6" t="s">
        <v>374</v>
      </c>
      <c r="BP3" s="7">
        <v>0.1</v>
      </c>
      <c r="BR3" s="7" t="s">
        <v>377</v>
      </c>
      <c r="BS3" s="7">
        <v>0</v>
      </c>
      <c r="BU3" s="13" t="s">
        <v>94</v>
      </c>
      <c r="BV3" s="13" t="s">
        <v>377</v>
      </c>
      <c r="BW3" s="13">
        <v>0</v>
      </c>
    </row>
    <row r="4" spans="1:75" ht="135" x14ac:dyDescent="0.25">
      <c r="A4" s="6" t="s">
        <v>252</v>
      </c>
      <c r="B4" s="7">
        <v>0.5</v>
      </c>
      <c r="D4" s="6" t="s">
        <v>257</v>
      </c>
      <c r="E4" s="7">
        <v>0.5</v>
      </c>
      <c r="G4" s="8" t="s">
        <v>266</v>
      </c>
      <c r="H4" s="7">
        <v>0.2</v>
      </c>
      <c r="J4" s="7" t="s">
        <v>271</v>
      </c>
      <c r="K4" s="7">
        <v>0.5</v>
      </c>
      <c r="M4" s="6" t="s">
        <v>277</v>
      </c>
      <c r="N4" s="10">
        <v>0.1</v>
      </c>
      <c r="P4" s="6" t="s">
        <v>284</v>
      </c>
      <c r="Q4" s="7">
        <v>0.05</v>
      </c>
      <c r="S4" s="9" t="s">
        <v>293</v>
      </c>
      <c r="T4" s="7">
        <v>0.05</v>
      </c>
      <c r="V4" s="6" t="s">
        <v>302</v>
      </c>
      <c r="W4" s="7">
        <v>1</v>
      </c>
      <c r="X4" s="7">
        <v>1</v>
      </c>
      <c r="Z4" s="6" t="s">
        <v>314</v>
      </c>
      <c r="AA4" s="7">
        <v>0.2</v>
      </c>
      <c r="AC4" s="7" t="s">
        <v>320</v>
      </c>
      <c r="AD4" s="7">
        <v>0.1</v>
      </c>
      <c r="AF4" s="7" t="s">
        <v>293</v>
      </c>
      <c r="AG4" s="7">
        <v>0.05</v>
      </c>
      <c r="AI4" s="6" t="s">
        <v>325</v>
      </c>
      <c r="AJ4" s="7">
        <v>1</v>
      </c>
      <c r="AK4" s="7">
        <v>1</v>
      </c>
      <c r="AL4" s="7">
        <v>1</v>
      </c>
      <c r="AM4" s="7">
        <v>1</v>
      </c>
      <c r="AN4" s="7">
        <v>1</v>
      </c>
      <c r="AO4" s="7" t="s">
        <v>62</v>
      </c>
      <c r="AP4" s="12">
        <v>2</v>
      </c>
      <c r="AR4" s="6" t="s">
        <v>333</v>
      </c>
      <c r="AS4" s="7">
        <v>1</v>
      </c>
      <c r="AT4" s="7">
        <v>0.6</v>
      </c>
      <c r="AU4" s="7">
        <v>0.3</v>
      </c>
      <c r="AV4" s="7">
        <v>0.16</v>
      </c>
      <c r="AW4" s="7">
        <v>0.1</v>
      </c>
      <c r="AY4" s="34"/>
      <c r="AZ4" s="6" t="s">
        <v>339</v>
      </c>
      <c r="BA4" s="7">
        <v>0.1</v>
      </c>
      <c r="BC4" s="6" t="s">
        <v>349</v>
      </c>
      <c r="BD4" s="7">
        <v>1E-3</v>
      </c>
      <c r="BF4" s="6" t="s">
        <v>355</v>
      </c>
      <c r="BG4" s="7">
        <v>0.5</v>
      </c>
      <c r="BI4" s="6" t="s">
        <v>360</v>
      </c>
      <c r="BJ4" s="7">
        <v>0.1</v>
      </c>
      <c r="BL4" s="6" t="s">
        <v>368</v>
      </c>
      <c r="BM4" s="7">
        <v>2</v>
      </c>
      <c r="BO4" s="6" t="s">
        <v>375</v>
      </c>
      <c r="BP4" s="7">
        <v>0.01</v>
      </c>
      <c r="BU4" s="13" t="s">
        <v>337</v>
      </c>
      <c r="BV4" s="13" t="s">
        <v>338</v>
      </c>
      <c r="BW4" s="13">
        <v>1</v>
      </c>
    </row>
    <row r="5" spans="1:75" ht="101.25" x14ac:dyDescent="0.25">
      <c r="A5" s="6" t="s">
        <v>253</v>
      </c>
      <c r="B5" s="7">
        <v>1</v>
      </c>
      <c r="D5" s="6" t="s">
        <v>258</v>
      </c>
      <c r="E5" s="7">
        <v>0.01</v>
      </c>
      <c r="J5" s="7" t="s">
        <v>272</v>
      </c>
      <c r="K5" s="7">
        <v>0.1</v>
      </c>
      <c r="M5" s="6" t="s">
        <v>278</v>
      </c>
      <c r="N5" s="10">
        <v>0.01</v>
      </c>
      <c r="P5" s="6" t="s">
        <v>285</v>
      </c>
      <c r="Q5" s="7">
        <v>0.1</v>
      </c>
      <c r="S5" s="9" t="s">
        <v>294</v>
      </c>
      <c r="T5" s="7">
        <v>0.02</v>
      </c>
      <c r="V5" s="6" t="s">
        <v>303</v>
      </c>
      <c r="W5" s="7">
        <v>1</v>
      </c>
      <c r="X5" s="7">
        <v>0.2</v>
      </c>
      <c r="Z5" s="6" t="s">
        <v>315</v>
      </c>
      <c r="AA5" s="7">
        <v>0.01</v>
      </c>
      <c r="AC5" s="7" t="s">
        <v>321</v>
      </c>
      <c r="AD5" s="7">
        <v>0.01</v>
      </c>
      <c r="AF5" s="7" t="s">
        <v>294</v>
      </c>
      <c r="AG5" s="7">
        <v>0.02</v>
      </c>
      <c r="AI5" s="6" t="s">
        <v>326</v>
      </c>
      <c r="AJ5" s="7">
        <v>1</v>
      </c>
      <c r="AK5" s="7">
        <v>1</v>
      </c>
      <c r="AL5" s="7">
        <v>0.95</v>
      </c>
      <c r="AM5" s="7">
        <v>0.9</v>
      </c>
      <c r="AN5" s="7">
        <v>0.8</v>
      </c>
      <c r="AO5" s="7" t="s">
        <v>388</v>
      </c>
      <c r="AP5" s="12">
        <v>3</v>
      </c>
      <c r="AR5" s="6" t="s">
        <v>334</v>
      </c>
      <c r="AS5" s="7">
        <v>1</v>
      </c>
      <c r="AT5" s="7">
        <v>0.5</v>
      </c>
      <c r="AU5" s="7">
        <v>0.2</v>
      </c>
      <c r="AV5" s="7">
        <v>0.08</v>
      </c>
      <c r="AW5" s="7">
        <v>0.04</v>
      </c>
      <c r="AY5" s="34"/>
      <c r="AZ5" s="6" t="s">
        <v>340</v>
      </c>
      <c r="BA5" s="7">
        <v>0.05</v>
      </c>
      <c r="BC5" s="6" t="s">
        <v>350</v>
      </c>
      <c r="BD5" s="7">
        <v>1E-4</v>
      </c>
      <c r="BF5" s="6" t="s">
        <v>356</v>
      </c>
      <c r="BG5" s="7">
        <v>0.2</v>
      </c>
      <c r="BI5" s="6" t="s">
        <v>361</v>
      </c>
      <c r="BJ5" s="7">
        <v>1E-3</v>
      </c>
      <c r="BL5" s="6" t="s">
        <v>369</v>
      </c>
      <c r="BM5" s="7">
        <v>5</v>
      </c>
      <c r="BO5" s="6" t="s">
        <v>374</v>
      </c>
      <c r="BP5" s="7">
        <v>0.01</v>
      </c>
      <c r="BU5" s="13" t="s">
        <v>337</v>
      </c>
      <c r="BV5" s="14" t="s">
        <v>419</v>
      </c>
      <c r="BW5" s="13">
        <v>0.5</v>
      </c>
    </row>
    <row r="6" spans="1:75" ht="101.25" x14ac:dyDescent="0.25">
      <c r="A6" s="6" t="s">
        <v>254</v>
      </c>
      <c r="B6" s="7">
        <v>2</v>
      </c>
      <c r="J6" s="6" t="s">
        <v>379</v>
      </c>
      <c r="K6" s="7">
        <v>0.01</v>
      </c>
      <c r="M6" s="6" t="s">
        <v>279</v>
      </c>
      <c r="N6" s="10">
        <v>0.01</v>
      </c>
      <c r="P6" s="6" t="s">
        <v>286</v>
      </c>
      <c r="Q6" s="7">
        <v>0.2</v>
      </c>
      <c r="S6" s="9" t="s">
        <v>295</v>
      </c>
      <c r="T6" s="7">
        <v>0.01</v>
      </c>
      <c r="V6" s="6" t="s">
        <v>304</v>
      </c>
      <c r="W6" s="7">
        <v>1</v>
      </c>
      <c r="X6" s="7">
        <v>0.3</v>
      </c>
      <c r="Z6" s="6" t="s">
        <v>316</v>
      </c>
      <c r="AA6" s="7">
        <v>1E-4</v>
      </c>
      <c r="AC6" s="7" t="s">
        <v>322</v>
      </c>
      <c r="AD6" s="7">
        <v>0</v>
      </c>
      <c r="AF6" s="7" t="s">
        <v>295</v>
      </c>
      <c r="AG6" s="7">
        <v>0.01</v>
      </c>
      <c r="AI6" s="6" t="s">
        <v>327</v>
      </c>
      <c r="AJ6" s="7">
        <v>0.9</v>
      </c>
      <c r="AK6" s="7">
        <v>0.8</v>
      </c>
      <c r="AL6" s="7">
        <v>0.6</v>
      </c>
      <c r="AM6" s="7">
        <v>0.3</v>
      </c>
      <c r="AN6" s="7">
        <v>0.1</v>
      </c>
      <c r="AO6" s="7" t="s">
        <v>389</v>
      </c>
      <c r="AP6" s="12">
        <v>4</v>
      </c>
      <c r="AY6" s="34"/>
      <c r="AZ6" s="9" t="s">
        <v>341</v>
      </c>
      <c r="BA6" s="7">
        <v>0.02</v>
      </c>
      <c r="BC6" s="6" t="s">
        <v>351</v>
      </c>
      <c r="BD6" s="7">
        <v>1.0000000000000001E-5</v>
      </c>
      <c r="BI6" s="6" t="s">
        <v>362</v>
      </c>
      <c r="BJ6" s="7">
        <v>0.1</v>
      </c>
      <c r="BL6" s="6" t="s">
        <v>370</v>
      </c>
      <c r="BM6" s="7">
        <v>5</v>
      </c>
      <c r="BO6" s="6" t="s">
        <v>375</v>
      </c>
      <c r="BP6" s="7">
        <v>1E-3</v>
      </c>
      <c r="BU6" s="13" t="s">
        <v>337</v>
      </c>
      <c r="BV6" s="14" t="s">
        <v>420</v>
      </c>
      <c r="BW6" s="13">
        <v>0.2</v>
      </c>
    </row>
    <row r="7" spans="1:75" ht="101.25" x14ac:dyDescent="0.25">
      <c r="M7" s="6" t="s">
        <v>280</v>
      </c>
      <c r="N7" s="10">
        <v>0</v>
      </c>
      <c r="P7" s="6" t="s">
        <v>287</v>
      </c>
      <c r="Q7" s="7">
        <v>0.01</v>
      </c>
      <c r="S7" s="9" t="s">
        <v>296</v>
      </c>
      <c r="T7" s="7"/>
      <c r="V7" s="6" t="s">
        <v>305</v>
      </c>
      <c r="W7" s="7">
        <v>1</v>
      </c>
      <c r="X7" s="7">
        <v>0.1</v>
      </c>
      <c r="AF7" s="7" t="s">
        <v>296</v>
      </c>
      <c r="AG7" s="7"/>
      <c r="AI7" s="6" t="s">
        <v>328</v>
      </c>
      <c r="AJ7" s="7">
        <v>0.6</v>
      </c>
      <c r="AK7" s="7">
        <v>0.4</v>
      </c>
      <c r="AL7" s="7">
        <v>0.2</v>
      </c>
      <c r="AM7" s="7">
        <v>0.04</v>
      </c>
      <c r="AN7" s="7">
        <v>0.02</v>
      </c>
      <c r="AO7" s="7" t="s">
        <v>390</v>
      </c>
      <c r="AP7" s="12">
        <v>5</v>
      </c>
      <c r="AY7" s="34"/>
      <c r="AZ7" s="9" t="s">
        <v>342</v>
      </c>
      <c r="BA7" s="7">
        <v>0.01</v>
      </c>
      <c r="BI7" s="6" t="s">
        <v>363</v>
      </c>
      <c r="BJ7" s="7">
        <v>0.01</v>
      </c>
      <c r="BL7" s="6" t="s">
        <v>371</v>
      </c>
      <c r="BM7" s="7">
        <v>10</v>
      </c>
      <c r="BO7" s="7" t="s">
        <v>62</v>
      </c>
      <c r="BP7" s="7">
        <v>0</v>
      </c>
      <c r="BU7" s="13" t="s">
        <v>337</v>
      </c>
      <c r="BV7" s="13" t="s">
        <v>342</v>
      </c>
      <c r="BW7" s="13">
        <v>0.1</v>
      </c>
    </row>
    <row r="8" spans="1:75" ht="123.75" x14ac:dyDescent="0.25">
      <c r="P8" s="6" t="s">
        <v>288</v>
      </c>
      <c r="Q8" s="7">
        <v>1E-3</v>
      </c>
      <c r="V8" s="6" t="s">
        <v>304</v>
      </c>
      <c r="W8" s="7">
        <v>1</v>
      </c>
      <c r="X8" s="7">
        <v>0</v>
      </c>
      <c r="AY8" s="34" t="s">
        <v>343</v>
      </c>
      <c r="AZ8" s="9" t="s">
        <v>338</v>
      </c>
      <c r="BA8" s="7">
        <v>0.1</v>
      </c>
      <c r="BI8" s="6" t="s">
        <v>364</v>
      </c>
      <c r="BJ8" s="7">
        <v>1E-3</v>
      </c>
      <c r="BU8" s="13" t="s">
        <v>343</v>
      </c>
      <c r="BV8" s="13" t="s">
        <v>338</v>
      </c>
      <c r="BW8" s="13">
        <v>0.1</v>
      </c>
    </row>
    <row r="9" spans="1:75" ht="112.5" x14ac:dyDescent="0.25">
      <c r="V9" s="6" t="s">
        <v>306</v>
      </c>
      <c r="W9" s="7">
        <v>1</v>
      </c>
      <c r="X9" s="7">
        <v>0</v>
      </c>
      <c r="AY9" s="34"/>
      <c r="AZ9" s="6" t="s">
        <v>344</v>
      </c>
      <c r="BA9" s="7">
        <v>0.01</v>
      </c>
      <c r="BI9" s="6" t="s">
        <v>365</v>
      </c>
      <c r="BJ9" s="7">
        <v>0</v>
      </c>
      <c r="BU9" s="13" t="s">
        <v>343</v>
      </c>
      <c r="BV9" s="14" t="s">
        <v>421</v>
      </c>
      <c r="BW9" s="13">
        <v>0.01</v>
      </c>
    </row>
    <row r="10" spans="1:75" ht="135" x14ac:dyDescent="0.25">
      <c r="V10" s="6" t="s">
        <v>307</v>
      </c>
      <c r="W10" s="7">
        <v>0</v>
      </c>
      <c r="X10" s="7">
        <v>0</v>
      </c>
      <c r="AY10" s="34"/>
      <c r="AZ10" s="6" t="s">
        <v>345</v>
      </c>
      <c r="BA10" s="7">
        <v>1E-3</v>
      </c>
      <c r="BU10" s="13" t="s">
        <v>343</v>
      </c>
      <c r="BV10" s="14" t="s">
        <v>422</v>
      </c>
      <c r="BW10" s="13">
        <v>1E-3</v>
      </c>
    </row>
    <row r="11" spans="1:75" ht="45" x14ac:dyDescent="0.25">
      <c r="V11" s="6" t="s">
        <v>308</v>
      </c>
      <c r="W11" s="7">
        <v>0</v>
      </c>
      <c r="X11" s="7">
        <v>0</v>
      </c>
      <c r="AY11" s="15"/>
      <c r="AZ11" s="15" t="s">
        <v>342</v>
      </c>
      <c r="BA11" s="15">
        <v>1</v>
      </c>
      <c r="BU11" s="13" t="s">
        <v>343</v>
      </c>
      <c r="BV11" s="13" t="s">
        <v>342</v>
      </c>
      <c r="BW11" s="13">
        <v>1E-4</v>
      </c>
    </row>
    <row r="12" spans="1:75" ht="33.75" x14ac:dyDescent="0.25">
      <c r="V12" s="6" t="s">
        <v>309</v>
      </c>
      <c r="W12" s="7">
        <v>0</v>
      </c>
      <c r="X12" s="7">
        <v>0</v>
      </c>
    </row>
  </sheetData>
  <mergeCells count="26">
    <mergeCell ref="BU1:BW1"/>
    <mergeCell ref="BR1:BS1"/>
    <mergeCell ref="AR1:AW1"/>
    <mergeCell ref="AR2:AR3"/>
    <mergeCell ref="AS2:AW2"/>
    <mergeCell ref="AY3:AY7"/>
    <mergeCell ref="BC1:BD1"/>
    <mergeCell ref="BF1:BG1"/>
    <mergeCell ref="BI1:BJ1"/>
    <mergeCell ref="BL1:BM1"/>
    <mergeCell ref="BO1:BP1"/>
    <mergeCell ref="AY8:AY10"/>
    <mergeCell ref="AY1:BA1"/>
    <mergeCell ref="V1:X1"/>
    <mergeCell ref="Z1:AA1"/>
    <mergeCell ref="AC1:AD1"/>
    <mergeCell ref="AF1:AG1"/>
    <mergeCell ref="AJ2:AN2"/>
    <mergeCell ref="AI2:AI3"/>
    <mergeCell ref="AI1:AO1"/>
    <mergeCell ref="S1:T1"/>
    <mergeCell ref="A1:B1"/>
    <mergeCell ref="G1:H1"/>
    <mergeCell ref="J1:K1"/>
    <mergeCell ref="M1:N1"/>
    <mergeCell ref="P1:Q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Relatório</vt:lpstr>
      <vt:lpstr>Estudo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Jéfferson</dc:creator>
  <cp:lastModifiedBy>Jéfferson</cp:lastModifiedBy>
  <cp:lastPrinted>2020-09-06T16:11:58Z</cp:lastPrinted>
  <dcterms:created xsi:type="dcterms:W3CDTF">2018-08-24T23:45:12Z</dcterms:created>
  <dcterms:modified xsi:type="dcterms:W3CDTF">2022-10-02T17:35:48Z</dcterms:modified>
</cp:coreProperties>
</file>