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éfferson\Documents\GIT\Aterramento\"/>
    </mc:Choice>
  </mc:AlternateContent>
  <bookViews>
    <workbookView xWindow="0" yWindow="0" windowWidth="28800" windowHeight="12330" activeTab="2"/>
  </bookViews>
  <sheets>
    <sheet name="Resistividade" sheetId="1" r:id="rId1"/>
    <sheet name="Modelo Geoelétrico" sheetId="2" r:id="rId2"/>
    <sheet name="Memória" sheetId="3" r:id="rId3"/>
    <sheet name="Auxilia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H22" i="3"/>
  <c r="G17" i="1" l="1"/>
  <c r="G2" i="4" l="1"/>
  <c r="G3" i="4" s="1"/>
  <c r="G4" i="4" s="1"/>
  <c r="G5" i="4" s="1"/>
  <c r="G6" i="4" s="1"/>
  <c r="G7" i="4" s="1"/>
  <c r="G8" i="4" s="1"/>
  <c r="G9" i="4" s="1"/>
  <c r="G10" i="4" s="1"/>
  <c r="G11" i="4" s="1"/>
  <c r="G12" i="4" s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3" i="4"/>
  <c r="B4" i="4"/>
  <c r="B5" i="4"/>
  <c r="E2" i="4" s="1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D2" i="4" l="1"/>
  <c r="H36" i="3"/>
  <c r="H28" i="3"/>
  <c r="H32" i="3"/>
  <c r="H34" i="3" l="1"/>
  <c r="H24" i="3"/>
  <c r="H30" i="3"/>
  <c r="H29" i="3"/>
  <c r="H27" i="3"/>
  <c r="H33" i="3" s="1"/>
  <c r="H51" i="3" s="1"/>
  <c r="H26" i="3"/>
  <c r="H25" i="3"/>
  <c r="H20" i="3"/>
  <c r="H21" i="3" s="1"/>
  <c r="H45" i="3" l="1"/>
  <c r="H35" i="3"/>
  <c r="H52" i="3" s="1"/>
  <c r="H43" i="3"/>
  <c r="H46" i="3" s="1"/>
  <c r="H37" i="3"/>
  <c r="H53" i="3" s="1"/>
  <c r="H38" i="3"/>
  <c r="H54" i="3" s="1"/>
  <c r="H39" i="3"/>
  <c r="H55" i="3" s="1"/>
  <c r="H40" i="3"/>
  <c r="H56" i="3" s="1"/>
  <c r="H41" i="3"/>
  <c r="H31" i="3"/>
  <c r="H42" i="3" s="1"/>
  <c r="H57" i="3" s="1"/>
  <c r="B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B5" i="2"/>
  <c r="H1" i="2"/>
  <c r="B3" i="2"/>
  <c r="H50" i="3" l="1"/>
  <c r="E18" i="1"/>
  <c r="D19" i="1"/>
  <c r="E21" i="1"/>
  <c r="F25" i="1"/>
  <c r="D23" i="1"/>
  <c r="E20" i="1"/>
  <c r="B18" i="1"/>
  <c r="C18" i="1"/>
  <c r="D18" i="1"/>
  <c r="F18" i="1"/>
  <c r="B19" i="1"/>
  <c r="C19" i="1"/>
  <c r="E19" i="1"/>
  <c r="F19" i="1"/>
  <c r="B20" i="1"/>
  <c r="C20" i="1"/>
  <c r="D20" i="1"/>
  <c r="F20" i="1"/>
  <c r="B21" i="1"/>
  <c r="C21" i="1"/>
  <c r="D21" i="1"/>
  <c r="F21" i="1"/>
  <c r="B22" i="1"/>
  <c r="C22" i="1"/>
  <c r="D22" i="1"/>
  <c r="E22" i="1"/>
  <c r="F22" i="1"/>
  <c r="B23" i="1"/>
  <c r="C23" i="1"/>
  <c r="E23" i="1"/>
  <c r="F23" i="1"/>
  <c r="B24" i="1"/>
  <c r="C24" i="1"/>
  <c r="D24" i="1"/>
  <c r="E24" i="1"/>
  <c r="F24" i="1"/>
  <c r="B25" i="1"/>
  <c r="C25" i="1"/>
  <c r="D25" i="1"/>
  <c r="E25" i="1"/>
  <c r="C17" i="1"/>
  <c r="D17" i="1"/>
  <c r="E17" i="1"/>
  <c r="F17" i="1"/>
  <c r="B17" i="1"/>
  <c r="D32" i="1" l="1"/>
  <c r="D36" i="1"/>
  <c r="E33" i="1"/>
  <c r="F36" i="1"/>
  <c r="B31" i="1"/>
  <c r="D38" i="1"/>
  <c r="C36" i="1"/>
  <c r="B34" i="1"/>
  <c r="G21" i="1" s="1"/>
  <c r="D34" i="1"/>
  <c r="F34" i="1"/>
  <c r="C34" i="1"/>
  <c r="C33" i="1"/>
  <c r="F32" i="1"/>
  <c r="E32" i="1"/>
  <c r="C31" i="1"/>
  <c r="E31" i="1"/>
  <c r="D31" i="1"/>
  <c r="F37" i="1"/>
  <c r="E37" i="1"/>
  <c r="D37" i="1"/>
  <c r="B37" i="1"/>
  <c r="G24" i="1" s="1"/>
  <c r="E35" i="1"/>
  <c r="F35" i="1"/>
  <c r="B35" i="1"/>
  <c r="G22" i="1" s="1"/>
  <c r="D35" i="1"/>
  <c r="F30" i="1"/>
  <c r="E30" i="1"/>
  <c r="C30" i="1"/>
  <c r="D30" i="1"/>
  <c r="F38" i="1"/>
  <c r="E38" i="1"/>
  <c r="B38" i="1"/>
  <c r="G25" i="1" s="1"/>
  <c r="C38" i="1"/>
  <c r="F33" i="1"/>
  <c r="E36" i="1"/>
  <c r="F31" i="1"/>
  <c r="C37" i="1"/>
  <c r="B32" i="1"/>
  <c r="G19" i="1" s="1"/>
  <c r="D33" i="1"/>
  <c r="B30" i="1"/>
  <c r="E34" i="1"/>
  <c r="B33" i="1"/>
  <c r="C32" i="1"/>
  <c r="C35" i="1"/>
  <c r="B36" i="1"/>
  <c r="G23" i="1" s="1"/>
  <c r="A33" i="1"/>
  <c r="A25" i="1"/>
  <c r="A38" i="1" s="1"/>
  <c r="A18" i="1"/>
  <c r="A31" i="1" s="1"/>
  <c r="A19" i="1"/>
  <c r="A32" i="1" s="1"/>
  <c r="A20" i="1"/>
  <c r="A21" i="1"/>
  <c r="A34" i="1" s="1"/>
  <c r="A22" i="1"/>
  <c r="A35" i="1" s="1"/>
  <c r="A23" i="1"/>
  <c r="A36" i="1" s="1"/>
  <c r="A24" i="1"/>
  <c r="A37" i="1" s="1"/>
  <c r="A17" i="1"/>
  <c r="A30" i="1" s="1"/>
  <c r="G18" i="1" l="1"/>
  <c r="G20" i="1"/>
</calcChain>
</file>

<file path=xl/sharedStrings.xml><?xml version="1.0" encoding="utf-8"?>
<sst xmlns="http://schemas.openxmlformats.org/spreadsheetml/2006/main" count="199" uniqueCount="156">
  <si>
    <t>Espaçamento</t>
  </si>
  <si>
    <t>Direção</t>
  </si>
  <si>
    <t>Profundidade</t>
  </si>
  <si>
    <t>A [ohm]</t>
  </si>
  <si>
    <t>B [ohm]</t>
  </si>
  <si>
    <t>C [ohm]</t>
  </si>
  <si>
    <t>D [ohm]</t>
  </si>
  <si>
    <t>E [ohm]</t>
  </si>
  <si>
    <t>Resistividade</t>
  </si>
  <si>
    <t>Média</t>
  </si>
  <si>
    <t>Desvios</t>
  </si>
  <si>
    <t>A [%]</t>
  </si>
  <si>
    <t>B [%]</t>
  </si>
  <si>
    <t>C [%]</t>
  </si>
  <si>
    <t>D [%]</t>
  </si>
  <si>
    <t>E [%]</t>
  </si>
  <si>
    <t>rô1</t>
  </si>
  <si>
    <t>rô2</t>
  </si>
  <si>
    <t>K</t>
  </si>
  <si>
    <t>ohm.m</t>
  </si>
  <si>
    <t>M0</t>
  </si>
  <si>
    <t>rômed</t>
  </si>
  <si>
    <t>H1</t>
  </si>
  <si>
    <t>metros</t>
  </si>
  <si>
    <t>Parâmetro</t>
  </si>
  <si>
    <t>Comentário</t>
  </si>
  <si>
    <t>Valor</t>
  </si>
  <si>
    <t>Ω.m</t>
  </si>
  <si>
    <t>R</t>
  </si>
  <si>
    <t>Equação</t>
  </si>
  <si>
    <t>S</t>
  </si>
  <si>
    <t>S=X.Y</t>
  </si>
  <si>
    <t>Área do aterramento</t>
  </si>
  <si>
    <t>m²</t>
  </si>
  <si>
    <t>m</t>
  </si>
  <si>
    <t>Resistividade aparente</t>
  </si>
  <si>
    <t>Dimensão da malha na direção X</t>
  </si>
  <si>
    <t>Dimensão da malha na direção Y</t>
  </si>
  <si>
    <t>Raio do circulo equivalente da malha</t>
  </si>
  <si>
    <t>Ncp</t>
  </si>
  <si>
    <t>Número de condutores paralelos</t>
  </si>
  <si>
    <t>Ncj</t>
  </si>
  <si>
    <t>Número de condutores de junção</t>
  </si>
  <si>
    <t>Lcm</t>
  </si>
  <si>
    <t>Comprimento dos condutores da malha</t>
  </si>
  <si>
    <t>Lcm=1,05*((Cm*Ncj)+(Lm*Ncp))</t>
  </si>
  <si>
    <t>Cm</t>
  </si>
  <si>
    <t>Lm</t>
  </si>
  <si>
    <t>Coeficiente de ajuste para condutores principais</t>
  </si>
  <si>
    <t>Dx</t>
  </si>
  <si>
    <t>Dy</t>
  </si>
  <si>
    <t>Espaçamento médio entre os condutores</t>
  </si>
  <si>
    <t>Dy=Lm/Ncj</t>
  </si>
  <si>
    <t>Dx=Cm/Ncp</t>
  </si>
  <si>
    <t>H</t>
  </si>
  <si>
    <t>Profundidade do aterramento</t>
  </si>
  <si>
    <t>Dca</t>
  </si>
  <si>
    <t>Diâmetro do condutor de aterramento</t>
  </si>
  <si>
    <t>Coeficiente de ajuste para os condutores de junção</t>
  </si>
  <si>
    <t>Kmp</t>
  </si>
  <si>
    <t>Kmj</t>
  </si>
  <si>
    <t>Ksp</t>
  </si>
  <si>
    <t>Coeficiente de ajuste para os condutores principais</t>
  </si>
  <si>
    <t>Coeficiente de ajuste para os condutores secundários</t>
  </si>
  <si>
    <t>Ksj</t>
  </si>
  <si>
    <t>Coeficiente Ki para os condutores principais</t>
  </si>
  <si>
    <t>Kip</t>
  </si>
  <si>
    <t>Kip=0,65+0,172*Ncp</t>
  </si>
  <si>
    <t>Coeficiente Ki para os condutores secundários</t>
  </si>
  <si>
    <t>Lc</t>
  </si>
  <si>
    <t>Condutor mínimo do condutor de aterramento</t>
  </si>
  <si>
    <t>Icft</t>
  </si>
  <si>
    <t>A</t>
  </si>
  <si>
    <t>Tf</t>
  </si>
  <si>
    <t>Tempo de falta</t>
  </si>
  <si>
    <t>s</t>
  </si>
  <si>
    <t>ρm</t>
  </si>
  <si>
    <t>Kij</t>
  </si>
  <si>
    <t>Kij=0,65+0,172*Ncj</t>
  </si>
  <si>
    <t>Epa</t>
  </si>
  <si>
    <t>Tensão máxima de passo</t>
  </si>
  <si>
    <t>V</t>
  </si>
  <si>
    <t>ρs</t>
  </si>
  <si>
    <t>Eper</t>
  </si>
  <si>
    <t>Tensão de passo na periferia da malha</t>
  </si>
  <si>
    <t>ρ1</t>
  </si>
  <si>
    <t>Resistividade da brita</t>
  </si>
  <si>
    <t>Resistividade da primeira camada do solo</t>
  </si>
  <si>
    <t>Etm</t>
  </si>
  <si>
    <t>Tensão máxima de toque</t>
  </si>
  <si>
    <t>Ete</t>
  </si>
  <si>
    <t>Tensão de toque existente</t>
  </si>
  <si>
    <t>Ich</t>
  </si>
  <si>
    <t>Corrente máxima de choque</t>
  </si>
  <si>
    <t>mA</t>
  </si>
  <si>
    <t>Ipmsb</t>
  </si>
  <si>
    <t>Corrente de choque existente devido à tensão de passo, caso sem brita, na periferia da malha</t>
  </si>
  <si>
    <t>Ipmcb</t>
  </si>
  <si>
    <t>Corrente de choque existente devido à tensão de passo, caso com brita, na periferia da malha</t>
  </si>
  <si>
    <t>Corrente de choque devido à tensão de toque existente, sem brita</t>
  </si>
  <si>
    <t>Itmsb</t>
  </si>
  <si>
    <t>Corrente de choque devido à tensão de toque existente, com brita</t>
  </si>
  <si>
    <t>Itmcb</t>
  </si>
  <si>
    <t>Ia</t>
  </si>
  <si>
    <t>Corrente mínima de acionamento do relé de terra</t>
  </si>
  <si>
    <t>Rch</t>
  </si>
  <si>
    <t>Resistência considerada do corpo humano</t>
  </si>
  <si>
    <t>Ω</t>
  </si>
  <si>
    <t>Potenciais da região externa à malha</t>
  </si>
  <si>
    <t>∆Ec</t>
  </si>
  <si>
    <t>D</t>
  </si>
  <si>
    <t>Distância considerada para o cálculo de potencial</t>
  </si>
  <si>
    <t>Rcm</t>
  </si>
  <si>
    <t>Resistência da malha de terra</t>
  </si>
  <si>
    <t>ρa</t>
  </si>
  <si>
    <t>Lh</t>
  </si>
  <si>
    <t>Tamanho da haste de aterramento</t>
  </si>
  <si>
    <t>Kc</t>
  </si>
  <si>
    <t>Kc-1</t>
  </si>
  <si>
    <t>N</t>
  </si>
  <si>
    <t xml:space="preserve">Quantidade de hastes </t>
  </si>
  <si>
    <t>um</t>
  </si>
  <si>
    <t>Nh</t>
  </si>
  <si>
    <t>Rh</t>
  </si>
  <si>
    <t>Resistência da associação de hastes</t>
  </si>
  <si>
    <t>Calculado por meio de software</t>
  </si>
  <si>
    <t>Rmu</t>
  </si>
  <si>
    <t>Resistência mútua dos cabos e eletrodos verticais</t>
  </si>
  <si>
    <t>Rtm</t>
  </si>
  <si>
    <t>Resistência total da malha</t>
  </si>
  <si>
    <t>Obs: Utiliza-se o maior produto entre Kmp*Kip e Kmj*Kij em Km e Ki no cálculo do Lc, Eper, Etm e Ete</t>
  </si>
  <si>
    <t>Teste de adequação da malha escolhida</t>
  </si>
  <si>
    <t>Epa&gt;Eper</t>
  </si>
  <si>
    <t>Etm&gt;Ete</t>
  </si>
  <si>
    <t>Lcm&gt;lc</t>
  </si>
  <si>
    <t>Comprimento da malha maior que o mínimo</t>
  </si>
  <si>
    <t>Tensão de passo na periferia menor que a tensão máxima de passo</t>
  </si>
  <si>
    <t>Tensão de toque menor que a máxima tensão de toque</t>
  </si>
  <si>
    <t>Tensão na periferia menor que a tensão máxima de toque</t>
  </si>
  <si>
    <t>MAMEDE FILHO, J. Instalações Elétricas Industriais – LTC – 9a ed., 2017</t>
  </si>
  <si>
    <t>Unid</t>
  </si>
  <si>
    <t>Portanto, dado os parâmetros mostrados neste memorial, as dimensões e arranjo da malha se mostram adequadas</t>
  </si>
  <si>
    <t>Conforme ABNT NBR 7117-1</t>
  </si>
  <si>
    <t>Sondagem Geoelétrica</t>
  </si>
  <si>
    <t>Corrente de choque existente devido à tensão de passo, com brita, na periferia da malha</t>
  </si>
  <si>
    <t>Corrente de choque existente devido à tensão de passo, sem brita, na periferia da malha</t>
  </si>
  <si>
    <t>Ipmsb&lt;Ich</t>
  </si>
  <si>
    <t>Ipmcb&lt;Ich</t>
  </si>
  <si>
    <r>
      <t>Δ</t>
    </r>
    <r>
      <rPr>
        <sz val="12.65"/>
        <color theme="1"/>
        <rFont val="Calibri"/>
        <family val="2"/>
        <scheme val="minor"/>
      </rPr>
      <t>Ec&lt;Etm</t>
    </r>
  </si>
  <si>
    <t>Itmsb&lt;Ich</t>
  </si>
  <si>
    <t>Itmcb&lt;Ich</t>
  </si>
  <si>
    <t>Cordoalha 50mm²</t>
  </si>
  <si>
    <t>PARÂMETROS DE ENTRADA</t>
  </si>
  <si>
    <t>PARÂMETROS CALCULADOS</t>
  </si>
  <si>
    <t>Corrente de falta fase-terra</t>
  </si>
  <si>
    <t>Conforme ABNT NBR 15751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</si>
</sst>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.6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Resistividade!$A$14</c:f>
              <c:strCache>
                <c:ptCount val="1"/>
                <c:pt idx="0">
                  <c:v>Resistividade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Resistividade!$A$17:$A$25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22</c:v>
                </c:pt>
                <c:pt idx="8">
                  <c:v>32</c:v>
                </c:pt>
              </c:numCache>
            </c:numRef>
          </c:xVal>
          <c:yVal>
            <c:numRef>
              <c:f>Resistividade!$G$17:$G$25</c:f>
              <c:numCache>
                <c:formatCode>0.00</c:formatCode>
                <c:ptCount val="9"/>
                <c:pt idx="0">
                  <c:v>996.00000000000034</c:v>
                </c:pt>
                <c:pt idx="1">
                  <c:v>973.99999999999932</c:v>
                </c:pt>
                <c:pt idx="2">
                  <c:v>858.00000000000148</c:v>
                </c:pt>
                <c:pt idx="3">
                  <c:v>696.00000000000011</c:v>
                </c:pt>
                <c:pt idx="4">
                  <c:v>549.00000000000011</c:v>
                </c:pt>
                <c:pt idx="5">
                  <c:v>360.9999999999996</c:v>
                </c:pt>
                <c:pt idx="6">
                  <c:v>276.00000000000045</c:v>
                </c:pt>
                <c:pt idx="7">
                  <c:v>230.00000000000009</c:v>
                </c:pt>
                <c:pt idx="8">
                  <c:v>210.00000000000017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7-4312-90D1-F3F54DC7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802144"/>
        <c:axId val="1559805472"/>
      </c:scatterChart>
      <c:valAx>
        <c:axId val="15598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5472"/>
        <c:crosses val="autoZero"/>
        <c:crossBetween val="midCat"/>
      </c:valAx>
      <c:valAx>
        <c:axId val="155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</xdr:row>
      <xdr:rowOff>171450</xdr:rowOff>
    </xdr:from>
    <xdr:to>
      <xdr:col>15</xdr:col>
      <xdr:colOff>38099</xdr:colOff>
      <xdr:row>21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581025</xdr:colOff>
      <xdr:row>23</xdr:row>
      <xdr:rowOff>9525</xdr:rowOff>
    </xdr:from>
    <xdr:to>
      <xdr:col>14</xdr:col>
      <xdr:colOff>275730</xdr:colOff>
      <xdr:row>29</xdr:row>
      <xdr:rowOff>18906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1575" y="4391025"/>
          <a:ext cx="3961905" cy="11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15</xdr:row>
      <xdr:rowOff>47625</xdr:rowOff>
    </xdr:from>
    <xdr:to>
      <xdr:col>12</xdr:col>
      <xdr:colOff>114300</xdr:colOff>
      <xdr:row>23</xdr:row>
      <xdr:rowOff>5459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4150" y="2905125"/>
          <a:ext cx="4705350" cy="1481834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10</xdr:row>
      <xdr:rowOff>38100</xdr:rowOff>
    </xdr:from>
    <xdr:to>
      <xdr:col>8</xdr:col>
      <xdr:colOff>18795</xdr:colOff>
      <xdr:row>14</xdr:row>
      <xdr:rowOff>133243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1943100"/>
          <a:ext cx="2038095" cy="8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12</xdr:col>
      <xdr:colOff>44613</xdr:colOff>
      <xdr:row>9</xdr:row>
      <xdr:rowOff>114300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28925" y="38100"/>
          <a:ext cx="4530888" cy="17907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23</xdr:row>
      <xdr:rowOff>142875</xdr:rowOff>
    </xdr:from>
    <xdr:to>
      <xdr:col>13</xdr:col>
      <xdr:colOff>296602</xdr:colOff>
      <xdr:row>40</xdr:row>
      <xdr:rowOff>9525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24126" y="4524375"/>
          <a:ext cx="5697276" cy="3105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190330</xdr:colOff>
      <xdr:row>20</xdr:row>
      <xdr:rowOff>24149</xdr:rowOff>
    </xdr:from>
    <xdr:ext cx="511207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/>
            <xdr:cNvSpPr txBox="1"/>
          </xdr:nvSpPr>
          <xdr:spPr>
            <a:xfrm>
              <a:off x="1498982" y="3974953"/>
              <a:ext cx="511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/>
                <a:t>R</a:t>
              </a:r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l-G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π</m:t>
                          </m:r>
                        </m:den>
                      </m:f>
                    </m:e>
                  </m:rad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2" name="CaixaDeTexto 1"/>
            <xdr:cNvSpPr txBox="1"/>
          </xdr:nvSpPr>
          <xdr:spPr>
            <a:xfrm>
              <a:off x="1498982" y="3974953"/>
              <a:ext cx="51120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/>
                <a:t>R</a:t>
              </a:r>
              <a:r>
                <a:rPr lang="pt-BR" sz="1100" b="0" i="0">
                  <a:latin typeface="Cambria Math" panose="02040503050406030204" pitchFamily="18" charset="0"/>
                </a:rPr>
                <a:t>=√(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π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122902</xdr:colOff>
      <xdr:row>24</xdr:row>
      <xdr:rowOff>21759</xdr:rowOff>
    </xdr:from>
    <xdr:ext cx="2171380" cy="3082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777228" y="5703629"/>
              <a:ext cx="2171380" cy="308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200" baseline="0"/>
                <a:t>Kmp=</a:t>
              </a:r>
              <a14:m>
                <m:oMath xmlns:m="http://schemas.openxmlformats.org/officeDocument/2006/math">
                  <m:f>
                    <m:fPr>
                      <m:ctrlPr>
                        <a:rPr lang="en-GB" sz="12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2∗</m:t>
                      </m:r>
                      <m:r>
                        <m:rPr>
                          <m:sty m:val="p"/>
                        </m:rPr>
                        <a:rPr lang="el-GR" sz="1200" b="0" i="1" baseline="0">
                          <a:latin typeface="Cambria Math" panose="02040503050406030204" pitchFamily="18" charset="0"/>
                        </a:rPr>
                        <m:t>π</m:t>
                      </m:r>
                    </m:den>
                  </m:f>
                  <m:r>
                    <a:rPr lang="pt-BR" sz="1200" b="0" i="1" baseline="0">
                      <a:latin typeface="Cambria Math" panose="02040503050406030204" pitchFamily="18" charset="0"/>
                    </a:rPr>
                    <m:t>∗</m:t>
                  </m:r>
                  <m:r>
                    <m:rPr>
                      <m:sty m:val="p"/>
                    </m:rPr>
                    <a:rPr lang="pt-BR" sz="1200" b="0" i="0" baseline="0">
                      <a:latin typeface="Cambria Math" panose="02040503050406030204" pitchFamily="18" charset="0"/>
                    </a:rPr>
                    <m:t>ln</m:t>
                  </m:r>
                  <m:r>
                    <a:rPr lang="pt-BR" sz="1200" b="0" i="1" baseline="0">
                      <a:latin typeface="Cambria Math" panose="02040503050406030204" pitchFamily="18" charset="0"/>
                    </a:rPr>
                    <m:t>⁡(</m:t>
                  </m:r>
                  <m:f>
                    <m:fPr>
                      <m:ctrlPr>
                        <a:rPr lang="pt-BR" sz="12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pt-BR" sz="1200" b="0" i="1" baseline="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BR" sz="1200" b="0" i="1" baseline="0">
                              <a:latin typeface="Cambria Math" panose="02040503050406030204" pitchFamily="18" charset="0"/>
                            </a:rPr>
                            <m:t>𝐷𝑥</m:t>
                          </m:r>
                        </m:e>
                        <m:sup>
                          <m:r>
                            <a:rPr lang="pt-BR" sz="1200" b="0" i="1" baseline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4∗</m:t>
                      </m:r>
                      <m:r>
                        <m:rPr>
                          <m:sty m:val="p"/>
                        </m:rPr>
                        <a:rPr lang="el-GR" sz="1200" b="0" i="1" baseline="0">
                          <a:latin typeface="Cambria Math" panose="02040503050406030204" pitchFamily="18" charset="0"/>
                        </a:rPr>
                        <m:t>π</m:t>
                      </m:r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∗</m:t>
                      </m:r>
                      <m:d>
                        <m:dPr>
                          <m:ctrlPr>
                            <a:rPr lang="pt-BR" sz="12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1200" b="0" i="1" baseline="0">
                              <a:latin typeface="Cambria Math" panose="02040503050406030204" pitchFamily="18" charset="0"/>
                            </a:rPr>
                            <m:t>𝑁𝑐𝑝</m:t>
                          </m:r>
                          <m:r>
                            <a:rPr lang="pt-BR" sz="1200" b="0" i="1" baseline="0">
                              <a:latin typeface="Cambria Math" panose="02040503050406030204" pitchFamily="18" charset="0"/>
                            </a:rPr>
                            <m:t>−1</m:t>
                          </m:r>
                        </m:e>
                      </m:d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𝐻</m:t>
                      </m:r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t-BR" sz="1200" b="0" i="1" baseline="0">
                          <a:latin typeface="Cambria Math" panose="02040503050406030204" pitchFamily="18" charset="0"/>
                        </a:rPr>
                        <m:t>𝐷𝑐𝑎</m:t>
                      </m:r>
                    </m:den>
                  </m:f>
                </m:oMath>
              </a14:m>
              <a:r>
                <a:rPr lang="en-GB" sz="1200" baseline="0"/>
                <a:t> )</a:t>
              </a:r>
              <a:endParaRPr lang="en-GB" sz="12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777228" y="5703629"/>
              <a:ext cx="2171380" cy="308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200" baseline="0"/>
                <a:t>Kmp=</a:t>
              </a:r>
              <a:r>
                <a:rPr lang="pt-BR" sz="1200" b="0" i="0" baseline="0">
                  <a:latin typeface="Cambria Math" panose="02040503050406030204" pitchFamily="18" charset="0"/>
                </a:rPr>
                <a:t>1</a:t>
              </a:r>
              <a:r>
                <a:rPr lang="en-GB" sz="1200" b="0" i="0" baseline="0">
                  <a:latin typeface="Cambria Math" panose="02040503050406030204" pitchFamily="18" charset="0"/>
                </a:rPr>
                <a:t>/(</a:t>
              </a:r>
              <a:r>
                <a:rPr lang="pt-BR" sz="1200" b="0" i="0" baseline="0">
                  <a:latin typeface="Cambria Math" panose="02040503050406030204" pitchFamily="18" charset="0"/>
                </a:rPr>
                <a:t>2∗</a:t>
              </a:r>
              <a:r>
                <a:rPr lang="el-GR" sz="1200" b="0" i="0" baseline="0">
                  <a:latin typeface="Cambria Math" panose="02040503050406030204" pitchFamily="18" charset="0"/>
                </a:rPr>
                <a:t>π</a:t>
              </a:r>
              <a:r>
                <a:rPr lang="en-GB" sz="1200" b="0" i="0" baseline="0">
                  <a:latin typeface="Cambria Math" panose="02040503050406030204" pitchFamily="18" charset="0"/>
                </a:rPr>
                <a:t>)</a:t>
              </a:r>
              <a:r>
                <a:rPr lang="pt-BR" sz="1200" b="0" i="0" baseline="0">
                  <a:latin typeface="Cambria Math" panose="02040503050406030204" pitchFamily="18" charset="0"/>
                </a:rPr>
                <a:t>∗ln⁡(〖𝐷𝑥〗^2/(4∗</a:t>
              </a:r>
              <a:r>
                <a:rPr lang="el-GR" sz="1200" b="0" i="0" baseline="0">
                  <a:latin typeface="Cambria Math" panose="02040503050406030204" pitchFamily="18" charset="0"/>
                </a:rPr>
                <a:t>π</a:t>
              </a:r>
              <a:r>
                <a:rPr lang="pt-BR" sz="1200" b="0" i="0" baseline="0">
                  <a:latin typeface="Cambria Math" panose="02040503050406030204" pitchFamily="18" charset="0"/>
                </a:rPr>
                <a:t>∗(𝑁𝑐𝑝−1)∗𝐻∗𝐷𝑐𝑎)</a:t>
              </a:r>
              <a:r>
                <a:rPr lang="en-GB" sz="1200" baseline="0"/>
                <a:t> )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1</xdr:col>
      <xdr:colOff>185786</xdr:colOff>
      <xdr:row>25</xdr:row>
      <xdr:rowOff>36859</xdr:rowOff>
    </xdr:from>
    <xdr:ext cx="1942844" cy="283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840112" y="6124576"/>
              <a:ext cx="1942844" cy="283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aseline="0"/>
                <a:t>Kmp=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2∗</m:t>
                      </m:r>
                      <m:r>
                        <m:rPr>
                          <m:sty m:val="p"/>
                        </m:rPr>
                        <a:rPr lang="el-GR" sz="1100" b="0" i="1" baseline="0">
                          <a:latin typeface="Cambria Math" panose="02040503050406030204" pitchFamily="18" charset="0"/>
                        </a:rPr>
                        <m:t>π</m:t>
                      </m:r>
                    </m:den>
                  </m:f>
                  <m:r>
                    <a:rPr lang="pt-BR" sz="1100" b="0" i="1" baseline="0">
                      <a:latin typeface="Cambria Math" panose="02040503050406030204" pitchFamily="18" charset="0"/>
                    </a:rPr>
                    <m:t>∗</m:t>
                  </m:r>
                  <m:r>
                    <m:rPr>
                      <m:sty m:val="p"/>
                    </m:rPr>
                    <a:rPr lang="pt-BR" sz="1100" b="0" i="0" baseline="0">
                      <a:latin typeface="Cambria Math" panose="02040503050406030204" pitchFamily="18" charset="0"/>
                    </a:rPr>
                    <m:t>ln</m:t>
                  </m:r>
                  <m:r>
                    <a:rPr lang="pt-BR" sz="1100" b="0" i="1" baseline="0">
                      <a:latin typeface="Cambria Math" panose="02040503050406030204" pitchFamily="18" charset="0"/>
                    </a:rPr>
                    <m:t>⁡(</m:t>
                  </m:r>
                  <m:f>
                    <m:fPr>
                      <m:ctrlPr>
                        <a:rPr lang="pt-BR" sz="11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pt-BR" sz="1100" b="0" i="1" baseline="0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t-BR" sz="1100" b="0" i="1" baseline="0">
                              <a:latin typeface="Cambria Math" panose="02040503050406030204" pitchFamily="18" charset="0"/>
                            </a:rPr>
                            <m:t>𝐷𝑦</m:t>
                          </m:r>
                        </m:e>
                        <m:sup>
                          <m:r>
                            <a:rPr lang="pt-BR" sz="1100" b="0" i="1" baseline="0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4∗</m:t>
                      </m:r>
                      <m:r>
                        <m:rPr>
                          <m:sty m:val="p"/>
                        </m:rPr>
                        <a:rPr lang="el-GR" sz="1100" b="0" i="1" baseline="0">
                          <a:latin typeface="Cambria Math" panose="02040503050406030204" pitchFamily="18" charset="0"/>
                        </a:rPr>
                        <m:t>π</m:t>
                      </m:r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∗</m:t>
                      </m:r>
                      <m:d>
                        <m:dPr>
                          <m:ctrlPr>
                            <a:rPr lang="pt-BR" sz="11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t-BR" sz="1100" b="0" i="1" baseline="0">
                              <a:latin typeface="Cambria Math" panose="02040503050406030204" pitchFamily="18" charset="0"/>
                            </a:rPr>
                            <m:t>𝑁𝑐𝑗</m:t>
                          </m:r>
                          <m:r>
                            <a:rPr lang="pt-BR" sz="1100" b="0" i="1" baseline="0">
                              <a:latin typeface="Cambria Math" panose="02040503050406030204" pitchFamily="18" charset="0"/>
                            </a:rPr>
                            <m:t>−1</m:t>
                          </m:r>
                        </m:e>
                      </m:d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𝐻</m:t>
                      </m:r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t-BR" sz="1100" b="0" i="1" baseline="0">
                          <a:latin typeface="Cambria Math" panose="02040503050406030204" pitchFamily="18" charset="0"/>
                        </a:rPr>
                        <m:t>𝐷𝑐𝑎</m:t>
                      </m:r>
                    </m:den>
                  </m:f>
                </m:oMath>
              </a14:m>
              <a:r>
                <a:rPr lang="en-GB" sz="1100" baseline="0"/>
                <a:t> )</a:t>
              </a:r>
              <a:endParaRPr lang="en-GB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840112" y="6124576"/>
              <a:ext cx="1942844" cy="283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aseline="0"/>
                <a:t>Kmp=</a:t>
              </a:r>
              <a:r>
                <a:rPr lang="pt-BR" sz="1100" b="0" i="0" baseline="0">
                  <a:latin typeface="Cambria Math" panose="02040503050406030204" pitchFamily="18" charset="0"/>
                </a:rPr>
                <a:t>1</a:t>
              </a:r>
              <a:r>
                <a:rPr lang="en-GB" sz="1100" b="0" i="0" baseline="0">
                  <a:latin typeface="Cambria Math" panose="02040503050406030204" pitchFamily="18" charset="0"/>
                </a:rPr>
                <a:t>/(</a:t>
              </a:r>
              <a:r>
                <a:rPr lang="pt-BR" sz="1100" b="0" i="0" baseline="0">
                  <a:latin typeface="Cambria Math" panose="02040503050406030204" pitchFamily="18" charset="0"/>
                </a:rPr>
                <a:t>2∗</a:t>
              </a:r>
              <a:r>
                <a:rPr lang="el-GR" sz="1100" b="0" i="0" baseline="0">
                  <a:latin typeface="Cambria Math" panose="02040503050406030204" pitchFamily="18" charset="0"/>
                </a:rPr>
                <a:t>π</a:t>
              </a:r>
              <a:r>
                <a:rPr lang="en-GB" sz="1100" b="0" i="0" baseline="0">
                  <a:latin typeface="Cambria Math" panose="02040503050406030204" pitchFamily="18" charset="0"/>
                </a:rPr>
                <a:t>)</a:t>
              </a:r>
              <a:r>
                <a:rPr lang="pt-BR" sz="1100" b="0" i="0" baseline="0">
                  <a:latin typeface="Cambria Math" panose="02040503050406030204" pitchFamily="18" charset="0"/>
                </a:rPr>
                <a:t>∗ln⁡(〖𝐷𝑦〗^2/(4∗</a:t>
              </a:r>
              <a:r>
                <a:rPr lang="el-GR" sz="1100" b="0" i="0" baseline="0">
                  <a:latin typeface="Cambria Math" panose="02040503050406030204" pitchFamily="18" charset="0"/>
                </a:rPr>
                <a:t>π</a:t>
              </a:r>
              <a:r>
                <a:rPr lang="pt-BR" sz="1100" b="0" i="0" baseline="0">
                  <a:latin typeface="Cambria Math" panose="02040503050406030204" pitchFamily="18" charset="0"/>
                </a:rPr>
                <a:t>∗(𝑁𝑐𝑗−1)∗𝐻∗𝐷𝑐𝑎)</a:t>
              </a:r>
              <a:r>
                <a:rPr lang="en-GB" sz="1100" baseline="0"/>
                <a:t>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24401</xdr:colOff>
      <xdr:row>26</xdr:row>
      <xdr:rowOff>62152</xdr:rowOff>
    </xdr:from>
    <xdr:ext cx="2369272" cy="232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678727" y="6605413"/>
              <a:ext cx="2369272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000" baseline="0"/>
                <a:t>Ksp=</a:t>
              </a:r>
              <a14:m>
                <m:oMath xmlns:m="http://schemas.openxmlformats.org/officeDocument/2006/math">
                  <m:f>
                    <m:fPr>
                      <m:ctrlPr>
                        <a:rPr lang="en-GB" sz="10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000" b="0" i="1" baseline="0">
                          <a:latin typeface="Cambria Math" panose="02040503050406030204" pitchFamily="18" charset="0"/>
                        </a:rPr>
                        <m:t>π</m:t>
                      </m:r>
                    </m:den>
                  </m:f>
                  <m:r>
                    <a:rPr lang="pt-BR" sz="1000" b="0" i="1" baseline="0">
                      <a:latin typeface="Cambria Math" panose="02040503050406030204" pitchFamily="18" charset="0"/>
                    </a:rPr>
                    <m:t>∗</m:t>
                  </m:r>
                  <m:d>
                    <m:dPr>
                      <m:begChr m:val="{"/>
                      <m:endChr m:val="}"/>
                      <m:ctrlPr>
                        <a:rPr lang="pt-BR" sz="10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2∗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𝐻</m:t>
                          </m:r>
                        </m:den>
                      </m:f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𝐷𝑥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𝐻</m:t>
                          </m:r>
                        </m:den>
                      </m:f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pt-BR" sz="1000" b="0" i="0" baseline="0">
                              <a:latin typeface="Cambria Math" panose="02040503050406030204" pitchFamily="18" charset="0"/>
                            </a:rPr>
                            <m:t>ln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⁡[0,655∗</m:t>
                          </m:r>
                          <m:d>
                            <m:dPr>
                              <m:ctrlP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d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−0,328]</m:t>
                          </m:r>
                        </m:num>
                        <m:den>
                          <m:sSup>
                            <m:sSupPr>
                              <m:ctrlP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𝐷𝑥</m:t>
                              </m:r>
                            </m:e>
                            <m:sup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</m:e>
                  </m:d>
                </m:oMath>
              </a14:m>
              <a:endParaRPr lang="en-GB" sz="10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678727" y="6605413"/>
              <a:ext cx="2369272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000" baseline="0"/>
                <a:t>Ksp=</a:t>
              </a:r>
              <a:r>
                <a:rPr lang="pt-BR" sz="1000" b="0" i="0" baseline="0">
                  <a:latin typeface="Cambria Math" panose="02040503050406030204" pitchFamily="18" charset="0"/>
                </a:rPr>
                <a:t>1</a:t>
              </a:r>
              <a:r>
                <a:rPr lang="en-GB" sz="1000" b="0" i="0" baseline="0">
                  <a:latin typeface="Cambria Math" panose="02040503050406030204" pitchFamily="18" charset="0"/>
                </a:rPr>
                <a:t>/</a:t>
              </a:r>
              <a:r>
                <a:rPr lang="el-GR" sz="1000" b="0" i="0" baseline="0">
                  <a:latin typeface="Cambria Math" panose="02040503050406030204" pitchFamily="18" charset="0"/>
                </a:rPr>
                <a:t>π</a:t>
              </a:r>
              <a:r>
                <a:rPr lang="pt-BR" sz="1000" b="0" i="0" baseline="0">
                  <a:latin typeface="Cambria Math" panose="02040503050406030204" pitchFamily="18" charset="0"/>
                </a:rPr>
                <a:t>∗{1/(2∗𝐻)+1/(𝐷𝑥+𝐻)+(ln⁡[0,655∗(𝑁−1)−0,328])/〖𝐷𝑥〗^2 }</a:t>
              </a:r>
              <a:endParaRPr lang="en-GB" sz="1000"/>
            </a:p>
          </xdr:txBody>
        </xdr:sp>
      </mc:Fallback>
    </mc:AlternateContent>
    <xdr:clientData/>
  </xdr:oneCellAnchor>
  <xdr:oneCellAnchor>
    <xdr:from>
      <xdr:col>1</xdr:col>
      <xdr:colOff>60527</xdr:colOff>
      <xdr:row>27</xdr:row>
      <xdr:rowOff>84578</xdr:rowOff>
    </xdr:from>
    <xdr:ext cx="2275168" cy="2465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/>
            <xdr:cNvSpPr txBox="1"/>
          </xdr:nvSpPr>
          <xdr:spPr>
            <a:xfrm>
              <a:off x="714853" y="7489230"/>
              <a:ext cx="2275168" cy="246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900" baseline="0"/>
                <a:t>Ksj=</a:t>
              </a:r>
              <a14:m>
                <m:oMath xmlns:m="http://schemas.openxmlformats.org/officeDocument/2006/math">
                  <m:f>
                    <m:fPr>
                      <m:ctrlPr>
                        <a:rPr lang="en-GB" sz="10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000" b="0" i="1" baseline="0">
                          <a:latin typeface="Cambria Math" panose="02040503050406030204" pitchFamily="18" charset="0"/>
                        </a:rPr>
                        <m:t>π</m:t>
                      </m:r>
                    </m:den>
                  </m:f>
                  <m:r>
                    <a:rPr lang="pt-BR" sz="1000" b="0" i="1" baseline="0">
                      <a:latin typeface="Cambria Math" panose="02040503050406030204" pitchFamily="18" charset="0"/>
                    </a:rPr>
                    <m:t>∗</m:t>
                  </m:r>
                  <m:d>
                    <m:dPr>
                      <m:begChr m:val="{"/>
                      <m:endChr m:val="}"/>
                      <m:ctrlPr>
                        <a:rPr lang="pt-BR" sz="10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2∗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𝐻</m:t>
                          </m:r>
                        </m:den>
                      </m:f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𝐷𝑦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𝐻</m:t>
                          </m:r>
                        </m:den>
                      </m:f>
                      <m:r>
                        <a:rPr lang="pt-BR" sz="1000" b="0" i="1" baseline="0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pt-BR" sz="10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pt-BR" sz="1000" b="0" i="0" baseline="0">
                              <a:latin typeface="Cambria Math" panose="02040503050406030204" pitchFamily="18" charset="0"/>
                            </a:rPr>
                            <m:t>ln</m:t>
                          </m:r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⁡[0,655∗</m:t>
                          </m:r>
                          <m:d>
                            <m:dPr>
                              <m:ctrlP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d>
                          <m:r>
                            <a:rPr lang="pt-BR" sz="1000" b="0" i="1" baseline="0">
                              <a:latin typeface="Cambria Math" panose="02040503050406030204" pitchFamily="18" charset="0"/>
                            </a:rPr>
                            <m:t>−0,328]</m:t>
                          </m:r>
                        </m:num>
                        <m:den>
                          <m:sSup>
                            <m:sSupPr>
                              <m:ctrlP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𝐷𝑦</m:t>
                              </m:r>
                            </m:e>
                            <m:sup>
                              <m:r>
                                <a:rPr lang="pt-BR" sz="1000" b="0" i="1" baseline="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</m:e>
                  </m:d>
                </m:oMath>
              </a14:m>
              <a:endParaRPr lang="en-GB" sz="900"/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714853" y="7489230"/>
              <a:ext cx="2275168" cy="246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900" baseline="0"/>
                <a:t>Ksj=</a:t>
              </a:r>
              <a:r>
                <a:rPr lang="pt-BR" sz="1000" b="0" i="0" baseline="0">
                  <a:latin typeface="Cambria Math" panose="02040503050406030204" pitchFamily="18" charset="0"/>
                </a:rPr>
                <a:t>1</a:t>
              </a:r>
              <a:r>
                <a:rPr lang="en-GB" sz="1000" b="0" i="0" baseline="0">
                  <a:latin typeface="Cambria Math" panose="02040503050406030204" pitchFamily="18" charset="0"/>
                </a:rPr>
                <a:t>/</a:t>
              </a:r>
              <a:r>
                <a:rPr lang="el-GR" sz="1000" b="0" i="0" baseline="0">
                  <a:latin typeface="Cambria Math" panose="02040503050406030204" pitchFamily="18" charset="0"/>
                </a:rPr>
                <a:t>π</a:t>
              </a:r>
              <a:r>
                <a:rPr lang="pt-BR" sz="1000" b="0" i="0" baseline="0">
                  <a:latin typeface="Cambria Math" panose="02040503050406030204" pitchFamily="18" charset="0"/>
                </a:rPr>
                <a:t>∗{1/(2∗𝐻)+1/(𝐷𝑦+𝐻)+(ln⁡[0,655∗(𝑁−1)−0,328])/〖𝐷𝑦〗^2 }</a:t>
              </a:r>
              <a:endParaRPr lang="en-GB" sz="900"/>
            </a:p>
          </xdr:txBody>
        </xdr:sp>
      </mc:Fallback>
    </mc:AlternateContent>
    <xdr:clientData/>
  </xdr:oneCellAnchor>
  <xdr:oneCellAnchor>
    <xdr:from>
      <xdr:col>1</xdr:col>
      <xdr:colOff>214008</xdr:colOff>
      <xdr:row>30</xdr:row>
      <xdr:rowOff>11405</xdr:rowOff>
    </xdr:from>
    <xdr:ext cx="1783374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/>
            <xdr:cNvSpPr txBox="1"/>
          </xdr:nvSpPr>
          <xdr:spPr>
            <a:xfrm>
              <a:off x="868334" y="7722514"/>
              <a:ext cx="178337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50" b="0" i="1">
                        <a:latin typeface="Cambria Math" panose="02040503050406030204" pitchFamily="18" charset="0"/>
                      </a:rPr>
                      <m:t>𝐿𝑐</m:t>
                    </m:r>
                    <m:r>
                      <a:rPr lang="pt-BR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𝑐𝑓𝑡</m:t>
                            </m:r>
                          </m:sub>
                        </m:sSub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0,116+0,174∗</m:t>
                        </m:r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9" name="CaixaDeTexto 8"/>
            <xdr:cNvSpPr txBox="1"/>
          </xdr:nvSpPr>
          <xdr:spPr>
            <a:xfrm>
              <a:off x="868334" y="7722514"/>
              <a:ext cx="178337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50" b="0" i="0">
                  <a:latin typeface="Cambria Math" panose="02040503050406030204" pitchFamily="18" charset="0"/>
                </a:rPr>
                <a:t>𝐿𝑐=(𝐾_𝑚∗𝐾_𝑖∗</a:t>
              </a:r>
              <a:r>
                <a:rPr lang="pt-BR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050" b="0" i="0">
                  <a:latin typeface="Cambria Math" panose="02040503050406030204" pitchFamily="18" charset="0"/>
                </a:rPr>
                <a:t>𝑚∗𝐼_𝑐𝑓𝑡∗√(𝑇_𝑓 ))/(0,116+0,174∗</a:t>
              </a:r>
              <a:r>
                <a:rPr lang="pt-BR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050" b="0" i="0">
                  <a:latin typeface="Cambria Math" panose="02040503050406030204" pitchFamily="18" charset="0"/>
                </a:rPr>
                <a:t>𝑠 )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1</xdr:col>
      <xdr:colOff>435093</xdr:colOff>
      <xdr:row>31</xdr:row>
      <xdr:rowOff>9811</xdr:rowOff>
    </xdr:from>
    <xdr:ext cx="1314719" cy="389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/>
            <xdr:cNvSpPr txBox="1"/>
          </xdr:nvSpPr>
          <xdr:spPr>
            <a:xfrm>
              <a:off x="1089419" y="8698268"/>
              <a:ext cx="1314719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𝐸𝑝𝑎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116+0,7∗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ixaDeTexto 9"/>
            <xdr:cNvSpPr txBox="1"/>
          </xdr:nvSpPr>
          <xdr:spPr>
            <a:xfrm>
              <a:off x="1089419" y="8698268"/>
              <a:ext cx="1314719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𝐸𝑝𝑎=(116+0,7∗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𝑠)/√(𝑇_𝑓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159983</xdr:colOff>
      <xdr:row>32</xdr:row>
      <xdr:rowOff>71738</xdr:rowOff>
    </xdr:from>
    <xdr:ext cx="1852690" cy="350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/>
            <xdr:cNvSpPr txBox="1"/>
          </xdr:nvSpPr>
          <xdr:spPr>
            <a:xfrm>
              <a:off x="797744" y="9497347"/>
              <a:ext cx="1852690" cy="350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𝐸𝑝𝑎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𝑐𝑓𝑡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CaixaDeTexto 10"/>
            <xdr:cNvSpPr txBox="1"/>
          </xdr:nvSpPr>
          <xdr:spPr>
            <a:xfrm>
              <a:off x="797744" y="9497347"/>
              <a:ext cx="1852690" cy="350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𝐸𝑝𝑎=(𝐾_𝑠∗𝐾_𝑖∗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1∗𝐼_𝑐𝑓𝑡)/𝐿_𝑐𝑚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115958</xdr:colOff>
      <xdr:row>33</xdr:row>
      <xdr:rowOff>2</xdr:rowOff>
    </xdr:from>
    <xdr:ext cx="1838738" cy="371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/>
            <xdr:cNvSpPr txBox="1"/>
          </xdr:nvSpPr>
          <xdr:spPr>
            <a:xfrm>
              <a:off x="753719" y="9889437"/>
              <a:ext cx="1838738" cy="371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50" b="0" i="1">
                        <a:latin typeface="Cambria Math" panose="02040503050406030204" pitchFamily="18" charset="0"/>
                      </a:rPr>
                      <m:t>𝐸𝑡𝑚</m:t>
                    </m:r>
                    <m:r>
                      <a:rPr lang="pt-BR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050" b="0" i="1">
                            <a:latin typeface="Cambria Math" panose="02040503050406030204" pitchFamily="18" charset="0"/>
                          </a:rPr>
                          <m:t>116+0,174∗</m:t>
                        </m:r>
                        <m:sSub>
                          <m:sSubPr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5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05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pt-BR" sz="105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105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en-GB" sz="1000"/>
            </a:p>
          </xdr:txBody>
        </xdr:sp>
      </mc:Choice>
      <mc:Fallback xmlns="">
        <xdr:sp macro="" textlink="">
          <xdr:nvSpPr>
            <xdr:cNvPr id="12" name="CaixaDeTexto 11"/>
            <xdr:cNvSpPr txBox="1"/>
          </xdr:nvSpPr>
          <xdr:spPr>
            <a:xfrm>
              <a:off x="753719" y="9889437"/>
              <a:ext cx="1838738" cy="371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50" b="0" i="0">
                  <a:latin typeface="Cambria Math" panose="02040503050406030204" pitchFamily="18" charset="0"/>
                </a:rPr>
                <a:t>𝐸𝑡𝑚=(116+0,174∗</a:t>
              </a:r>
              <a:r>
                <a:rPr lang="pt-BR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050" b="0" i="0">
                  <a:latin typeface="Cambria Math" panose="02040503050406030204" pitchFamily="18" charset="0"/>
                </a:rPr>
                <a:t>𝑠)/√(𝑇_𝑓 )</a:t>
              </a:r>
              <a:endParaRPr lang="en-GB" sz="1000"/>
            </a:p>
          </xdr:txBody>
        </xdr:sp>
      </mc:Fallback>
    </mc:AlternateContent>
    <xdr:clientData/>
  </xdr:oneCellAnchor>
  <xdr:oneCellAnchor>
    <xdr:from>
      <xdr:col>1</xdr:col>
      <xdr:colOff>213504</xdr:colOff>
      <xdr:row>34</xdr:row>
      <xdr:rowOff>50714</xdr:rowOff>
    </xdr:from>
    <xdr:ext cx="1741192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/>
            <xdr:cNvSpPr txBox="1"/>
          </xdr:nvSpPr>
          <xdr:spPr>
            <a:xfrm>
              <a:off x="867830" y="9542584"/>
              <a:ext cx="1741192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𝐸𝑡𝑒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𝑐𝑓𝑡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10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000"/>
            </a:p>
          </xdr:txBody>
        </xdr:sp>
      </mc:Choice>
      <mc:Fallback xmlns="">
        <xdr:sp macro="" textlink="">
          <xdr:nvSpPr>
            <xdr:cNvPr id="13" name="CaixaDeTexto 12"/>
            <xdr:cNvSpPr txBox="1"/>
          </xdr:nvSpPr>
          <xdr:spPr>
            <a:xfrm>
              <a:off x="867830" y="9542584"/>
              <a:ext cx="1741192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𝐸𝑡𝑒=(𝐾_𝑚∗𝐾_𝑖∗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000" b="0" i="0">
                  <a:latin typeface="Cambria Math" panose="02040503050406030204" pitchFamily="18" charset="0"/>
                </a:rPr>
                <a:t>1∗𝐼_𝑐𝑓𝑡)/𝐿_𝑐𝑚 </a:t>
              </a:r>
              <a:endParaRPr lang="en-GB" sz="1000"/>
            </a:p>
          </xdr:txBody>
        </xdr:sp>
      </mc:Fallback>
    </mc:AlternateContent>
    <xdr:clientData/>
  </xdr:oneCellAnchor>
  <xdr:oneCellAnchor>
    <xdr:from>
      <xdr:col>2</xdr:col>
      <xdr:colOff>77856</xdr:colOff>
      <xdr:row>34</xdr:row>
      <xdr:rowOff>505238</xdr:rowOff>
    </xdr:from>
    <xdr:ext cx="650114" cy="3890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/>
            <xdr:cNvSpPr txBox="1"/>
          </xdr:nvSpPr>
          <xdr:spPr>
            <a:xfrm>
              <a:off x="1353378" y="10841934"/>
              <a:ext cx="650114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𝐼𝑐h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116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</m:e>
                        </m:rad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1353378" y="10841934"/>
              <a:ext cx="650114" cy="389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𝐼𝑐ℎ=116/√(𝑇_𝑓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147845</xdr:colOff>
      <xdr:row>36</xdr:row>
      <xdr:rowOff>61497</xdr:rowOff>
    </xdr:from>
    <xdr:ext cx="1873112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/>
            <xdr:cNvSpPr txBox="1"/>
          </xdr:nvSpPr>
          <xdr:spPr>
            <a:xfrm>
              <a:off x="802171" y="11060801"/>
              <a:ext cx="187311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𝐼𝑝𝑚𝑠𝑏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𝑝𝑒𝑟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1000+6∗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/>
            <xdr:cNvSpPr txBox="1"/>
          </xdr:nvSpPr>
          <xdr:spPr>
            <a:xfrm>
              <a:off x="802171" y="11060801"/>
              <a:ext cx="187311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𝐼𝑝𝑚𝑠𝑏=(1000∗𝐸_𝑝𝑒𝑟)/(1000+6∗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1 )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107674</xdr:colOff>
      <xdr:row>37</xdr:row>
      <xdr:rowOff>124239</xdr:rowOff>
    </xdr:from>
    <xdr:ext cx="1880152" cy="352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/>
            <xdr:cNvSpPr txBox="1"/>
          </xdr:nvSpPr>
          <xdr:spPr>
            <a:xfrm>
              <a:off x="745435" y="11893826"/>
              <a:ext cx="1880152" cy="352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𝐼𝑝𝑚𝑐𝑏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𝑝𝑒𝑟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1000+6∗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/>
            <xdr:cNvSpPr txBox="1"/>
          </xdr:nvSpPr>
          <xdr:spPr>
            <a:xfrm>
              <a:off x="745435" y="11893826"/>
              <a:ext cx="1880152" cy="352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𝐼𝑝𝑚𝑐𝑏=(1000∗𝐸_𝑝𝑒𝑟)/(1000+6∗〖(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𝜌〗_</a:t>
              </a:r>
              <a:r>
                <a:rPr lang="pt-BR" sz="1100" b="0" i="0">
                  <a:latin typeface="Cambria Math" panose="02040503050406030204" pitchFamily="18" charset="0"/>
                </a:rPr>
                <a:t>1+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𝑠))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82412</xdr:colOff>
      <xdr:row>38</xdr:row>
      <xdr:rowOff>95870</xdr:rowOff>
    </xdr:from>
    <xdr:ext cx="1897132" cy="3466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/>
            <xdr:cNvSpPr txBox="1"/>
          </xdr:nvSpPr>
          <xdr:spPr>
            <a:xfrm>
              <a:off x="720173" y="12561196"/>
              <a:ext cx="1897132" cy="346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𝐼𝑝𝑚𝑠𝑏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𝑡𝑒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1000+1,5∗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/>
            <xdr:cNvSpPr txBox="1"/>
          </xdr:nvSpPr>
          <xdr:spPr>
            <a:xfrm>
              <a:off x="720173" y="12561196"/>
              <a:ext cx="1897132" cy="346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𝐼𝑝𝑚𝑠𝑏=(1000∗𝐸_𝑡𝑒)/(1000+1,5∗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1 )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49282</xdr:colOff>
      <xdr:row>39</xdr:row>
      <xdr:rowOff>54457</xdr:rowOff>
    </xdr:from>
    <xdr:ext cx="2137327" cy="3480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/>
            <xdr:cNvSpPr txBox="1"/>
          </xdr:nvSpPr>
          <xdr:spPr>
            <a:xfrm>
              <a:off x="687043" y="13099566"/>
              <a:ext cx="2137327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𝐼𝑝𝑚𝑐𝑏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𝑡𝑒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1000+1,5∗(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6" name="CaixaDeTexto 15"/>
            <xdr:cNvSpPr txBox="1"/>
          </xdr:nvSpPr>
          <xdr:spPr>
            <a:xfrm>
              <a:off x="687043" y="13099566"/>
              <a:ext cx="2137327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𝐼𝑝𝑚𝑐𝑏=(1000∗𝐸_𝑡𝑒)/(1000+1,5∗(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1+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𝑠))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194641</xdr:colOff>
      <xdr:row>40</xdr:row>
      <xdr:rowOff>19050</xdr:rowOff>
    </xdr:from>
    <xdr:ext cx="1895262" cy="356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/>
            <xdr:cNvSpPr txBox="1"/>
          </xdr:nvSpPr>
          <xdr:spPr>
            <a:xfrm>
              <a:off x="848967" y="13635659"/>
              <a:ext cx="1895262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𝑖𝑎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𝑐h</m:t>
                                </m:r>
                              </m:sub>
                            </m:s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+1,5+</m:t>
                            </m:r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∗9∗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1000∗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7" name="CaixaDeTexto 16"/>
            <xdr:cNvSpPr txBox="1"/>
          </xdr:nvSpPr>
          <xdr:spPr>
            <a:xfrm>
              <a:off x="848967" y="13635659"/>
              <a:ext cx="1895262" cy="356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𝑖𝑎=((𝑅_𝑐ℎ+1,5+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𝑠 )∗9∗𝐿_𝑐𝑚)/(1000∗𝐾_𝑚∗𝐾_𝑖∗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1 )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604631</xdr:colOff>
      <xdr:row>41</xdr:row>
      <xdr:rowOff>33544</xdr:rowOff>
    </xdr:from>
    <xdr:ext cx="2209800" cy="350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/>
            <xdr:cNvSpPr txBox="1"/>
          </xdr:nvSpPr>
          <xdr:spPr>
            <a:xfrm>
              <a:off x="604631" y="14039435"/>
              <a:ext cx="2209800" cy="350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𝐸𝑐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−1)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𝑐𝑓𝑡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8" name="CaixaDeTexto 17"/>
            <xdr:cNvSpPr txBox="1"/>
          </xdr:nvSpPr>
          <xdr:spPr>
            <a:xfrm>
              <a:off x="604631" y="14039435"/>
              <a:ext cx="2209800" cy="350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𝐸𝑐=[𝐾_(𝑐(𝑥))−𝐾_(𝑐(𝑥−1)) ]∗(𝜌_1∗𝐼_𝑐𝑓𝑡)/𝐿_𝑐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487845</xdr:colOff>
      <xdr:row>42</xdr:row>
      <xdr:rowOff>36857</xdr:rowOff>
    </xdr:from>
    <xdr:ext cx="1195071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/>
            <xdr:cNvSpPr txBox="1"/>
          </xdr:nvSpPr>
          <xdr:spPr>
            <a:xfrm>
              <a:off x="1125606" y="14481727"/>
              <a:ext cx="1195071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𝑅𝑚𝑐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9" name="CaixaDeTexto 18"/>
            <xdr:cNvSpPr txBox="1"/>
          </xdr:nvSpPr>
          <xdr:spPr>
            <a:xfrm>
              <a:off x="1125606" y="14481727"/>
              <a:ext cx="1195071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𝑅𝑚𝑐=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𝑎/(4∗𝑅)+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1100" b="0" i="0">
                  <a:latin typeface="Cambria Math" panose="02040503050406030204" pitchFamily="18" charset="0"/>
                </a:rPr>
                <a:t>𝑎/𝐿_𝑐𝑚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71644</xdr:colOff>
      <xdr:row>44</xdr:row>
      <xdr:rowOff>62740</xdr:rowOff>
    </xdr:from>
    <xdr:ext cx="2026902" cy="2420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/>
            <xdr:cNvSpPr txBox="1"/>
          </xdr:nvSpPr>
          <xdr:spPr>
            <a:xfrm>
              <a:off x="725970" y="14151457"/>
              <a:ext cx="2026902" cy="242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700" b="0" i="1">
                        <a:latin typeface="Cambria Math" panose="02040503050406030204" pitchFamily="18" charset="0"/>
                      </a:rPr>
                      <m:t>𝑅𝑚𝑢</m:t>
                    </m:r>
                    <m:r>
                      <a:rPr lang="pt-BR" sz="7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7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7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pt-BR" sz="7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pt-BR" sz="7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pt-BR" sz="7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BR" sz="7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</m:den>
                    </m:f>
                    <m:r>
                      <a:rPr lang="pt-BR" sz="7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begChr m:val="["/>
                        <m:endChr m:val="]"/>
                        <m:ctrlPr>
                          <a:rPr lang="pt-BR" sz="7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700" b="0" i="1">
                            <a:latin typeface="Cambria Math" panose="02040503050406030204" pitchFamily="18" charset="0"/>
                          </a:rPr>
                          <m:t>𝑙𝑛</m:t>
                        </m:r>
                        <m:d>
                          <m:dPr>
                            <m:ctrlPr>
                              <a:rPr lang="pt-BR" sz="7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  <m:t>2∗</m:t>
                                </m:r>
                                <m:sSub>
                                  <m:sSubPr>
                                    <m:ctrlP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𝑐𝑚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𝑡h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t-BR" sz="7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𝑐𝑚</m:t>
                                    </m:r>
                                  </m:sub>
                                </m:sSub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pt-BR" sz="700" b="0" i="1"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</m:rad>
                              </m:den>
                            </m:f>
                            <m:r>
                              <a:rPr lang="pt-BR" sz="7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pt-BR" sz="7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7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1" name="CaixaDeTexto 20"/>
            <xdr:cNvSpPr txBox="1"/>
          </xdr:nvSpPr>
          <xdr:spPr>
            <a:xfrm>
              <a:off x="725970" y="14151457"/>
              <a:ext cx="2026902" cy="2420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700" b="0" i="0">
                  <a:latin typeface="Cambria Math" panose="02040503050406030204" pitchFamily="18" charset="0"/>
                </a:rPr>
                <a:t>𝑅𝑚𝑢=</a:t>
              </a:r>
              <a:r>
                <a:rPr lang="pt-BR" sz="7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BR" sz="700" b="0" i="0">
                  <a:latin typeface="Cambria Math" panose="02040503050406030204" pitchFamily="18" charset="0"/>
                </a:rPr>
                <a:t>𝑎/(</a:t>
              </a:r>
              <a:r>
                <a:rPr lang="pt-BR" sz="7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𝜋∗𝐿_𝑐𝑚 )</a:t>
              </a:r>
              <a:r>
                <a:rPr lang="pt-BR" sz="700" b="0" i="0">
                  <a:latin typeface="Cambria Math" panose="02040503050406030204" pitchFamily="18" charset="0"/>
                </a:rPr>
                <a:t>∗[𝑙𝑛((2∗𝐿_𝑐𝑚)/𝐿_𝑡ℎ +(𝑘_1∗𝐿_𝑐𝑚)/√𝑆−𝐾_2+1)]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255932</xdr:colOff>
      <xdr:row>44</xdr:row>
      <xdr:rowOff>350147</xdr:rowOff>
    </xdr:from>
    <xdr:ext cx="1479571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/>
            <xdr:cNvSpPr txBox="1"/>
          </xdr:nvSpPr>
          <xdr:spPr>
            <a:xfrm>
              <a:off x="910258" y="14438864"/>
              <a:ext cx="1479571" cy="36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𝑅𝑡𝑚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𝑐𝑚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𝑚𝑢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𝑐𝑚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𝑚𝑢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0" name="CaixaDeTexto 19"/>
            <xdr:cNvSpPr txBox="1"/>
          </xdr:nvSpPr>
          <xdr:spPr>
            <a:xfrm>
              <a:off x="910258" y="14438864"/>
              <a:ext cx="1479571" cy="3683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𝑅𝑡𝑚=(𝑅_𝑐𝑚∗𝑅_ℎ−𝑅_𝑚𝑢^2)/(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𝑅_𝑐𝑚+𝑅_ℎ−𝑅_𝑚𝑢 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I2" sqref="I2"/>
    </sheetView>
  </sheetViews>
  <sheetFormatPr defaultRowHeight="15" x14ac:dyDescent="0.25"/>
  <cols>
    <col min="1" max="1" width="12.5703125" customWidth="1"/>
    <col min="2" max="2" width="8.140625" customWidth="1"/>
    <col min="3" max="4" width="8" customWidth="1"/>
    <col min="5" max="5" width="8.140625" customWidth="1"/>
    <col min="6" max="6" width="7.85546875" customWidth="1"/>
    <col min="7" max="7" width="13.28515625" customWidth="1"/>
  </cols>
  <sheetData>
    <row r="1" spans="1:7" x14ac:dyDescent="0.25">
      <c r="A1" s="18" t="s">
        <v>143</v>
      </c>
      <c r="B1" s="18"/>
      <c r="C1" s="18"/>
      <c r="D1" s="18"/>
      <c r="E1" s="18"/>
      <c r="F1" s="18"/>
      <c r="G1" s="18"/>
    </row>
    <row r="2" spans="1:7" x14ac:dyDescent="0.25">
      <c r="A2" s="14" t="s">
        <v>0</v>
      </c>
      <c r="B2" s="16" t="s">
        <v>1</v>
      </c>
      <c r="C2" s="16"/>
      <c r="D2" s="16"/>
      <c r="E2" s="16"/>
      <c r="F2" s="16"/>
      <c r="G2" s="19" t="s">
        <v>2</v>
      </c>
    </row>
    <row r="3" spans="1:7" x14ac:dyDescent="0.25">
      <c r="A3" s="15"/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0"/>
    </row>
    <row r="4" spans="1:7" x14ac:dyDescent="0.25">
      <c r="A4" s="1">
        <v>1</v>
      </c>
      <c r="B4" s="3">
        <v>79.259161659763905</v>
      </c>
      <c r="C4" s="3">
        <v>79.259161659763905</v>
      </c>
      <c r="D4" s="3">
        <v>79.259161659763905</v>
      </c>
      <c r="E4" s="3">
        <v>79.259161659763905</v>
      </c>
      <c r="F4" s="3">
        <v>79.259161659763905</v>
      </c>
      <c r="G4" s="1">
        <v>0.3</v>
      </c>
    </row>
    <row r="5" spans="1:7" x14ac:dyDescent="0.25">
      <c r="A5" s="1">
        <v>2</v>
      </c>
      <c r="B5" s="3">
        <v>38.754228642876498</v>
      </c>
      <c r="C5" s="3">
        <v>38.754228642876498</v>
      </c>
      <c r="D5" s="3">
        <v>38.754228642876498</v>
      </c>
      <c r="E5" s="3">
        <v>38.754228642876498</v>
      </c>
      <c r="F5" s="3">
        <v>38.754228642876498</v>
      </c>
      <c r="G5" s="1">
        <v>0.3</v>
      </c>
    </row>
    <row r="6" spans="1:7" x14ac:dyDescent="0.25">
      <c r="A6" s="1">
        <v>4</v>
      </c>
      <c r="B6" s="3">
        <v>17.069367646605802</v>
      </c>
      <c r="C6" s="3">
        <v>17.069367646605802</v>
      </c>
      <c r="D6" s="3">
        <v>17.069367646605802</v>
      </c>
      <c r="E6" s="3">
        <v>17.069367646605802</v>
      </c>
      <c r="F6" s="3">
        <v>17.069367646605802</v>
      </c>
      <c r="G6" s="1">
        <v>0.3</v>
      </c>
    </row>
    <row r="7" spans="1:7" x14ac:dyDescent="0.25">
      <c r="A7" s="1">
        <v>6</v>
      </c>
      <c r="B7" s="3">
        <v>9.2309866993299305</v>
      </c>
      <c r="C7" s="3">
        <v>9.2309866993299305</v>
      </c>
      <c r="D7" s="3">
        <v>9.2309866993299305</v>
      </c>
      <c r="E7" s="3">
        <v>9.2309866993299305</v>
      </c>
      <c r="F7" s="3">
        <v>9.2309866993299305</v>
      </c>
      <c r="G7" s="1">
        <v>0.3</v>
      </c>
    </row>
    <row r="8" spans="1:7" x14ac:dyDescent="0.25">
      <c r="A8" s="1">
        <v>8</v>
      </c>
      <c r="B8" s="3">
        <v>5.4610039848406604</v>
      </c>
      <c r="C8" s="3">
        <v>5.4610039848406604</v>
      </c>
      <c r="D8" s="3">
        <v>5.4610039848406604</v>
      </c>
      <c r="E8" s="3">
        <v>5.4610039848406604</v>
      </c>
      <c r="F8" s="3">
        <v>5.4610039848406604</v>
      </c>
      <c r="G8" s="1">
        <v>0.3</v>
      </c>
    </row>
    <row r="9" spans="1:7" x14ac:dyDescent="0.25">
      <c r="A9" s="1">
        <v>12</v>
      </c>
      <c r="B9" s="3">
        <v>2.3939556023405899</v>
      </c>
      <c r="C9" s="3">
        <v>2.3939556023405899</v>
      </c>
      <c r="D9" s="3">
        <v>2.3939556023405899</v>
      </c>
      <c r="E9" s="3">
        <v>2.3939556023405899</v>
      </c>
      <c r="F9" s="3">
        <v>2.3939556023405899</v>
      </c>
      <c r="G9" s="2">
        <v>0.3</v>
      </c>
    </row>
    <row r="10" spans="1:7" x14ac:dyDescent="0.25">
      <c r="A10" s="1">
        <v>16</v>
      </c>
      <c r="B10" s="3">
        <v>1.3727113841676</v>
      </c>
      <c r="C10" s="3">
        <v>1.3727113841676</v>
      </c>
      <c r="D10" s="3">
        <v>1.3727113841676</v>
      </c>
      <c r="E10" s="3">
        <v>1.3727113841676</v>
      </c>
      <c r="F10" s="3">
        <v>1.3727113841676</v>
      </c>
      <c r="G10" s="1">
        <v>0.3</v>
      </c>
    </row>
    <row r="11" spans="1:7" x14ac:dyDescent="0.25">
      <c r="A11" s="1">
        <v>22</v>
      </c>
      <c r="B11" s="3">
        <v>0.831946293434908</v>
      </c>
      <c r="C11" s="3">
        <v>0.831946293434908</v>
      </c>
      <c r="D11" s="3">
        <v>0.831946293434908</v>
      </c>
      <c r="E11" s="3">
        <v>0.831946293434908</v>
      </c>
      <c r="F11" s="3">
        <v>0.831946293434908</v>
      </c>
      <c r="G11" s="2">
        <v>0.3</v>
      </c>
    </row>
    <row r="12" spans="1:7" x14ac:dyDescent="0.25">
      <c r="A12" s="1">
        <v>32</v>
      </c>
      <c r="B12" s="3">
        <v>0.522227157020282</v>
      </c>
      <c r="C12" s="3">
        <v>0.522227157020282</v>
      </c>
      <c r="D12" s="3">
        <v>0.522227157020282</v>
      </c>
      <c r="E12" s="3">
        <v>0.522227157020282</v>
      </c>
      <c r="F12" s="3">
        <v>0.522227157020282</v>
      </c>
      <c r="G12" s="1">
        <v>0.3</v>
      </c>
    </row>
    <row r="14" spans="1:7" x14ac:dyDescent="0.25">
      <c r="A14" s="17" t="s">
        <v>8</v>
      </c>
      <c r="B14" s="17"/>
      <c r="C14" s="17"/>
      <c r="D14" s="17"/>
      <c r="E14" s="17"/>
      <c r="F14" s="17"/>
      <c r="G14" s="17"/>
    </row>
    <row r="15" spans="1:7" x14ac:dyDescent="0.25">
      <c r="A15" s="14" t="s">
        <v>0</v>
      </c>
      <c r="B15" s="16" t="s">
        <v>1</v>
      </c>
      <c r="C15" s="16"/>
      <c r="D15" s="16"/>
      <c r="E15" s="16"/>
      <c r="F15" s="16"/>
      <c r="G15" s="19" t="s">
        <v>9</v>
      </c>
    </row>
    <row r="16" spans="1:7" x14ac:dyDescent="0.25">
      <c r="A16" s="15"/>
      <c r="B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20"/>
    </row>
    <row r="17" spans="1:7" x14ac:dyDescent="0.25">
      <c r="A17" s="1">
        <f>A4</f>
        <v>1</v>
      </c>
      <c r="B17" s="5">
        <f t="shared" ref="B17:F25" si="0">(4*PI()*$A4*B4)/(1+((2*$A4)/(SQRT($A4^2+4*$G4^2)))-((2*$A4)/(SQRT($A4^2+4*$G4^2))))</f>
        <v>996.00000000000034</v>
      </c>
      <c r="C17" s="5">
        <f t="shared" si="0"/>
        <v>996.00000000000034</v>
      </c>
      <c r="D17" s="5">
        <f t="shared" si="0"/>
        <v>996.00000000000034</v>
      </c>
      <c r="E17" s="5">
        <f t="shared" si="0"/>
        <v>996.00000000000034</v>
      </c>
      <c r="F17" s="5">
        <f t="shared" si="0"/>
        <v>996.00000000000034</v>
      </c>
      <c r="G17" s="3">
        <f>SUMIF(B30:F30,"&lt;0,5",B17:F17)/COUNTIF(B30:F30,"&lt;0,5")</f>
        <v>996.00000000000034</v>
      </c>
    </row>
    <row r="18" spans="1:7" x14ac:dyDescent="0.25">
      <c r="A18" s="1">
        <f t="shared" ref="A18:A24" si="1">A5</f>
        <v>2</v>
      </c>
      <c r="B18" s="5">
        <f t="shared" si="0"/>
        <v>973.99999999999932</v>
      </c>
      <c r="C18" s="5">
        <f t="shared" si="0"/>
        <v>973.99999999999932</v>
      </c>
      <c r="D18" s="5">
        <f t="shared" si="0"/>
        <v>973.99999999999932</v>
      </c>
      <c r="E18" s="5">
        <f t="shared" si="0"/>
        <v>973.99999999999932</v>
      </c>
      <c r="F18" s="5">
        <f t="shared" si="0"/>
        <v>973.99999999999932</v>
      </c>
      <c r="G18" s="3">
        <f t="shared" ref="G18:G25" si="2">SUMIF(B31:F31,"&lt;0,5",B18:F18)/COUNTIF(B31:F31,"&lt;0,5")</f>
        <v>973.99999999999932</v>
      </c>
    </row>
    <row r="19" spans="1:7" x14ac:dyDescent="0.25">
      <c r="A19" s="1">
        <f t="shared" si="1"/>
        <v>4</v>
      </c>
      <c r="B19" s="5">
        <f t="shared" si="0"/>
        <v>858.00000000000136</v>
      </c>
      <c r="C19" s="5">
        <f t="shared" si="0"/>
        <v>858.00000000000136</v>
      </c>
      <c r="D19" s="5">
        <f t="shared" si="0"/>
        <v>858.00000000000136</v>
      </c>
      <c r="E19" s="5">
        <f t="shared" si="0"/>
        <v>858.00000000000136</v>
      </c>
      <c r="F19" s="5">
        <f t="shared" si="0"/>
        <v>858.00000000000136</v>
      </c>
      <c r="G19" s="3">
        <f t="shared" si="2"/>
        <v>858.00000000000148</v>
      </c>
    </row>
    <row r="20" spans="1:7" x14ac:dyDescent="0.25">
      <c r="A20" s="1">
        <f t="shared" si="1"/>
        <v>6</v>
      </c>
      <c r="B20" s="5">
        <f t="shared" si="0"/>
        <v>696.00000000000011</v>
      </c>
      <c r="C20" s="5">
        <f t="shared" si="0"/>
        <v>696.00000000000011</v>
      </c>
      <c r="D20" s="5">
        <f t="shared" si="0"/>
        <v>696.00000000000011</v>
      </c>
      <c r="E20" s="5">
        <f t="shared" si="0"/>
        <v>696.00000000000011</v>
      </c>
      <c r="F20" s="5">
        <f t="shared" si="0"/>
        <v>696.00000000000011</v>
      </c>
      <c r="G20" s="3">
        <f t="shared" si="2"/>
        <v>696.00000000000011</v>
      </c>
    </row>
    <row r="21" spans="1:7" x14ac:dyDescent="0.25">
      <c r="A21" s="1">
        <f t="shared" si="1"/>
        <v>8</v>
      </c>
      <c r="B21" s="5">
        <f t="shared" si="0"/>
        <v>549.00000000000011</v>
      </c>
      <c r="C21" s="5">
        <f t="shared" si="0"/>
        <v>549.00000000000011</v>
      </c>
      <c r="D21" s="5">
        <f t="shared" si="0"/>
        <v>549.00000000000011</v>
      </c>
      <c r="E21" s="5">
        <f t="shared" si="0"/>
        <v>549.00000000000011</v>
      </c>
      <c r="F21" s="5">
        <f t="shared" si="0"/>
        <v>549.00000000000011</v>
      </c>
      <c r="G21" s="3">
        <f t="shared" si="2"/>
        <v>549.00000000000011</v>
      </c>
    </row>
    <row r="22" spans="1:7" x14ac:dyDescent="0.25">
      <c r="A22" s="1">
        <f t="shared" si="1"/>
        <v>12</v>
      </c>
      <c r="B22" s="5">
        <f t="shared" si="0"/>
        <v>360.9999999999996</v>
      </c>
      <c r="C22" s="5">
        <f t="shared" si="0"/>
        <v>360.9999999999996</v>
      </c>
      <c r="D22" s="5">
        <f t="shared" si="0"/>
        <v>360.9999999999996</v>
      </c>
      <c r="E22" s="5">
        <f t="shared" si="0"/>
        <v>360.9999999999996</v>
      </c>
      <c r="F22" s="5">
        <f t="shared" si="0"/>
        <v>360.9999999999996</v>
      </c>
      <c r="G22" s="3">
        <f t="shared" si="2"/>
        <v>360.9999999999996</v>
      </c>
    </row>
    <row r="23" spans="1:7" x14ac:dyDescent="0.25">
      <c r="A23" s="1">
        <f t="shared" si="1"/>
        <v>16</v>
      </c>
      <c r="B23" s="5">
        <f t="shared" si="0"/>
        <v>276.00000000000045</v>
      </c>
      <c r="C23" s="5">
        <f t="shared" si="0"/>
        <v>276.00000000000045</v>
      </c>
      <c r="D23" s="5">
        <f t="shared" si="0"/>
        <v>276.00000000000045</v>
      </c>
      <c r="E23" s="5">
        <f t="shared" si="0"/>
        <v>276.00000000000045</v>
      </c>
      <c r="F23" s="5">
        <f t="shared" si="0"/>
        <v>276.00000000000045</v>
      </c>
      <c r="G23" s="3">
        <f t="shared" si="2"/>
        <v>276.00000000000045</v>
      </c>
    </row>
    <row r="24" spans="1:7" x14ac:dyDescent="0.25">
      <c r="A24" s="1">
        <f t="shared" si="1"/>
        <v>22</v>
      </c>
      <c r="B24" s="5">
        <f t="shared" si="0"/>
        <v>230.00000000000011</v>
      </c>
      <c r="C24" s="5">
        <f t="shared" si="0"/>
        <v>230.00000000000011</v>
      </c>
      <c r="D24" s="5">
        <f t="shared" si="0"/>
        <v>230.00000000000011</v>
      </c>
      <c r="E24" s="5">
        <f t="shared" si="0"/>
        <v>230.00000000000011</v>
      </c>
      <c r="F24" s="5">
        <f t="shared" si="0"/>
        <v>230.00000000000011</v>
      </c>
      <c r="G24" s="3">
        <f t="shared" si="2"/>
        <v>230.00000000000009</v>
      </c>
    </row>
    <row r="25" spans="1:7" x14ac:dyDescent="0.25">
      <c r="A25" s="1">
        <f>A12</f>
        <v>32</v>
      </c>
      <c r="B25" s="5">
        <f t="shared" si="0"/>
        <v>210.00000000000017</v>
      </c>
      <c r="C25" s="5">
        <f t="shared" si="0"/>
        <v>210.00000000000017</v>
      </c>
      <c r="D25" s="5">
        <f t="shared" si="0"/>
        <v>210.00000000000017</v>
      </c>
      <c r="E25" s="5">
        <f t="shared" si="0"/>
        <v>210.00000000000017</v>
      </c>
      <c r="F25" s="5">
        <f t="shared" si="0"/>
        <v>210.00000000000017</v>
      </c>
      <c r="G25" s="3">
        <f t="shared" si="2"/>
        <v>210.00000000000017</v>
      </c>
    </row>
    <row r="27" spans="1:7" x14ac:dyDescent="0.25">
      <c r="A27" s="17" t="s">
        <v>10</v>
      </c>
      <c r="B27" s="17"/>
      <c r="C27" s="17"/>
      <c r="D27" s="17"/>
      <c r="E27" s="17"/>
      <c r="F27" s="17"/>
    </row>
    <row r="28" spans="1:7" x14ac:dyDescent="0.25">
      <c r="A28" s="14" t="s">
        <v>0</v>
      </c>
      <c r="B28" s="16" t="s">
        <v>1</v>
      </c>
      <c r="C28" s="16"/>
      <c r="D28" s="16"/>
      <c r="E28" s="16"/>
      <c r="F28" s="16"/>
    </row>
    <row r="29" spans="1:7" x14ac:dyDescent="0.25">
      <c r="A29" s="15"/>
      <c r="B29" s="1" t="s">
        <v>11</v>
      </c>
      <c r="C29" s="1" t="s">
        <v>12</v>
      </c>
      <c r="D29" s="1" t="s">
        <v>13</v>
      </c>
      <c r="E29" s="1" t="s">
        <v>14</v>
      </c>
      <c r="F29" s="1" t="s">
        <v>15</v>
      </c>
    </row>
    <row r="30" spans="1:7" x14ac:dyDescent="0.25">
      <c r="A30" s="1">
        <f>A17</f>
        <v>1</v>
      </c>
      <c r="B30" s="4">
        <f t="shared" ref="B30:F38" si="3">ABS((AVERAGE($B17:$F17)-B17)/AVERAGE($B17:$F17))</f>
        <v>0</v>
      </c>
      <c r="C30" s="4">
        <f t="shared" si="3"/>
        <v>0</v>
      </c>
      <c r="D30" s="4">
        <f t="shared" si="3"/>
        <v>0</v>
      </c>
      <c r="E30" s="4">
        <f t="shared" si="3"/>
        <v>0</v>
      </c>
      <c r="F30" s="4">
        <f t="shared" si="3"/>
        <v>0</v>
      </c>
    </row>
    <row r="31" spans="1:7" x14ac:dyDescent="0.25">
      <c r="A31" s="1">
        <f t="shared" ref="A31:A37" si="4">A18</f>
        <v>2</v>
      </c>
      <c r="B31" s="4">
        <f t="shared" si="3"/>
        <v>0</v>
      </c>
      <c r="C31" s="4">
        <f t="shared" si="3"/>
        <v>0</v>
      </c>
      <c r="D31" s="4">
        <f t="shared" si="3"/>
        <v>0</v>
      </c>
      <c r="E31" s="4">
        <f t="shared" si="3"/>
        <v>0</v>
      </c>
      <c r="F31" s="4">
        <f t="shared" si="3"/>
        <v>0</v>
      </c>
    </row>
    <row r="32" spans="1:7" x14ac:dyDescent="0.25">
      <c r="A32" s="1">
        <f t="shared" si="4"/>
        <v>4</v>
      </c>
      <c r="B32" s="4">
        <f t="shared" si="3"/>
        <v>1.3250214186668513E-16</v>
      </c>
      <c r="C32" s="4">
        <f t="shared" si="3"/>
        <v>1.3250214186668513E-16</v>
      </c>
      <c r="D32" s="4">
        <f t="shared" si="3"/>
        <v>1.3250214186668513E-16</v>
      </c>
      <c r="E32" s="4">
        <f t="shared" si="3"/>
        <v>1.3250214186668513E-16</v>
      </c>
      <c r="F32" s="4">
        <f t="shared" si="3"/>
        <v>1.3250214186668513E-16</v>
      </c>
    </row>
    <row r="33" spans="1:6" x14ac:dyDescent="0.25">
      <c r="A33" s="1">
        <f t="shared" si="4"/>
        <v>6</v>
      </c>
      <c r="B33" s="4">
        <f t="shared" si="3"/>
        <v>0</v>
      </c>
      <c r="C33" s="4">
        <f t="shared" si="3"/>
        <v>0</v>
      </c>
      <c r="D33" s="4">
        <f t="shared" si="3"/>
        <v>0</v>
      </c>
      <c r="E33" s="4">
        <f t="shared" si="3"/>
        <v>0</v>
      </c>
      <c r="F33" s="4">
        <f t="shared" si="3"/>
        <v>0</v>
      </c>
    </row>
    <row r="34" spans="1:6" x14ac:dyDescent="0.25">
      <c r="A34" s="1">
        <f t="shared" si="4"/>
        <v>8</v>
      </c>
      <c r="B34" s="4">
        <f t="shared" si="3"/>
        <v>0</v>
      </c>
      <c r="C34" s="4">
        <f t="shared" si="3"/>
        <v>0</v>
      </c>
      <c r="D34" s="4">
        <f t="shared" si="3"/>
        <v>0</v>
      </c>
      <c r="E34" s="4">
        <f t="shared" si="3"/>
        <v>0</v>
      </c>
      <c r="F34" s="4">
        <f t="shared" si="3"/>
        <v>0</v>
      </c>
    </row>
    <row r="35" spans="1:6" x14ac:dyDescent="0.25">
      <c r="A35" s="1">
        <f t="shared" si="4"/>
        <v>12</v>
      </c>
      <c r="B35" s="4">
        <f t="shared" si="3"/>
        <v>0</v>
      </c>
      <c r="C35" s="4">
        <f t="shared" si="3"/>
        <v>0</v>
      </c>
      <c r="D35" s="4">
        <f t="shared" si="3"/>
        <v>0</v>
      </c>
      <c r="E35" s="4">
        <f t="shared" si="3"/>
        <v>0</v>
      </c>
      <c r="F35" s="4">
        <f t="shared" si="3"/>
        <v>0</v>
      </c>
    </row>
    <row r="36" spans="1:6" x14ac:dyDescent="0.25">
      <c r="A36" s="1">
        <f t="shared" si="4"/>
        <v>16</v>
      </c>
      <c r="B36" s="4">
        <f t="shared" si="3"/>
        <v>0</v>
      </c>
      <c r="C36" s="4">
        <f t="shared" si="3"/>
        <v>0</v>
      </c>
      <c r="D36" s="4">
        <f t="shared" si="3"/>
        <v>0</v>
      </c>
      <c r="E36" s="4">
        <f t="shared" si="3"/>
        <v>0</v>
      </c>
      <c r="F36" s="4">
        <f t="shared" si="3"/>
        <v>0</v>
      </c>
    </row>
    <row r="37" spans="1:6" x14ac:dyDescent="0.25">
      <c r="A37" s="1">
        <f t="shared" si="4"/>
        <v>22</v>
      </c>
      <c r="B37" s="4">
        <f t="shared" si="3"/>
        <v>1.2357264969740868E-16</v>
      </c>
      <c r="C37" s="4">
        <f t="shared" si="3"/>
        <v>1.2357264969740868E-16</v>
      </c>
      <c r="D37" s="4">
        <f t="shared" si="3"/>
        <v>1.2357264969740868E-16</v>
      </c>
      <c r="E37" s="4">
        <f t="shared" si="3"/>
        <v>1.2357264969740868E-16</v>
      </c>
      <c r="F37" s="4">
        <f t="shared" si="3"/>
        <v>1.2357264969740868E-16</v>
      </c>
    </row>
    <row r="38" spans="1:6" x14ac:dyDescent="0.25">
      <c r="A38" s="1">
        <f>A25</f>
        <v>32</v>
      </c>
      <c r="B38" s="4">
        <f t="shared" si="3"/>
        <v>0</v>
      </c>
      <c r="C38" s="4">
        <f t="shared" si="3"/>
        <v>0</v>
      </c>
      <c r="D38" s="4">
        <f t="shared" si="3"/>
        <v>0</v>
      </c>
      <c r="E38" s="4">
        <f t="shared" si="3"/>
        <v>0</v>
      </c>
      <c r="F38" s="4">
        <f t="shared" si="3"/>
        <v>0</v>
      </c>
    </row>
  </sheetData>
  <mergeCells count="11">
    <mergeCell ref="A28:A29"/>
    <mergeCell ref="B28:F28"/>
    <mergeCell ref="A27:F27"/>
    <mergeCell ref="B2:F2"/>
    <mergeCell ref="A1:G1"/>
    <mergeCell ref="A2:A3"/>
    <mergeCell ref="A14:G14"/>
    <mergeCell ref="A15:A16"/>
    <mergeCell ref="B15:F15"/>
    <mergeCell ref="G15:G16"/>
    <mergeCell ref="G2:G3"/>
  </mergeCells>
  <conditionalFormatting sqref="B30:F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O28" sqref="O28"/>
    </sheetView>
  </sheetViews>
  <sheetFormatPr defaultRowHeight="15" x14ac:dyDescent="0.25"/>
  <sheetData>
    <row r="1" spans="1:8" x14ac:dyDescent="0.25">
      <c r="A1" t="s">
        <v>16</v>
      </c>
      <c r="B1">
        <v>1000</v>
      </c>
      <c r="C1" t="s">
        <v>19</v>
      </c>
      <c r="G1">
        <v>1</v>
      </c>
      <c r="H1">
        <f>((-$B$3^G1)/(SQRT(1+(2*G1)^2)))-((-$B$3^G1)/(SQRT(4+(2*G1)^2)))</f>
        <v>-6.2440136604456103E-2</v>
      </c>
    </row>
    <row r="2" spans="1:8" x14ac:dyDescent="0.25">
      <c r="A2" t="s">
        <v>17</v>
      </c>
      <c r="B2">
        <v>200</v>
      </c>
      <c r="C2" t="s">
        <v>19</v>
      </c>
      <c r="G2">
        <v>2</v>
      </c>
      <c r="H2">
        <f t="shared" ref="H2:H20" si="0">((-$B$3^G2)/(SQRT(1+(2*G2)^2)))-((-$B$3^G2)/(SQRT(4+(2*G2)^2)))</f>
        <v>8.4128121272684514E-3</v>
      </c>
    </row>
    <row r="3" spans="1:8" x14ac:dyDescent="0.25">
      <c r="A3" t="s">
        <v>18</v>
      </c>
      <c r="B3">
        <f>(B1-B2)/(B1+B2)</f>
        <v>0.66666666666666663</v>
      </c>
      <c r="G3">
        <v>3</v>
      </c>
      <c r="H3">
        <f t="shared" si="0"/>
        <v>-1.8622531250187674E-3</v>
      </c>
    </row>
    <row r="4" spans="1:8" x14ac:dyDescent="0.25">
      <c r="G4">
        <v>4</v>
      </c>
      <c r="H4">
        <f t="shared" si="0"/>
        <v>5.4655250786014506E-4</v>
      </c>
    </row>
    <row r="5" spans="1:8" x14ac:dyDescent="0.25">
      <c r="A5" t="s">
        <v>20</v>
      </c>
      <c r="B5">
        <f>1+4*SUM(H:H)</f>
        <v>0.77807640571539693</v>
      </c>
      <c r="G5">
        <v>5</v>
      </c>
      <c r="H5">
        <f t="shared" si="0"/>
        <v>-1.9037385374905645E-4</v>
      </c>
    </row>
    <row r="6" spans="1:8" x14ac:dyDescent="0.25">
      <c r="G6">
        <v>6</v>
      </c>
      <c r="H6">
        <f t="shared" si="0"/>
        <v>7.4270393508811886E-5</v>
      </c>
    </row>
    <row r="7" spans="1:8" x14ac:dyDescent="0.25">
      <c r="A7" t="s">
        <v>21</v>
      </c>
      <c r="B7">
        <f>B5*B1</f>
        <v>778.07640571539696</v>
      </c>
      <c r="C7" t="s">
        <v>19</v>
      </c>
      <c r="G7">
        <v>7</v>
      </c>
      <c r="H7">
        <f t="shared" si="0"/>
        <v>-3.1392592256345407E-5</v>
      </c>
    </row>
    <row r="8" spans="1:8" x14ac:dyDescent="0.25">
      <c r="G8">
        <v>8</v>
      </c>
      <c r="H8">
        <f t="shared" si="0"/>
        <v>1.4082491740212248E-5</v>
      </c>
    </row>
    <row r="9" spans="1:8" x14ac:dyDescent="0.25">
      <c r="A9" t="s">
        <v>22</v>
      </c>
      <c r="B9">
        <v>5</v>
      </c>
      <c r="C9" t="s">
        <v>23</v>
      </c>
      <c r="G9">
        <v>9</v>
      </c>
      <c r="H9">
        <f t="shared" si="0"/>
        <v>-6.6137972652043076E-6</v>
      </c>
    </row>
    <row r="10" spans="1:8" x14ac:dyDescent="0.25">
      <c r="G10">
        <v>10</v>
      </c>
      <c r="H10">
        <f t="shared" si="0"/>
        <v>3.221318088269024E-6</v>
      </c>
    </row>
    <row r="11" spans="1:8" x14ac:dyDescent="0.25">
      <c r="G11">
        <v>11</v>
      </c>
      <c r="H11">
        <f t="shared" si="0"/>
        <v>-1.6160906696482957E-6</v>
      </c>
    </row>
    <row r="12" spans="1:8" x14ac:dyDescent="0.25">
      <c r="G12">
        <v>12</v>
      </c>
      <c r="H12">
        <f t="shared" si="0"/>
        <v>8.3088884868741907E-7</v>
      </c>
    </row>
    <row r="13" spans="1:8" x14ac:dyDescent="0.25">
      <c r="G13">
        <v>13</v>
      </c>
      <c r="H13">
        <f t="shared" si="0"/>
        <v>-4.3609533399661797E-7</v>
      </c>
    </row>
    <row r="14" spans="1:8" x14ac:dyDescent="0.25">
      <c r="G14">
        <v>14</v>
      </c>
      <c r="H14">
        <f t="shared" si="0"/>
        <v>2.3295204598029382E-7</v>
      </c>
    </row>
    <row r="15" spans="1:8" x14ac:dyDescent="0.25">
      <c r="G15">
        <v>15</v>
      </c>
      <c r="H15">
        <f t="shared" si="0"/>
        <v>-1.2634332646978459E-7</v>
      </c>
    </row>
    <row r="16" spans="1:8" x14ac:dyDescent="0.25">
      <c r="G16">
        <v>16</v>
      </c>
      <c r="H16">
        <f t="shared" si="0"/>
        <v>6.9437370000421353E-8</v>
      </c>
    </row>
    <row r="17" spans="7:8" x14ac:dyDescent="0.25">
      <c r="G17">
        <v>17</v>
      </c>
      <c r="H17">
        <f t="shared" si="0"/>
        <v>-3.8609684515610043E-8</v>
      </c>
    </row>
    <row r="18" spans="7:8" x14ac:dyDescent="0.25">
      <c r="G18">
        <v>18</v>
      </c>
      <c r="H18">
        <f t="shared" si="0"/>
        <v>2.1691322298261274E-8</v>
      </c>
    </row>
    <row r="19" spans="7:8" x14ac:dyDescent="0.25">
      <c r="G19">
        <v>19</v>
      </c>
      <c r="H19">
        <f t="shared" si="0"/>
        <v>-1.2299288023845495E-8</v>
      </c>
    </row>
    <row r="20" spans="7:8" x14ac:dyDescent="0.25">
      <c r="G20">
        <v>20</v>
      </c>
      <c r="H20">
        <f t="shared" si="0"/>
        <v>7.0318445025429498E-9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view="pageLayout" zoomScale="115" zoomScaleNormal="100" zoomScalePageLayoutView="115" workbookViewId="0">
      <selection activeCell="B17" sqref="B17:C17"/>
    </sheetView>
  </sheetViews>
  <sheetFormatPr defaultRowHeight="15" x14ac:dyDescent="0.25"/>
  <cols>
    <col min="3" max="3" width="22.85546875" customWidth="1"/>
    <col min="7" max="7" width="10.7109375" customWidth="1"/>
    <col min="8" max="8" width="2.7109375" customWidth="1"/>
    <col min="9" max="9" width="4.28515625" customWidth="1"/>
    <col min="10" max="10" width="6.5703125" customWidth="1"/>
  </cols>
  <sheetData>
    <row r="1" spans="1:10" x14ac:dyDescent="0.25">
      <c r="A1" s="43" t="s">
        <v>24</v>
      </c>
      <c r="B1" s="44" t="s">
        <v>29</v>
      </c>
      <c r="C1" s="44"/>
      <c r="D1" s="44" t="s">
        <v>25</v>
      </c>
      <c r="E1" s="44"/>
      <c r="F1" s="44"/>
      <c r="G1" s="44"/>
      <c r="H1" s="44" t="s">
        <v>26</v>
      </c>
      <c r="I1" s="44"/>
      <c r="J1" s="45" t="s">
        <v>140</v>
      </c>
    </row>
    <row r="2" spans="1:10" x14ac:dyDescent="0.25">
      <c r="A2" s="40" t="s">
        <v>152</v>
      </c>
      <c r="B2" s="41"/>
      <c r="C2" s="41"/>
      <c r="D2" s="41"/>
      <c r="E2" s="41"/>
      <c r="F2" s="41"/>
      <c r="G2" s="41"/>
      <c r="H2" s="41"/>
      <c r="I2" s="41"/>
      <c r="J2" s="42"/>
    </row>
    <row r="3" spans="1:10" x14ac:dyDescent="0.25">
      <c r="A3" s="8" t="s">
        <v>76</v>
      </c>
      <c r="B3" s="17" t="s">
        <v>142</v>
      </c>
      <c r="C3" s="17"/>
      <c r="D3" s="17" t="s">
        <v>35</v>
      </c>
      <c r="E3" s="17"/>
      <c r="F3" s="17"/>
      <c r="G3" s="17"/>
      <c r="H3" s="17">
        <v>448</v>
      </c>
      <c r="I3" s="17"/>
      <c r="J3" s="8" t="s">
        <v>27</v>
      </c>
    </row>
    <row r="4" spans="1:10" x14ac:dyDescent="0.25">
      <c r="A4" s="8" t="s">
        <v>85</v>
      </c>
      <c r="B4" s="17"/>
      <c r="C4" s="17"/>
      <c r="D4" s="17" t="s">
        <v>87</v>
      </c>
      <c r="E4" s="17"/>
      <c r="F4" s="17"/>
      <c r="G4" s="17"/>
      <c r="H4" s="17">
        <v>472</v>
      </c>
      <c r="I4" s="17"/>
      <c r="J4" s="8" t="s">
        <v>27</v>
      </c>
    </row>
    <row r="5" spans="1:10" x14ac:dyDescent="0.25">
      <c r="A5" s="8" t="s">
        <v>114</v>
      </c>
      <c r="B5" s="17"/>
      <c r="C5" s="17"/>
      <c r="D5" s="17" t="s">
        <v>35</v>
      </c>
      <c r="E5" s="17"/>
      <c r="F5" s="17"/>
      <c r="G5" s="17"/>
      <c r="H5" s="17">
        <v>445</v>
      </c>
      <c r="I5" s="17"/>
      <c r="J5" s="8" t="s">
        <v>27</v>
      </c>
    </row>
    <row r="6" spans="1:10" x14ac:dyDescent="0.25">
      <c r="A6" s="6" t="s">
        <v>82</v>
      </c>
      <c r="B6" s="17"/>
      <c r="C6" s="17"/>
      <c r="D6" s="17" t="s">
        <v>86</v>
      </c>
      <c r="E6" s="17"/>
      <c r="F6" s="17"/>
      <c r="G6" s="17"/>
      <c r="H6" s="17">
        <v>3000</v>
      </c>
      <c r="I6" s="17"/>
      <c r="J6" s="8" t="s">
        <v>27</v>
      </c>
    </row>
    <row r="7" spans="1:10" x14ac:dyDescent="0.25">
      <c r="A7" s="6" t="s">
        <v>71</v>
      </c>
      <c r="B7" s="17"/>
      <c r="C7" s="17"/>
      <c r="D7" s="29" t="s">
        <v>154</v>
      </c>
      <c r="E7" s="29"/>
      <c r="F7" s="29"/>
      <c r="G7" s="29"/>
      <c r="H7" s="16">
        <v>871</v>
      </c>
      <c r="I7" s="16"/>
      <c r="J7" s="8" t="s">
        <v>72</v>
      </c>
    </row>
    <row r="8" spans="1:10" x14ac:dyDescent="0.25">
      <c r="A8" s="6" t="s">
        <v>73</v>
      </c>
      <c r="B8" s="17"/>
      <c r="C8" s="17"/>
      <c r="D8" s="29" t="s">
        <v>74</v>
      </c>
      <c r="E8" s="29"/>
      <c r="F8" s="29"/>
      <c r="G8" s="29"/>
      <c r="H8" s="17">
        <v>0.5</v>
      </c>
      <c r="I8" s="17"/>
      <c r="J8" s="8" t="s">
        <v>75</v>
      </c>
    </row>
    <row r="9" spans="1:10" x14ac:dyDescent="0.25">
      <c r="A9" s="6" t="s">
        <v>46</v>
      </c>
      <c r="B9" s="17"/>
      <c r="C9" s="17"/>
      <c r="D9" s="17" t="s">
        <v>36</v>
      </c>
      <c r="E9" s="17"/>
      <c r="F9" s="17"/>
      <c r="G9" s="17"/>
      <c r="H9" s="17">
        <v>57</v>
      </c>
      <c r="I9" s="17"/>
      <c r="J9" s="8" t="s">
        <v>34</v>
      </c>
    </row>
    <row r="10" spans="1:10" x14ac:dyDescent="0.25">
      <c r="A10" s="6" t="s">
        <v>47</v>
      </c>
      <c r="B10" s="17"/>
      <c r="C10" s="17"/>
      <c r="D10" s="17" t="s">
        <v>37</v>
      </c>
      <c r="E10" s="17"/>
      <c r="F10" s="17"/>
      <c r="G10" s="17"/>
      <c r="H10" s="17">
        <v>41</v>
      </c>
      <c r="I10" s="17"/>
      <c r="J10" s="8" t="s">
        <v>34</v>
      </c>
    </row>
    <row r="11" spans="1:10" x14ac:dyDescent="0.25">
      <c r="A11" s="6" t="s">
        <v>54</v>
      </c>
      <c r="B11" s="17"/>
      <c r="C11" s="17"/>
      <c r="D11" s="17" t="s">
        <v>55</v>
      </c>
      <c r="E11" s="17"/>
      <c r="F11" s="17"/>
      <c r="G11" s="17"/>
      <c r="H11" s="17">
        <v>0.5</v>
      </c>
      <c r="I11" s="17"/>
      <c r="J11" s="8" t="s">
        <v>34</v>
      </c>
    </row>
    <row r="12" spans="1:10" x14ac:dyDescent="0.25">
      <c r="A12" s="6" t="s">
        <v>56</v>
      </c>
      <c r="B12" s="17" t="s">
        <v>151</v>
      </c>
      <c r="C12" s="17"/>
      <c r="D12" s="17" t="s">
        <v>57</v>
      </c>
      <c r="E12" s="17"/>
      <c r="F12" s="17"/>
      <c r="G12" s="17"/>
      <c r="H12" s="39">
        <v>1.4330000000000001E-2</v>
      </c>
      <c r="I12" s="39"/>
      <c r="J12" s="8" t="s">
        <v>34</v>
      </c>
    </row>
    <row r="13" spans="1:10" x14ac:dyDescent="0.25">
      <c r="A13" s="10" t="s">
        <v>122</v>
      </c>
      <c r="B13" s="31"/>
      <c r="C13" s="32"/>
      <c r="D13" s="31" t="s">
        <v>120</v>
      </c>
      <c r="E13" s="33"/>
      <c r="F13" s="33"/>
      <c r="G13" s="32"/>
      <c r="H13" s="31">
        <v>12</v>
      </c>
      <c r="I13" s="32"/>
      <c r="J13" s="8" t="s">
        <v>121</v>
      </c>
    </row>
    <row r="14" spans="1:10" x14ac:dyDescent="0.25">
      <c r="A14" s="9" t="s">
        <v>115</v>
      </c>
      <c r="B14" s="31"/>
      <c r="C14" s="32"/>
      <c r="D14" s="31" t="s">
        <v>116</v>
      </c>
      <c r="E14" s="33"/>
      <c r="F14" s="33"/>
      <c r="G14" s="32"/>
      <c r="H14" s="31">
        <v>3</v>
      </c>
      <c r="I14" s="32"/>
      <c r="J14" s="8" t="s">
        <v>34</v>
      </c>
    </row>
    <row r="15" spans="1:10" ht="27.75" customHeight="1" x14ac:dyDescent="0.25">
      <c r="A15" s="7" t="s">
        <v>110</v>
      </c>
      <c r="B15" s="17"/>
      <c r="C15" s="17"/>
      <c r="D15" s="29" t="s">
        <v>111</v>
      </c>
      <c r="E15" s="29"/>
      <c r="F15" s="29"/>
      <c r="G15" s="29"/>
      <c r="H15" s="16">
        <v>5</v>
      </c>
      <c r="I15" s="16"/>
      <c r="J15" s="8" t="s">
        <v>34</v>
      </c>
    </row>
    <row r="16" spans="1:10" x14ac:dyDescent="0.25">
      <c r="A16" s="7" t="s">
        <v>105</v>
      </c>
      <c r="B16" s="17" t="s">
        <v>155</v>
      </c>
      <c r="C16" s="17"/>
      <c r="D16" s="17" t="s">
        <v>106</v>
      </c>
      <c r="E16" s="17"/>
      <c r="F16" s="17"/>
      <c r="G16" s="17"/>
      <c r="H16" s="17">
        <v>1000</v>
      </c>
      <c r="I16" s="17"/>
      <c r="J16" s="8" t="s">
        <v>107</v>
      </c>
    </row>
    <row r="17" spans="1:10" x14ac:dyDescent="0.25">
      <c r="A17" s="6" t="s">
        <v>39</v>
      </c>
      <c r="B17" s="17"/>
      <c r="C17" s="17"/>
      <c r="D17" s="17" t="s">
        <v>40</v>
      </c>
      <c r="E17" s="17"/>
      <c r="F17" s="17"/>
      <c r="G17" s="17"/>
      <c r="H17" s="17">
        <v>18</v>
      </c>
      <c r="I17" s="17"/>
      <c r="J17" s="6" t="s">
        <v>140</v>
      </c>
    </row>
    <row r="18" spans="1:10" x14ac:dyDescent="0.25">
      <c r="A18" s="6" t="s">
        <v>41</v>
      </c>
      <c r="B18" s="17"/>
      <c r="C18" s="17"/>
      <c r="D18" s="17" t="s">
        <v>42</v>
      </c>
      <c r="E18" s="17"/>
      <c r="F18" s="17"/>
      <c r="G18" s="17"/>
      <c r="H18" s="17">
        <v>13</v>
      </c>
      <c r="I18" s="17"/>
      <c r="J18" s="6" t="s">
        <v>140</v>
      </c>
    </row>
    <row r="19" spans="1:10" x14ac:dyDescent="0.25">
      <c r="A19" s="40" t="s">
        <v>153</v>
      </c>
      <c r="B19" s="41"/>
      <c r="C19" s="41"/>
      <c r="D19" s="41"/>
      <c r="E19" s="41"/>
      <c r="F19" s="41"/>
      <c r="G19" s="41"/>
      <c r="H19" s="41"/>
      <c r="I19" s="41"/>
      <c r="J19" s="42"/>
    </row>
    <row r="20" spans="1:10" x14ac:dyDescent="0.25">
      <c r="A20" s="6" t="s">
        <v>30</v>
      </c>
      <c r="B20" s="17" t="s">
        <v>31</v>
      </c>
      <c r="C20" s="17"/>
      <c r="D20" s="17" t="s">
        <v>32</v>
      </c>
      <c r="E20" s="17"/>
      <c r="F20" s="17"/>
      <c r="G20" s="17"/>
      <c r="H20" s="17">
        <f>H9*H10</f>
        <v>2337</v>
      </c>
      <c r="I20" s="17"/>
      <c r="J20" s="6" t="s">
        <v>33</v>
      </c>
    </row>
    <row r="21" spans="1:10" ht="31.5" customHeight="1" x14ac:dyDescent="0.25">
      <c r="A21" s="6" t="s">
        <v>28</v>
      </c>
      <c r="B21" s="17"/>
      <c r="C21" s="17"/>
      <c r="D21" s="16" t="s">
        <v>38</v>
      </c>
      <c r="E21" s="16"/>
      <c r="F21" s="16"/>
      <c r="G21" s="16"/>
      <c r="H21" s="30">
        <f>SQRT(H20/PI())</f>
        <v>27.274350661592639</v>
      </c>
      <c r="I21" s="30"/>
      <c r="J21" s="8" t="s">
        <v>33</v>
      </c>
    </row>
    <row r="22" spans="1:10" x14ac:dyDescent="0.25">
      <c r="A22" s="6" t="s">
        <v>49</v>
      </c>
      <c r="B22" s="17" t="s">
        <v>53</v>
      </c>
      <c r="C22" s="17"/>
      <c r="D22" s="17" t="s">
        <v>51</v>
      </c>
      <c r="E22" s="17"/>
      <c r="F22" s="17"/>
      <c r="G22" s="17"/>
      <c r="H22" s="25">
        <f>H9/H17</f>
        <v>3.1666666666666665</v>
      </c>
      <c r="I22" s="25"/>
      <c r="J22" s="6" t="s">
        <v>34</v>
      </c>
    </row>
    <row r="23" spans="1:10" x14ac:dyDescent="0.25">
      <c r="A23" s="6" t="s">
        <v>50</v>
      </c>
      <c r="B23" s="17" t="s">
        <v>52</v>
      </c>
      <c r="C23" s="17"/>
      <c r="D23" s="17" t="s">
        <v>51</v>
      </c>
      <c r="E23" s="17"/>
      <c r="F23" s="17"/>
      <c r="G23" s="17"/>
      <c r="H23" s="25">
        <f>H10/H18</f>
        <v>3.1538461538461537</v>
      </c>
      <c r="I23" s="25"/>
      <c r="J23" s="6" t="s">
        <v>34</v>
      </c>
    </row>
    <row r="24" spans="1:10" x14ac:dyDescent="0.25">
      <c r="A24" s="6" t="s">
        <v>43</v>
      </c>
      <c r="B24" s="27" t="s">
        <v>45</v>
      </c>
      <c r="C24" s="27"/>
      <c r="D24" s="16" t="s">
        <v>44</v>
      </c>
      <c r="E24" s="16"/>
      <c r="F24" s="16"/>
      <c r="G24" s="16"/>
      <c r="H24" s="26">
        <f>1.05*((H9*H18)+(H10*H17))</f>
        <v>1552.95</v>
      </c>
      <c r="I24" s="26"/>
      <c r="J24" s="6" t="s">
        <v>34</v>
      </c>
    </row>
    <row r="25" spans="1:10" ht="32.25" customHeight="1" x14ac:dyDescent="0.25">
      <c r="A25" s="6" t="s">
        <v>59</v>
      </c>
      <c r="B25" s="17"/>
      <c r="C25" s="17"/>
      <c r="D25" s="27" t="s">
        <v>48</v>
      </c>
      <c r="E25" s="27"/>
      <c r="F25" s="27"/>
      <c r="G25" s="27"/>
      <c r="H25" s="30">
        <f>(1/(2*PI()))*LN((H22^2)/(4*PI()*(H17-1)*H11*H12))</f>
        <v>0.29915855647380496</v>
      </c>
      <c r="I25" s="30"/>
      <c r="J25" s="6"/>
    </row>
    <row r="26" spans="1:10" ht="36" customHeight="1" x14ac:dyDescent="0.25">
      <c r="A26" s="6" t="s">
        <v>60</v>
      </c>
      <c r="B26" s="17"/>
      <c r="C26" s="17"/>
      <c r="D26" s="27" t="s">
        <v>58</v>
      </c>
      <c r="E26" s="27"/>
      <c r="F26" s="27"/>
      <c r="G26" s="27"/>
      <c r="H26" s="30">
        <f>(1/(2*PI()))*LN((H23^2)/(4*PI()*(H18-1)*H11*H12))</f>
        <v>0.3533019688108977</v>
      </c>
      <c r="I26" s="30"/>
      <c r="J26" s="6"/>
    </row>
    <row r="27" spans="1:10" ht="30" customHeight="1" x14ac:dyDescent="0.25">
      <c r="A27" s="6" t="s">
        <v>61</v>
      </c>
      <c r="B27" s="17"/>
      <c r="C27" s="17"/>
      <c r="D27" s="27" t="s">
        <v>62</v>
      </c>
      <c r="E27" s="27"/>
      <c r="F27" s="27"/>
      <c r="G27" s="27"/>
      <c r="H27" s="28">
        <f>(1/PI())*((1/(2*H11))+(1/(H22+H11))+(LN(0.655*(H17-1)-0.328)/H22^2))</f>
        <v>0.48067573136695813</v>
      </c>
      <c r="I27" s="28"/>
      <c r="J27" s="6"/>
    </row>
    <row r="28" spans="1:10" ht="32.25" customHeight="1" x14ac:dyDescent="0.25">
      <c r="A28" s="6" t="s">
        <v>64</v>
      </c>
      <c r="B28" s="17"/>
      <c r="C28" s="17"/>
      <c r="D28" s="27" t="s">
        <v>63</v>
      </c>
      <c r="E28" s="27"/>
      <c r="F28" s="27"/>
      <c r="G28" s="27"/>
      <c r="H28" s="28">
        <f>(1/PI())*((1/(2*H11))+(1/(H23+H11))+(LN(0.655*(H18-1)-0.328)/H22^2))</f>
        <v>0.46952011606323568</v>
      </c>
      <c r="I28" s="28"/>
      <c r="J28" s="6"/>
    </row>
    <row r="29" spans="1:10" x14ac:dyDescent="0.25">
      <c r="A29" s="6" t="s">
        <v>66</v>
      </c>
      <c r="B29" s="17" t="s">
        <v>67</v>
      </c>
      <c r="C29" s="17"/>
      <c r="D29" s="17" t="s">
        <v>65</v>
      </c>
      <c r="E29" s="17"/>
      <c r="F29" s="17"/>
      <c r="G29" s="17"/>
      <c r="H29" s="17">
        <f>0.65+0.172*H17</f>
        <v>3.7459999999999996</v>
      </c>
      <c r="I29" s="17"/>
      <c r="J29" s="6"/>
    </row>
    <row r="30" spans="1:10" x14ac:dyDescent="0.25">
      <c r="A30" s="6" t="s">
        <v>77</v>
      </c>
      <c r="B30" s="17" t="s">
        <v>78</v>
      </c>
      <c r="C30" s="17"/>
      <c r="D30" s="17" t="s">
        <v>68</v>
      </c>
      <c r="E30" s="17"/>
      <c r="F30" s="17"/>
      <c r="G30" s="17"/>
      <c r="H30" s="17">
        <f>0.65+0.172*H18</f>
        <v>2.8859999999999997</v>
      </c>
      <c r="I30" s="17"/>
      <c r="J30" s="6"/>
    </row>
    <row r="31" spans="1:10" ht="34.5" customHeight="1" x14ac:dyDescent="0.25">
      <c r="A31" s="6" t="s">
        <v>69</v>
      </c>
      <c r="B31" s="17"/>
      <c r="C31" s="17"/>
      <c r="D31" s="27" t="s">
        <v>70</v>
      </c>
      <c r="E31" s="27"/>
      <c r="F31" s="27"/>
      <c r="G31" s="27"/>
      <c r="H31" s="26">
        <f>MAX((H25*H29*H3*H7*SQRT(H8))/(0.116+0.174*H6),(H26*H30*H3*H7*SQRT(H8))/(0.116+0.174*H6))</f>
        <v>592.22041051863675</v>
      </c>
      <c r="I31" s="26"/>
      <c r="J31" s="6" t="s">
        <v>34</v>
      </c>
    </row>
    <row r="32" spans="1:10" ht="33.75" customHeight="1" x14ac:dyDescent="0.25">
      <c r="A32" s="6" t="s">
        <v>79</v>
      </c>
      <c r="B32" s="17"/>
      <c r="C32" s="17"/>
      <c r="D32" s="16" t="s">
        <v>80</v>
      </c>
      <c r="E32" s="16"/>
      <c r="F32" s="16"/>
      <c r="G32" s="16"/>
      <c r="H32" s="26">
        <f>(116+0.7*H6)/(SQRT(H8))</f>
        <v>3133.8972542187785</v>
      </c>
      <c r="I32" s="26"/>
      <c r="J32" s="6" t="s">
        <v>81</v>
      </c>
    </row>
    <row r="33" spans="1:10" ht="36.75" customHeight="1" x14ac:dyDescent="0.25">
      <c r="A33" s="6" t="s">
        <v>83</v>
      </c>
      <c r="B33" s="17"/>
      <c r="C33" s="17"/>
      <c r="D33" s="16" t="s">
        <v>84</v>
      </c>
      <c r="E33" s="16"/>
      <c r="F33" s="16"/>
      <c r="G33" s="16"/>
      <c r="H33" s="26">
        <f>MAX((H27*H29*H4*H7)/(H24),(H28*H30*H4*H7)/(H24))</f>
        <v>476.67530089919399</v>
      </c>
      <c r="I33" s="26"/>
      <c r="J33" s="6" t="s">
        <v>81</v>
      </c>
    </row>
    <row r="34" spans="1:10" ht="35.25" customHeight="1" x14ac:dyDescent="0.25">
      <c r="A34" s="6" t="s">
        <v>88</v>
      </c>
      <c r="B34" s="17"/>
      <c r="C34" s="17"/>
      <c r="D34" s="16" t="s">
        <v>89</v>
      </c>
      <c r="E34" s="16"/>
      <c r="F34" s="16"/>
      <c r="G34" s="16"/>
      <c r="H34" s="26">
        <f>(116+0.174*H6)/(SQRT(H8))</f>
        <v>902.26825279403454</v>
      </c>
      <c r="I34" s="26"/>
      <c r="J34" s="6" t="s">
        <v>81</v>
      </c>
    </row>
    <row r="35" spans="1:10" ht="33" customHeight="1" x14ac:dyDescent="0.25">
      <c r="A35" s="6" t="s">
        <v>90</v>
      </c>
      <c r="B35" s="17"/>
      <c r="C35" s="17"/>
      <c r="D35" s="16" t="s">
        <v>91</v>
      </c>
      <c r="E35" s="16"/>
      <c r="F35" s="16"/>
      <c r="G35" s="16"/>
      <c r="H35" s="26">
        <f>MAX((H25*H29*H4*H7)/(H24),(H26*H30*H4*H7)/(H24))</f>
        <v>296.66880522173579</v>
      </c>
      <c r="I35" s="26"/>
      <c r="J35" s="6" t="s">
        <v>81</v>
      </c>
    </row>
    <row r="36" spans="1:10" ht="31.5" customHeight="1" x14ac:dyDescent="0.25">
      <c r="A36" s="7" t="s">
        <v>92</v>
      </c>
      <c r="B36" s="17"/>
      <c r="C36" s="17"/>
      <c r="D36" s="16" t="s">
        <v>93</v>
      </c>
      <c r="E36" s="16"/>
      <c r="F36" s="16"/>
      <c r="G36" s="16"/>
      <c r="H36" s="26">
        <f>116/SQRT(H8)</f>
        <v>164.04877323527901</v>
      </c>
      <c r="I36" s="26"/>
      <c r="J36" s="7" t="s">
        <v>94</v>
      </c>
    </row>
    <row r="37" spans="1:10" ht="41.25" customHeight="1" x14ac:dyDescent="0.25">
      <c r="A37" s="7" t="s">
        <v>95</v>
      </c>
      <c r="B37" s="17"/>
      <c r="C37" s="17"/>
      <c r="D37" s="27" t="s">
        <v>96</v>
      </c>
      <c r="E37" s="27"/>
      <c r="F37" s="27"/>
      <c r="G37" s="27"/>
      <c r="H37" s="26">
        <f>(1000*H33)/(1000+6*H4)</f>
        <v>124.39334574613622</v>
      </c>
      <c r="I37" s="26"/>
      <c r="J37" s="7" t="s">
        <v>94</v>
      </c>
    </row>
    <row r="38" spans="1:10" ht="48" customHeight="1" x14ac:dyDescent="0.25">
      <c r="A38" s="7" t="s">
        <v>97</v>
      </c>
      <c r="B38" s="17"/>
      <c r="C38" s="17"/>
      <c r="D38" s="27" t="s">
        <v>98</v>
      </c>
      <c r="E38" s="27"/>
      <c r="F38" s="27"/>
      <c r="G38" s="27"/>
      <c r="H38" s="26">
        <f>(1000*H33)/(1000+6*(H4+H6))</f>
        <v>21.83378989094879</v>
      </c>
      <c r="I38" s="26"/>
      <c r="J38" s="7" t="s">
        <v>94</v>
      </c>
    </row>
    <row r="39" spans="1:10" ht="45.75" customHeight="1" x14ac:dyDescent="0.25">
      <c r="A39" s="7" t="s">
        <v>100</v>
      </c>
      <c r="B39" s="17"/>
      <c r="C39" s="17"/>
      <c r="D39" s="27" t="s">
        <v>99</v>
      </c>
      <c r="E39" s="27"/>
      <c r="F39" s="27"/>
      <c r="G39" s="27"/>
      <c r="H39" s="26">
        <f>(1000*H35)/(1000+1.5*H4)</f>
        <v>173.69367987221065</v>
      </c>
      <c r="I39" s="26"/>
      <c r="J39" s="7" t="s">
        <v>94</v>
      </c>
    </row>
    <row r="40" spans="1:10" ht="40.5" customHeight="1" x14ac:dyDescent="0.25">
      <c r="A40" s="7" t="s">
        <v>102</v>
      </c>
      <c r="B40" s="17"/>
      <c r="C40" s="17"/>
      <c r="D40" s="27" t="s">
        <v>101</v>
      </c>
      <c r="E40" s="27"/>
      <c r="F40" s="27"/>
      <c r="G40" s="27"/>
      <c r="H40" s="26">
        <f>(1000*H35)/(1000+1.5*(H4+H6))</f>
        <v>47.788145171027026</v>
      </c>
      <c r="I40" s="26"/>
      <c r="J40" s="7" t="s">
        <v>94</v>
      </c>
    </row>
    <row r="41" spans="1:10" ht="30.75" customHeight="1" x14ac:dyDescent="0.25">
      <c r="A41" s="7" t="s">
        <v>103</v>
      </c>
      <c r="B41" s="17"/>
      <c r="C41" s="17"/>
      <c r="D41" s="27" t="s">
        <v>104</v>
      </c>
      <c r="E41" s="27"/>
      <c r="F41" s="27"/>
      <c r="G41" s="27"/>
      <c r="H41" s="26">
        <f>((H16+1.5*H6)*9*H24)/(1000*H25*H29*H4)</f>
        <v>145.3287276624026</v>
      </c>
      <c r="I41" s="26"/>
      <c r="J41" s="7" t="s">
        <v>72</v>
      </c>
    </row>
    <row r="42" spans="1:10" ht="34.5" customHeight="1" x14ac:dyDescent="0.25">
      <c r="A42" s="8" t="s">
        <v>109</v>
      </c>
      <c r="B42" s="17"/>
      <c r="C42" s="17"/>
      <c r="D42" s="16" t="s">
        <v>108</v>
      </c>
      <c r="E42" s="16"/>
      <c r="F42" s="16"/>
      <c r="G42" s="16"/>
      <c r="H42" s="26">
        <f>(Auxiliar!D2-Auxiliar!E2)*((H4*H7)/(H31))</f>
        <v>77.433303601438098</v>
      </c>
      <c r="I42" s="26"/>
      <c r="J42" s="7" t="s">
        <v>81</v>
      </c>
    </row>
    <row r="43" spans="1:10" ht="28.5" customHeight="1" x14ac:dyDescent="0.25">
      <c r="A43" s="7" t="s">
        <v>112</v>
      </c>
      <c r="B43" s="17"/>
      <c r="C43" s="17"/>
      <c r="D43" s="16" t="s">
        <v>113</v>
      </c>
      <c r="E43" s="16"/>
      <c r="F43" s="16"/>
      <c r="G43" s="16"/>
      <c r="H43" s="26">
        <f>((H5)/(4*H21))+(H5/H24)</f>
        <v>4.3654752739182081</v>
      </c>
      <c r="I43" s="26"/>
      <c r="J43" s="8" t="s">
        <v>107</v>
      </c>
    </row>
    <row r="44" spans="1:10" ht="27.75" customHeight="1" x14ac:dyDescent="0.25">
      <c r="A44" s="7" t="s">
        <v>123</v>
      </c>
      <c r="B44" s="27" t="s">
        <v>125</v>
      </c>
      <c r="C44" s="27"/>
      <c r="D44" s="27" t="s">
        <v>124</v>
      </c>
      <c r="E44" s="27"/>
      <c r="F44" s="27"/>
      <c r="G44" s="27"/>
      <c r="H44" s="26">
        <v>16.3</v>
      </c>
      <c r="I44" s="26"/>
      <c r="J44" s="8" t="s">
        <v>107</v>
      </c>
    </row>
    <row r="45" spans="1:10" ht="27.75" customHeight="1" x14ac:dyDescent="0.25">
      <c r="A45" s="7" t="s">
        <v>126</v>
      </c>
      <c r="B45" s="17"/>
      <c r="C45" s="17"/>
      <c r="D45" s="27" t="s">
        <v>127</v>
      </c>
      <c r="E45" s="27"/>
      <c r="F45" s="27"/>
      <c r="G45" s="27"/>
      <c r="H45" s="28">
        <f>((H5)/(PI()*H24))*LN(((2*H24)/(H13*H14))+(((1.14125-0.0425*(H9/H10))*H24)/(SQRT(H20)))-(5.49-0.1443*(H9/H10))+1)</f>
        <v>0.43417216817050425</v>
      </c>
      <c r="I45" s="28"/>
      <c r="J45" s="8" t="s">
        <v>107</v>
      </c>
    </row>
    <row r="46" spans="1:10" ht="30" customHeight="1" x14ac:dyDescent="0.25">
      <c r="A46" s="7" t="s">
        <v>128</v>
      </c>
      <c r="B46" s="17"/>
      <c r="C46" s="17"/>
      <c r="D46" s="16" t="s">
        <v>129</v>
      </c>
      <c r="E46" s="16"/>
      <c r="F46" s="16"/>
      <c r="G46" s="16"/>
      <c r="H46" s="26">
        <f>(H43*H44-H45^2)/(H43+H44-2*H45)</f>
        <v>3.5847993184985305</v>
      </c>
      <c r="I46" s="26"/>
      <c r="J46" s="8" t="s">
        <v>107</v>
      </c>
    </row>
    <row r="47" spans="1:10" x14ac:dyDescent="0.25">
      <c r="A47" s="35" t="s">
        <v>130</v>
      </c>
      <c r="B47" s="35"/>
      <c r="C47" s="35"/>
      <c r="D47" s="35"/>
      <c r="E47" s="35"/>
      <c r="F47" s="35"/>
      <c r="G47" s="35"/>
      <c r="H47" s="35"/>
      <c r="I47" s="35"/>
      <c r="J47" s="35"/>
    </row>
    <row r="48" spans="1:10" ht="6.75" customHeight="1" x14ac:dyDescent="0.25">
      <c r="A48" s="22"/>
      <c r="B48" s="23"/>
      <c r="C48" s="23"/>
      <c r="D48" s="23"/>
      <c r="E48" s="23"/>
      <c r="F48" s="23"/>
      <c r="G48" s="23"/>
      <c r="H48" s="23"/>
      <c r="I48" s="23"/>
      <c r="J48" s="24"/>
    </row>
    <row r="49" spans="1:10" ht="15.75" x14ac:dyDescent="0.25">
      <c r="A49" s="21" t="s">
        <v>131</v>
      </c>
      <c r="B49" s="21"/>
      <c r="C49" s="21"/>
      <c r="D49" s="21"/>
      <c r="E49" s="21"/>
      <c r="F49" s="21"/>
      <c r="G49" s="21"/>
      <c r="H49" s="21"/>
      <c r="I49" s="21"/>
      <c r="J49" s="21"/>
    </row>
    <row r="50" spans="1:10" x14ac:dyDescent="0.25">
      <c r="A50" s="31" t="s">
        <v>135</v>
      </c>
      <c r="B50" s="33"/>
      <c r="C50" s="33"/>
      <c r="D50" s="33"/>
      <c r="E50" s="33"/>
      <c r="F50" s="32"/>
      <c r="G50" s="11" t="s">
        <v>134</v>
      </c>
      <c r="H50" s="22" t="str">
        <f>IF(H24&gt;H31,"Verdadeiro","Falso")</f>
        <v>Verdadeiro</v>
      </c>
      <c r="I50" s="23"/>
      <c r="J50" s="24"/>
    </row>
    <row r="51" spans="1:10" x14ac:dyDescent="0.25">
      <c r="A51" s="31" t="s">
        <v>136</v>
      </c>
      <c r="B51" s="33"/>
      <c r="C51" s="33"/>
      <c r="D51" s="33"/>
      <c r="E51" s="33"/>
      <c r="F51" s="32"/>
      <c r="G51" s="11" t="s">
        <v>132</v>
      </c>
      <c r="H51" s="22" t="str">
        <f>IF(H32&gt;H33,"Verdadeiro","Falso")</f>
        <v>Verdadeiro</v>
      </c>
      <c r="I51" s="23"/>
      <c r="J51" s="24"/>
    </row>
    <row r="52" spans="1:10" x14ac:dyDescent="0.25">
      <c r="A52" s="31" t="s">
        <v>137</v>
      </c>
      <c r="B52" s="33"/>
      <c r="C52" s="33"/>
      <c r="D52" s="33"/>
      <c r="E52" s="33"/>
      <c r="F52" s="32"/>
      <c r="G52" s="11" t="s">
        <v>133</v>
      </c>
      <c r="H52" s="22" t="str">
        <f>IF(H34&gt;H35,"Verdadeiro","Falso")</f>
        <v>Verdadeiro</v>
      </c>
      <c r="I52" s="23"/>
      <c r="J52" s="24"/>
    </row>
    <row r="53" spans="1:10" ht="27.75" customHeight="1" x14ac:dyDescent="0.25">
      <c r="A53" s="36" t="s">
        <v>145</v>
      </c>
      <c r="B53" s="37"/>
      <c r="C53" s="37"/>
      <c r="D53" s="37"/>
      <c r="E53" s="37"/>
      <c r="F53" s="38"/>
      <c r="G53" s="11" t="s">
        <v>146</v>
      </c>
      <c r="H53" s="22" t="str">
        <f>IF(H37&lt;H36,"Verdadeiro","Falso")</f>
        <v>Verdadeiro</v>
      </c>
      <c r="I53" s="23"/>
      <c r="J53" s="24"/>
    </row>
    <row r="54" spans="1:10" ht="27.75" customHeight="1" x14ac:dyDescent="0.25">
      <c r="A54" s="36" t="s">
        <v>144</v>
      </c>
      <c r="B54" s="37"/>
      <c r="C54" s="37"/>
      <c r="D54" s="37"/>
      <c r="E54" s="37"/>
      <c r="F54" s="38"/>
      <c r="G54" s="11" t="s">
        <v>147</v>
      </c>
      <c r="H54" s="22" t="str">
        <f>IF(H38&lt;H36,"Verdadeiro","Falso")</f>
        <v>Verdadeiro</v>
      </c>
      <c r="I54" s="23"/>
      <c r="J54" s="24"/>
    </row>
    <row r="55" spans="1:10" x14ac:dyDescent="0.25">
      <c r="A55" s="22" t="s">
        <v>99</v>
      </c>
      <c r="B55" s="23"/>
      <c r="C55" s="23"/>
      <c r="D55" s="23"/>
      <c r="E55" s="23"/>
      <c r="F55" s="24"/>
      <c r="G55" s="12" t="s">
        <v>149</v>
      </c>
      <c r="H55" s="22" t="str">
        <f>IF(H39&lt;H36,"Verdadeiro","Falso")</f>
        <v>Falso</v>
      </c>
      <c r="I55" s="23"/>
      <c r="J55" s="24"/>
    </row>
    <row r="56" spans="1:10" x14ac:dyDescent="0.25">
      <c r="A56" s="22" t="s">
        <v>101</v>
      </c>
      <c r="B56" s="23"/>
      <c r="C56" s="23"/>
      <c r="D56" s="23"/>
      <c r="E56" s="23"/>
      <c r="F56" s="24"/>
      <c r="G56" s="12" t="s">
        <v>150</v>
      </c>
      <c r="H56" s="22" t="str">
        <f>IF(H40&lt;H36,"Verdadeiro","Falso")</f>
        <v>Verdadeiro</v>
      </c>
      <c r="I56" s="23"/>
      <c r="J56" s="24"/>
    </row>
    <row r="57" spans="1:10" ht="17.25" x14ac:dyDescent="0.25">
      <c r="A57" s="22" t="s">
        <v>138</v>
      </c>
      <c r="B57" s="23"/>
      <c r="C57" s="23"/>
      <c r="D57" s="23"/>
      <c r="E57" s="23"/>
      <c r="F57" s="24"/>
      <c r="G57" s="11" t="s">
        <v>148</v>
      </c>
      <c r="H57" s="22" t="str">
        <f>IF(H42&lt;H34,"Verdadeiro","Falso")</f>
        <v>Verdadeiro</v>
      </c>
      <c r="I57" s="23"/>
      <c r="J57" s="24"/>
    </row>
    <row r="58" spans="1:10" ht="32.25" customHeight="1" x14ac:dyDescent="0.25">
      <c r="A58" s="34" t="s">
        <v>141</v>
      </c>
      <c r="B58" s="34"/>
      <c r="C58" s="34"/>
      <c r="D58" s="34"/>
      <c r="E58" s="34"/>
      <c r="F58" s="34"/>
      <c r="G58" s="34"/>
      <c r="H58" s="34"/>
      <c r="I58" s="34"/>
      <c r="J58" s="34"/>
    </row>
    <row r="59" spans="1:10" x14ac:dyDescent="0.25">
      <c r="A59" s="13" t="s">
        <v>139</v>
      </c>
    </row>
  </sheetData>
  <mergeCells count="154">
    <mergeCell ref="B18:C18"/>
    <mergeCell ref="B9:C9"/>
    <mergeCell ref="D9:G9"/>
    <mergeCell ref="H9:I9"/>
    <mergeCell ref="B10:C10"/>
    <mergeCell ref="D10:G10"/>
    <mergeCell ref="H10:I10"/>
    <mergeCell ref="B11:C11"/>
    <mergeCell ref="D11:G11"/>
    <mergeCell ref="H11:I11"/>
    <mergeCell ref="D18:G18"/>
    <mergeCell ref="B12:C12"/>
    <mergeCell ref="D12:G12"/>
    <mergeCell ref="H18:I18"/>
    <mergeCell ref="D17:G17"/>
    <mergeCell ref="H17:I17"/>
    <mergeCell ref="B17:C17"/>
    <mergeCell ref="B22:C22"/>
    <mergeCell ref="D22:G22"/>
    <mergeCell ref="H22:I22"/>
    <mergeCell ref="H57:J57"/>
    <mergeCell ref="A50:F50"/>
    <mergeCell ref="A51:F51"/>
    <mergeCell ref="A52:F52"/>
    <mergeCell ref="A53:F53"/>
    <mergeCell ref="A54:F54"/>
    <mergeCell ref="A57:F57"/>
    <mergeCell ref="D37:G37"/>
    <mergeCell ref="H37:I37"/>
    <mergeCell ref="B38:C38"/>
    <mergeCell ref="D38:G38"/>
    <mergeCell ref="H38:I38"/>
    <mergeCell ref="B39:C39"/>
    <mergeCell ref="D39:G39"/>
    <mergeCell ref="H39:I39"/>
    <mergeCell ref="D36:G36"/>
    <mergeCell ref="H36:I36"/>
    <mergeCell ref="B44:C44"/>
    <mergeCell ref="A58:J58"/>
    <mergeCell ref="H50:J50"/>
    <mergeCell ref="B4:C4"/>
    <mergeCell ref="D4:G4"/>
    <mergeCell ref="H4:I4"/>
    <mergeCell ref="B34:C34"/>
    <mergeCell ref="D34:G34"/>
    <mergeCell ref="H34:I34"/>
    <mergeCell ref="B35:C35"/>
    <mergeCell ref="D35:G35"/>
    <mergeCell ref="B8:C8"/>
    <mergeCell ref="D8:G8"/>
    <mergeCell ref="H8:I8"/>
    <mergeCell ref="B6:C6"/>
    <mergeCell ref="B5:C5"/>
    <mergeCell ref="D5:G5"/>
    <mergeCell ref="H5:I5"/>
    <mergeCell ref="B14:C14"/>
    <mergeCell ref="D14:G14"/>
    <mergeCell ref="H14:I14"/>
    <mergeCell ref="A47:J47"/>
    <mergeCell ref="B7:C7"/>
    <mergeCell ref="D7:G7"/>
    <mergeCell ref="H7:I7"/>
    <mergeCell ref="H35:I35"/>
    <mergeCell ref="B36:C36"/>
    <mergeCell ref="B37:C37"/>
    <mergeCell ref="D41:G41"/>
    <mergeCell ref="H41:I41"/>
    <mergeCell ref="B40:C40"/>
    <mergeCell ref="D40:G40"/>
    <mergeCell ref="H40:I40"/>
    <mergeCell ref="B46:C46"/>
    <mergeCell ref="D46:G46"/>
    <mergeCell ref="H46:I46"/>
    <mergeCell ref="B42:C42"/>
    <mergeCell ref="D42:G42"/>
    <mergeCell ref="H42:I42"/>
    <mergeCell ref="B43:C43"/>
    <mergeCell ref="D43:G43"/>
    <mergeCell ref="H43:I43"/>
    <mergeCell ref="B45:C45"/>
    <mergeCell ref="D45:G45"/>
    <mergeCell ref="H45:I45"/>
    <mergeCell ref="D44:G44"/>
    <mergeCell ref="H44:I44"/>
    <mergeCell ref="B41:C41"/>
    <mergeCell ref="D1:G1"/>
    <mergeCell ref="D3:G3"/>
    <mergeCell ref="H1:I1"/>
    <mergeCell ref="H3:I3"/>
    <mergeCell ref="D21:G21"/>
    <mergeCell ref="H21:I21"/>
    <mergeCell ref="H12:I12"/>
    <mergeCell ref="B1:C1"/>
    <mergeCell ref="B3:C3"/>
    <mergeCell ref="B21:C21"/>
    <mergeCell ref="B20:C20"/>
    <mergeCell ref="D20:G20"/>
    <mergeCell ref="H20:I20"/>
    <mergeCell ref="D6:G6"/>
    <mergeCell ref="H6:I6"/>
    <mergeCell ref="B13:C13"/>
    <mergeCell ref="D13:G13"/>
    <mergeCell ref="H13:I13"/>
    <mergeCell ref="A2:J2"/>
    <mergeCell ref="A19:J19"/>
    <mergeCell ref="B33:C33"/>
    <mergeCell ref="D33:G33"/>
    <mergeCell ref="B16:C16"/>
    <mergeCell ref="D16:G16"/>
    <mergeCell ref="H16:I16"/>
    <mergeCell ref="B15:C15"/>
    <mergeCell ref="D15:G15"/>
    <mergeCell ref="H15:I15"/>
    <mergeCell ref="H28:I28"/>
    <mergeCell ref="B29:C29"/>
    <mergeCell ref="B24:C24"/>
    <mergeCell ref="D24:G24"/>
    <mergeCell ref="H24:I24"/>
    <mergeCell ref="B25:C25"/>
    <mergeCell ref="D25:G25"/>
    <mergeCell ref="H25:I25"/>
    <mergeCell ref="D29:G29"/>
    <mergeCell ref="H29:I29"/>
    <mergeCell ref="B26:C26"/>
    <mergeCell ref="D26:G26"/>
    <mergeCell ref="H26:I26"/>
    <mergeCell ref="B27:C27"/>
    <mergeCell ref="D27:G27"/>
    <mergeCell ref="H33:I33"/>
    <mergeCell ref="B23:C23"/>
    <mergeCell ref="D23:G23"/>
    <mergeCell ref="H23:I23"/>
    <mergeCell ref="B32:C32"/>
    <mergeCell ref="D32:G32"/>
    <mergeCell ref="H32:I32"/>
    <mergeCell ref="B30:C30"/>
    <mergeCell ref="D30:G30"/>
    <mergeCell ref="H30:I30"/>
    <mergeCell ref="B31:C31"/>
    <mergeCell ref="D31:G31"/>
    <mergeCell ref="H31:I31"/>
    <mergeCell ref="B28:C28"/>
    <mergeCell ref="D28:G28"/>
    <mergeCell ref="H27:I27"/>
    <mergeCell ref="A49:J49"/>
    <mergeCell ref="A48:J48"/>
    <mergeCell ref="H51:J51"/>
    <mergeCell ref="H52:J52"/>
    <mergeCell ref="H53:J53"/>
    <mergeCell ref="H54:J54"/>
    <mergeCell ref="A55:F55"/>
    <mergeCell ref="H55:J55"/>
    <mergeCell ref="A56:F56"/>
    <mergeCell ref="H56:J56"/>
  </mergeCells>
  <pageMargins left="0.47101449275362317" right="0.45289855072463769" top="0.65217391304347827" bottom="0.61594202898550721" header="0.31496062000000002" footer="0.31496062000000002"/>
  <pageSetup paperSize="9" orientation="portrait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9" sqref="H9"/>
    </sheetView>
  </sheetViews>
  <sheetFormatPr defaultRowHeight="15" x14ac:dyDescent="0.25"/>
  <sheetData>
    <row r="1" spans="1:7" x14ac:dyDescent="0.25">
      <c r="A1" t="s">
        <v>119</v>
      </c>
      <c r="D1" t="s">
        <v>117</v>
      </c>
      <c r="E1" t="s">
        <v>118</v>
      </c>
    </row>
    <row r="2" spans="1:7" x14ac:dyDescent="0.25">
      <c r="A2">
        <v>2</v>
      </c>
      <c r="B2">
        <f>(A2*Memória!$H$22+Memória!$H$15)/(A2*Memória!$H$22)</f>
        <v>1.7894736842105261</v>
      </c>
      <c r="C2">
        <f>(A2*Memória!$H$22+(Memória!$H$15-1))/(A2*Memória!$H$22)</f>
        <v>1.631578947368421</v>
      </c>
      <c r="D2">
        <f>(1/(2*PI()))*LN(((Memória!H11^2+Memória!H15^2)*(Memória!H11^2+(Memória!H22+Memória!H15)^2))/(Memória!H11*Memória!H12*(Memória!H8^2+Memória!H22^2)))+(1/PI())*LN(SUM(B2:B17))</f>
        <v>2.5493206987052583</v>
      </c>
      <c r="E2">
        <f>(1/(2*PI()))*LN(((Memória!H11^2+(Memória!$H$15-1)^2)*(Memória!H11^2+(Memória!H22+(Memória!$H$15-1))^2))/(Memória!H11*Memória!H12*(Memória!H8^2+Memória!H22^2)))+(1/PI())*LN(SUM(B2:B17))</f>
        <v>2.4377754680949675</v>
      </c>
      <c r="G2">
        <f>Memória!H13</f>
        <v>12</v>
      </c>
    </row>
    <row r="3" spans="1:7" x14ac:dyDescent="0.25">
      <c r="A3">
        <v>3</v>
      </c>
      <c r="B3">
        <f>(A3*Memória!$H$22+Memória!$H$15)/(A3*Memória!$H$22)</f>
        <v>1.5263157894736843</v>
      </c>
      <c r="C3">
        <f>(A3*Memória!$H$22+(Memória!$H$15-1))/(A3*Memória!$H$22)</f>
        <v>1.4210526315789473</v>
      </c>
      <c r="G3">
        <f>G2-1</f>
        <v>11</v>
      </c>
    </row>
    <row r="4" spans="1:7" x14ac:dyDescent="0.25">
      <c r="A4">
        <v>4</v>
      </c>
      <c r="B4">
        <f>(A4*Memória!$H$22+Memória!$H$15)/(A4*Memória!$H$22)</f>
        <v>1.3947368421052631</v>
      </c>
      <c r="C4">
        <f>(A4*Memória!$H$22+(Memória!$H$15-1))/(A4*Memória!$H$22)</f>
        <v>1.3157894736842104</v>
      </c>
      <c r="G4">
        <f t="shared" ref="G4:G12" si="0">G3-1</f>
        <v>10</v>
      </c>
    </row>
    <row r="5" spans="1:7" x14ac:dyDescent="0.25">
      <c r="A5">
        <v>5</v>
      </c>
      <c r="B5">
        <f>(A5*Memória!$H$22+Memória!$H$15)/(A5*Memória!$H$22)</f>
        <v>1.3157894736842106</v>
      </c>
      <c r="C5">
        <f>(A5*Memória!$H$22+(Memória!$H$15-1))/(A5*Memória!$H$22)</f>
        <v>1.2526315789473685</v>
      </c>
      <c r="G5">
        <f t="shared" si="0"/>
        <v>9</v>
      </c>
    </row>
    <row r="6" spans="1:7" x14ac:dyDescent="0.25">
      <c r="A6">
        <v>6</v>
      </c>
      <c r="B6">
        <f>(A6*Memória!$H$22+Memória!$H$15)/(A6*Memória!$H$22)</f>
        <v>1.263157894736842</v>
      </c>
      <c r="C6">
        <f>(A6*Memória!$H$22+(Memória!$H$15-1))/(A6*Memória!$H$22)</f>
        <v>1.2105263157894737</v>
      </c>
      <c r="G6">
        <f t="shared" si="0"/>
        <v>8</v>
      </c>
    </row>
    <row r="7" spans="1:7" x14ac:dyDescent="0.25">
      <c r="A7">
        <v>7</v>
      </c>
      <c r="B7">
        <f>(A7*Memória!$H$22+Memória!$H$15)/(A7*Memória!$H$22)</f>
        <v>1.2255639097744362</v>
      </c>
      <c r="C7">
        <f>(A7*Memória!$H$22+(Memória!$H$15-1))/(A7*Memória!$H$22)</f>
        <v>1.1804511278195489</v>
      </c>
      <c r="G7">
        <f t="shared" si="0"/>
        <v>7</v>
      </c>
    </row>
    <row r="8" spans="1:7" x14ac:dyDescent="0.25">
      <c r="A8">
        <v>8</v>
      </c>
      <c r="B8">
        <f>(A8*Memória!$H$22+Memória!$H$15)/(A8*Memória!$H$22)</f>
        <v>1.1973684210526316</v>
      </c>
      <c r="C8">
        <f>(A8*Memória!$H$22+(Memória!$H$15-1))/(A8*Memória!$H$22)</f>
        <v>1.1578947368421053</v>
      </c>
      <c r="G8">
        <f t="shared" si="0"/>
        <v>6</v>
      </c>
    </row>
    <row r="9" spans="1:7" x14ac:dyDescent="0.25">
      <c r="A9">
        <v>9</v>
      </c>
      <c r="B9">
        <f>(A9*Memória!$H$22+Memória!$H$15)/(A9*Memória!$H$22)</f>
        <v>1.1754385964912282</v>
      </c>
      <c r="C9">
        <f>(A9*Memória!$H$22+(Memória!$H$15-1))/(A9*Memória!$H$22)</f>
        <v>1.1403508771929824</v>
      </c>
      <c r="G9">
        <f t="shared" si="0"/>
        <v>5</v>
      </c>
    </row>
    <row r="10" spans="1:7" x14ac:dyDescent="0.25">
      <c r="A10">
        <v>10</v>
      </c>
      <c r="B10">
        <f>(A10*Memória!$H$22+Memória!$H$15)/(A10*Memória!$H$22)</f>
        <v>1.1578947368421053</v>
      </c>
      <c r="C10">
        <f>(A10*Memória!$H$22+(Memória!$H$15-1))/(A10*Memória!$H$22)</f>
        <v>1.1263157894736842</v>
      </c>
      <c r="G10">
        <f t="shared" si="0"/>
        <v>4</v>
      </c>
    </row>
    <row r="11" spans="1:7" x14ac:dyDescent="0.25">
      <c r="A11">
        <v>11</v>
      </c>
      <c r="B11">
        <f>(A11*Memória!$H$22+Memória!$H$15)/(A11*Memória!$H$22)</f>
        <v>1.1435406698564594</v>
      </c>
      <c r="C11">
        <f>(A11*Memória!$H$22+(Memória!$H$15-1))/(A11*Memória!$H$22)</f>
        <v>1.1148325358851674</v>
      </c>
      <c r="G11">
        <f t="shared" si="0"/>
        <v>3</v>
      </c>
    </row>
    <row r="12" spans="1:7" x14ac:dyDescent="0.25">
      <c r="A12">
        <v>12</v>
      </c>
      <c r="B12">
        <f>(A12*Memória!$H$22+Memória!$H$15)/(A12*Memória!$H$22)</f>
        <v>1.131578947368421</v>
      </c>
      <c r="C12">
        <f>(A12*Memória!$H$22+(Memória!$H$15-1))/(A12*Memória!$H$22)</f>
        <v>1.1052631578947369</v>
      </c>
      <c r="G12">
        <f t="shared" si="0"/>
        <v>2</v>
      </c>
    </row>
    <row r="13" spans="1:7" x14ac:dyDescent="0.25">
      <c r="A13">
        <v>13</v>
      </c>
      <c r="B13">
        <f>(A13*Memória!$H$22+Memória!$H$15)/(A13*Memória!$H$22)</f>
        <v>1.1214574898785425</v>
      </c>
      <c r="C13">
        <f>(A13*Memória!$H$22+(Memória!$H$15-1))/(A13*Memória!$H$22)</f>
        <v>1.097165991902834</v>
      </c>
    </row>
    <row r="14" spans="1:7" x14ac:dyDescent="0.25">
      <c r="A14">
        <v>14</v>
      </c>
      <c r="B14">
        <f>(A14*Memória!$H$22+Memória!$H$15)/(A14*Memória!$H$22)</f>
        <v>1.112781954887218</v>
      </c>
      <c r="C14">
        <f>(A14*Memória!$H$22+(Memória!$H$15-1))/(A14*Memória!$H$22)</f>
        <v>1.0902255639097744</v>
      </c>
    </row>
    <row r="15" spans="1:7" x14ac:dyDescent="0.25">
      <c r="A15">
        <v>15</v>
      </c>
      <c r="B15">
        <f>(A15*Memória!$H$22+Memória!$H$15)/(A15*Memória!$H$22)</f>
        <v>1.1052631578947369</v>
      </c>
      <c r="C15">
        <f>(A15*Memória!$H$22+(Memória!$H$15-1))/(A15*Memória!$H$22)</f>
        <v>1.0842105263157895</v>
      </c>
    </row>
    <row r="16" spans="1:7" x14ac:dyDescent="0.25">
      <c r="A16">
        <v>16</v>
      </c>
      <c r="B16">
        <f>(A16*Memória!$H$22+Memória!$H$15)/(A16*Memória!$H$22)</f>
        <v>1.0986842105263157</v>
      </c>
      <c r="C16">
        <f>(A16*Memória!$H$22+(Memória!$H$15-1))/(A16*Memória!$H$22)</f>
        <v>1.0789473684210527</v>
      </c>
    </row>
    <row r="17" spans="1:3" x14ac:dyDescent="0.25">
      <c r="A17">
        <v>17</v>
      </c>
      <c r="B17">
        <f>(A17*Memória!$H$22+Memória!$H$15)/(A17*Memória!$H$22)</f>
        <v>1.0928792569659442</v>
      </c>
      <c r="C17">
        <f>(A17*Memória!$H$22+(Memória!$H$15-1))/(A17*Memória!$H$22)</f>
        <v>1.0743034055727554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Resistividade</vt:lpstr>
      <vt:lpstr>Modelo Geoelétrico</vt:lpstr>
      <vt:lpstr>Memória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Jéfferson</dc:creator>
  <cp:lastModifiedBy>Jéfferson</cp:lastModifiedBy>
  <cp:lastPrinted>2020-12-12T00:03:37Z</cp:lastPrinted>
  <dcterms:created xsi:type="dcterms:W3CDTF">2020-09-18T21:37:00Z</dcterms:created>
  <dcterms:modified xsi:type="dcterms:W3CDTF">2021-07-30T20:45:47Z</dcterms:modified>
</cp:coreProperties>
</file>