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5600" windowHeight="7935" activeTab="3"/>
  </bookViews>
  <sheets>
    <sheet name="ALIMENTAÇÃO" sheetId="5" r:id="rId1"/>
    <sheet name="FORMAÇÃO DOS VALORES" sheetId="4" r:id="rId2"/>
    <sheet name="PARAMENTOS " sheetId="3" r:id="rId3"/>
    <sheet name="ESTIMATIVA ANUAL" sheetId="1" r:id="rId4"/>
    <sheet name="FLUXO CAIXA - MENSAL" sheetId="6" r:id="rId5"/>
  </sheets>
  <calcPr calcId="144525"/>
</workbook>
</file>

<file path=xl/calcChain.xml><?xml version="1.0" encoding="utf-8"?>
<calcChain xmlns="http://schemas.openxmlformats.org/spreadsheetml/2006/main">
  <c r="E54" i="1" l="1"/>
  <c r="F54" i="1"/>
  <c r="G54" i="1"/>
  <c r="H54" i="1"/>
  <c r="I54" i="1"/>
  <c r="J54" i="1"/>
  <c r="K54" i="1"/>
  <c r="L54" i="1"/>
  <c r="M54" i="1"/>
  <c r="N54" i="1"/>
  <c r="O54" i="1"/>
  <c r="D54" i="1"/>
  <c r="E55" i="1" l="1"/>
  <c r="F55" i="1"/>
  <c r="G55" i="1"/>
  <c r="H55" i="1"/>
  <c r="I55" i="1"/>
  <c r="J55" i="1"/>
  <c r="K55" i="1"/>
  <c r="L55" i="1"/>
  <c r="M55" i="1"/>
  <c r="N55" i="1"/>
  <c r="O55" i="1"/>
  <c r="D55" i="1"/>
  <c r="D23" i="1"/>
  <c r="B41" i="3"/>
  <c r="B40" i="3"/>
  <c r="B37" i="3"/>
  <c r="F40" i="4"/>
  <c r="F41" i="4"/>
  <c r="F42" i="4"/>
  <c r="F39" i="4"/>
  <c r="B5" i="3" l="1"/>
  <c r="B51" i="3" s="1"/>
  <c r="B52" i="3" s="1"/>
  <c r="N28" i="1"/>
  <c r="J13" i="1"/>
  <c r="K13" i="1"/>
  <c r="L13" i="1"/>
  <c r="M13" i="1"/>
  <c r="N13" i="1"/>
  <c r="I13" i="1"/>
  <c r="J16" i="1"/>
  <c r="K16" i="1"/>
  <c r="L16" i="1"/>
  <c r="M16" i="1"/>
  <c r="N16" i="1"/>
  <c r="J17" i="1"/>
  <c r="K17" i="1"/>
  <c r="L17" i="1"/>
  <c r="M17" i="1"/>
  <c r="N17" i="1"/>
  <c r="G59" i="4" l="1"/>
  <c r="E59" i="4"/>
  <c r="H59" i="4" s="1"/>
  <c r="B36" i="3" l="1"/>
  <c r="J12" i="1" l="1"/>
  <c r="L12" i="1"/>
  <c r="N12" i="1"/>
  <c r="K12" i="1"/>
  <c r="M12" i="1"/>
  <c r="AM17" i="6" l="1"/>
  <c r="AM16" i="6"/>
  <c r="AH41" i="6" l="1"/>
  <c r="AI41" i="6" s="1"/>
  <c r="AG38" i="6"/>
  <c r="AC41" i="6"/>
  <c r="AD41" i="6" s="1"/>
  <c r="AB38" i="6"/>
  <c r="X41" i="6"/>
  <c r="Y41" i="6" s="1"/>
  <c r="W38" i="6"/>
  <c r="T41" i="6"/>
  <c r="S41" i="6"/>
  <c r="R38" i="6"/>
  <c r="N41" i="6"/>
  <c r="O41" i="6" s="1"/>
  <c r="M38" i="6"/>
  <c r="I41" i="6"/>
  <c r="J41" i="6"/>
  <c r="H38" i="6"/>
  <c r="E41" i="6"/>
  <c r="D39" i="6"/>
  <c r="E39" i="6" s="1"/>
  <c r="D41" i="6"/>
  <c r="C38" i="6"/>
  <c r="AF34" i="6" l="1"/>
  <c r="AH34" i="6" s="1"/>
  <c r="AI34" i="6" s="1"/>
  <c r="AG35" i="6"/>
  <c r="AA34" i="6"/>
  <c r="AC34" i="6" s="1"/>
  <c r="AD34" i="6" s="1"/>
  <c r="AB35" i="6"/>
  <c r="V34" i="6"/>
  <c r="X34" i="6" s="1"/>
  <c r="Y34" i="6" s="1"/>
  <c r="Q34" i="6"/>
  <c r="S34" i="6" s="1"/>
  <c r="T34" i="6" s="1"/>
  <c r="W35" i="6"/>
  <c r="R35" i="6"/>
  <c r="L34" i="6"/>
  <c r="N34" i="6" s="1"/>
  <c r="O34" i="6" s="1"/>
  <c r="M35" i="6"/>
  <c r="G34" i="6"/>
  <c r="I34" i="6" s="1"/>
  <c r="J34" i="6" s="1"/>
  <c r="H35" i="6"/>
  <c r="B24" i="6"/>
  <c r="B26" i="6"/>
  <c r="D26" i="6" s="1"/>
  <c r="E26" i="6" s="1"/>
  <c r="B27" i="6"/>
  <c r="D27" i="6" s="1"/>
  <c r="E27" i="6" s="1"/>
  <c r="B28" i="6"/>
  <c r="D28" i="6" s="1"/>
  <c r="E28" i="6" s="1"/>
  <c r="B29" i="6"/>
  <c r="D29" i="6" s="1"/>
  <c r="E29" i="6" s="1"/>
  <c r="B30" i="6"/>
  <c r="D30" i="6" s="1"/>
  <c r="E30" i="6" s="1"/>
  <c r="B31" i="6"/>
  <c r="D31" i="6" s="1"/>
  <c r="E31" i="6" s="1"/>
  <c r="B32" i="6"/>
  <c r="D32" i="6" s="1"/>
  <c r="E32" i="6" s="1"/>
  <c r="B33" i="6"/>
  <c r="D33" i="6" s="1"/>
  <c r="E33" i="6" s="1"/>
  <c r="B34" i="6"/>
  <c r="D34" i="6" s="1"/>
  <c r="E34" i="6" s="1"/>
  <c r="B23" i="6"/>
  <c r="D23" i="6" s="1"/>
  <c r="E23" i="6" s="1"/>
  <c r="C35" i="6"/>
  <c r="AF16" i="6"/>
  <c r="AH16" i="6" s="1"/>
  <c r="AI16" i="6" s="1"/>
  <c r="AF17" i="6"/>
  <c r="AH17" i="6" s="1"/>
  <c r="AI17" i="6" s="1"/>
  <c r="AF18" i="6"/>
  <c r="AH18" i="6" s="1"/>
  <c r="AI18" i="6" s="1"/>
  <c r="AF19" i="6"/>
  <c r="AH19" i="6" s="1"/>
  <c r="AI19" i="6" s="1"/>
  <c r="AF15" i="6"/>
  <c r="AH15" i="6" s="1"/>
  <c r="AI15" i="6" s="1"/>
  <c r="AG21" i="6"/>
  <c r="AG36" i="6" s="1"/>
  <c r="AA16" i="6"/>
  <c r="AC16" i="6" s="1"/>
  <c r="AD16" i="6" s="1"/>
  <c r="AA15" i="6"/>
  <c r="AC15" i="6" s="1"/>
  <c r="AD15" i="6" s="1"/>
  <c r="AB21" i="6"/>
  <c r="W21" i="6"/>
  <c r="W36" i="6" s="1"/>
  <c r="R21" i="6"/>
  <c r="R36" i="6" s="1"/>
  <c r="M21" i="6"/>
  <c r="H21" i="6"/>
  <c r="B17" i="6"/>
  <c r="D17" i="6" s="1"/>
  <c r="E17" i="6" s="1"/>
  <c r="B18" i="6"/>
  <c r="D18" i="6" s="1"/>
  <c r="E18" i="6" s="1"/>
  <c r="AC11" i="6"/>
  <c r="AD11" i="6" s="1"/>
  <c r="AC12" i="6"/>
  <c r="AD12" i="6" s="1"/>
  <c r="I17" i="1"/>
  <c r="AA10" i="6" s="1"/>
  <c r="AC10" i="6" s="1"/>
  <c r="AD10" i="6" s="1"/>
  <c r="AF10" i="6"/>
  <c r="I16" i="1"/>
  <c r="AA9" i="6" s="1"/>
  <c r="AC9" i="6" s="1"/>
  <c r="AD9" i="6" s="1"/>
  <c r="AF9" i="6"/>
  <c r="X11" i="6"/>
  <c r="Y11" i="6" s="1"/>
  <c r="X12" i="6"/>
  <c r="Y12" i="6" s="1"/>
  <c r="N11" i="6"/>
  <c r="O11" i="6" s="1"/>
  <c r="N12" i="6"/>
  <c r="O12" i="6" s="1"/>
  <c r="I11" i="6"/>
  <c r="J11" i="6" s="1"/>
  <c r="I12" i="6"/>
  <c r="J12" i="6" s="1"/>
  <c r="D11" i="6"/>
  <c r="D12" i="6"/>
  <c r="E11" i="6"/>
  <c r="E12" i="6"/>
  <c r="B6" i="6"/>
  <c r="D6" i="6" s="1"/>
  <c r="E6" i="6" s="1"/>
  <c r="B8" i="6"/>
  <c r="D8" i="6" s="1"/>
  <c r="E8" i="6" s="1"/>
  <c r="B9" i="6"/>
  <c r="D9" i="6" s="1"/>
  <c r="E9" i="6" s="1"/>
  <c r="B10" i="6"/>
  <c r="D10" i="6" s="1"/>
  <c r="E10" i="6" s="1"/>
  <c r="H36" i="6" l="1"/>
  <c r="AB36" i="6"/>
  <c r="M36" i="6"/>
  <c r="D24" i="6"/>
  <c r="E24" i="6" s="1"/>
  <c r="AG13" i="6"/>
  <c r="AH12" i="6"/>
  <c r="AI12" i="6" s="1"/>
  <c r="AH11" i="6"/>
  <c r="AI11" i="6" s="1"/>
  <c r="AH10" i="6"/>
  <c r="AI10" i="6" s="1"/>
  <c r="AH9" i="6"/>
  <c r="AI9" i="6" s="1"/>
  <c r="AB13" i="6"/>
  <c r="W13" i="6"/>
  <c r="R13" i="6"/>
  <c r="S12" i="6"/>
  <c r="T12" i="6" s="1"/>
  <c r="S11" i="6"/>
  <c r="T11" i="6" s="1"/>
  <c r="M13" i="6"/>
  <c r="H13" i="6"/>
  <c r="C21" i="6"/>
  <c r="C36" i="6" s="1"/>
  <c r="C13" i="6"/>
  <c r="C40" i="6" l="1"/>
  <c r="C42" i="6" l="1"/>
  <c r="E79" i="4"/>
  <c r="AF33" i="6" s="1"/>
  <c r="AH33" i="6" s="1"/>
  <c r="AI33" i="6" s="1"/>
  <c r="E75" i="4"/>
  <c r="AA29" i="6" s="1"/>
  <c r="AC29" i="6" s="1"/>
  <c r="AD29" i="6" s="1"/>
  <c r="E76" i="4"/>
  <c r="E77" i="4"/>
  <c r="AA31" i="6" s="1"/>
  <c r="AC31" i="6" s="1"/>
  <c r="AD31" i="6" s="1"/>
  <c r="E78" i="4"/>
  <c r="AF32" i="6" s="1"/>
  <c r="AH32" i="6" s="1"/>
  <c r="AI32" i="6" s="1"/>
  <c r="E74" i="4"/>
  <c r="AF28" i="6" s="1"/>
  <c r="AH28" i="6" s="1"/>
  <c r="AI28" i="6" s="1"/>
  <c r="F24" i="1"/>
  <c r="L16" i="6" s="1"/>
  <c r="N16" i="6" s="1"/>
  <c r="O16" i="6" s="1"/>
  <c r="G24" i="1"/>
  <c r="Q16" i="6" s="1"/>
  <c r="H24" i="1"/>
  <c r="V16" i="6" s="1"/>
  <c r="F23" i="1"/>
  <c r="L15" i="6" s="1"/>
  <c r="N15" i="6" s="1"/>
  <c r="O15" i="6" s="1"/>
  <c r="G23" i="1"/>
  <c r="Q15" i="6" s="1"/>
  <c r="S15" i="6" s="1"/>
  <c r="T15" i="6" s="1"/>
  <c r="H23" i="1"/>
  <c r="V15" i="6" s="1"/>
  <c r="X15" i="6" s="1"/>
  <c r="Y15" i="6" s="1"/>
  <c r="D10" i="1"/>
  <c r="D52" i="3"/>
  <c r="Q40" i="1" s="1"/>
  <c r="D51" i="3"/>
  <c r="Q39" i="1" s="1"/>
  <c r="D45" i="3"/>
  <c r="F17" i="1"/>
  <c r="L10" i="6" s="1"/>
  <c r="N10" i="6" s="1"/>
  <c r="O10" i="6" s="1"/>
  <c r="G17" i="1"/>
  <c r="Q10" i="6" s="1"/>
  <c r="S10" i="6" s="1"/>
  <c r="T10" i="6" s="1"/>
  <c r="H17" i="1"/>
  <c r="V10" i="6" s="1"/>
  <c r="X10" i="6" s="1"/>
  <c r="Y10" i="6" s="1"/>
  <c r="F16" i="1"/>
  <c r="L9" i="6" s="1"/>
  <c r="N9" i="6" s="1"/>
  <c r="O9" i="6" s="1"/>
  <c r="G16" i="1"/>
  <c r="Q9" i="6" s="1"/>
  <c r="S9" i="6" s="1"/>
  <c r="T9" i="6" s="1"/>
  <c r="H16" i="1"/>
  <c r="V9" i="6" s="1"/>
  <c r="X9" i="6" s="1"/>
  <c r="Y9" i="6" s="1"/>
  <c r="E17" i="1"/>
  <c r="G10" i="6" s="1"/>
  <c r="I10" i="6" s="1"/>
  <c r="J10" i="6" s="1"/>
  <c r="E16" i="1"/>
  <c r="G9" i="6" s="1"/>
  <c r="I9" i="6" s="1"/>
  <c r="J9" i="6" s="1"/>
  <c r="E13" i="1"/>
  <c r="D46" i="3"/>
  <c r="G76" i="4" l="1"/>
  <c r="B20" i="3" s="1"/>
  <c r="AF30" i="6"/>
  <c r="AH30" i="6" s="1"/>
  <c r="AI30" i="6" s="1"/>
  <c r="G79" i="4"/>
  <c r="B23" i="3" s="1"/>
  <c r="G37" i="1"/>
  <c r="Q28" i="6" s="1"/>
  <c r="S28" i="6" s="1"/>
  <c r="T28" i="6" s="1"/>
  <c r="E37" i="1"/>
  <c r="F38" i="1"/>
  <c r="L29" i="6" s="1"/>
  <c r="N29" i="6" s="1"/>
  <c r="O29" i="6" s="1"/>
  <c r="G39" i="1"/>
  <c r="Q30" i="6" s="1"/>
  <c r="S30" i="6" s="1"/>
  <c r="T30" i="6" s="1"/>
  <c r="E39" i="1"/>
  <c r="G30" i="6" s="1"/>
  <c r="I30" i="6" s="1"/>
  <c r="J30" i="6" s="1"/>
  <c r="F40" i="1"/>
  <c r="L31" i="6" s="1"/>
  <c r="N31" i="6" s="1"/>
  <c r="O31" i="6" s="1"/>
  <c r="G41" i="1"/>
  <c r="Q32" i="6" s="1"/>
  <c r="S32" i="6" s="1"/>
  <c r="T32" i="6" s="1"/>
  <c r="E41" i="1"/>
  <c r="G32" i="6" s="1"/>
  <c r="I32" i="6" s="1"/>
  <c r="J32" i="6" s="1"/>
  <c r="F42" i="1"/>
  <c r="L33" i="6" s="1"/>
  <c r="N33" i="6" s="1"/>
  <c r="O33" i="6" s="1"/>
  <c r="AA28" i="6"/>
  <c r="AC28" i="6" s="1"/>
  <c r="AD28" i="6" s="1"/>
  <c r="H41" i="1"/>
  <c r="V32" i="6" s="1"/>
  <c r="X32" i="6" s="1"/>
  <c r="Y32" i="6" s="1"/>
  <c r="H39" i="1"/>
  <c r="V30" i="6" s="1"/>
  <c r="X30" i="6" s="1"/>
  <c r="Y30" i="6" s="1"/>
  <c r="AA33" i="6"/>
  <c r="AC33" i="6" s="1"/>
  <c r="AD33" i="6" s="1"/>
  <c r="G77" i="4"/>
  <c r="B21" i="3" s="1"/>
  <c r="AF31" i="6"/>
  <c r="AH31" i="6" s="1"/>
  <c r="AI31" i="6" s="1"/>
  <c r="G75" i="4"/>
  <c r="B19" i="3" s="1"/>
  <c r="AF29" i="6"/>
  <c r="AH29" i="6" s="1"/>
  <c r="AI29" i="6" s="1"/>
  <c r="G74" i="4"/>
  <c r="B18" i="3" s="1"/>
  <c r="G78" i="4"/>
  <c r="B22" i="3" s="1"/>
  <c r="H37" i="1"/>
  <c r="V28" i="6" s="1"/>
  <c r="X28" i="6" s="1"/>
  <c r="Y28" i="6" s="1"/>
  <c r="F37" i="1"/>
  <c r="L28" i="6" s="1"/>
  <c r="N28" i="6" s="1"/>
  <c r="O28" i="6" s="1"/>
  <c r="G38" i="1"/>
  <c r="Q29" i="6" s="1"/>
  <c r="S29" i="6" s="1"/>
  <c r="T29" i="6" s="1"/>
  <c r="E38" i="1"/>
  <c r="G29" i="6" s="1"/>
  <c r="I29" i="6" s="1"/>
  <c r="J29" i="6" s="1"/>
  <c r="F39" i="1"/>
  <c r="L30" i="6" s="1"/>
  <c r="N30" i="6" s="1"/>
  <c r="O30" i="6" s="1"/>
  <c r="G40" i="1"/>
  <c r="Q31" i="6" s="1"/>
  <c r="S31" i="6" s="1"/>
  <c r="T31" i="6" s="1"/>
  <c r="E40" i="1"/>
  <c r="G31" i="6" s="1"/>
  <c r="I31" i="6" s="1"/>
  <c r="J31" i="6" s="1"/>
  <c r="F41" i="1"/>
  <c r="L32" i="6" s="1"/>
  <c r="N32" i="6" s="1"/>
  <c r="O32" i="6" s="1"/>
  <c r="G42" i="1"/>
  <c r="Q33" i="6" s="1"/>
  <c r="S33" i="6" s="1"/>
  <c r="T33" i="6" s="1"/>
  <c r="E42" i="1"/>
  <c r="G33" i="6" s="1"/>
  <c r="I33" i="6" s="1"/>
  <c r="J33" i="6" s="1"/>
  <c r="H42" i="1"/>
  <c r="V33" i="6" s="1"/>
  <c r="X33" i="6" s="1"/>
  <c r="Y33" i="6" s="1"/>
  <c r="H40" i="1"/>
  <c r="V31" i="6" s="1"/>
  <c r="X31" i="6" s="1"/>
  <c r="Y31" i="6" s="1"/>
  <c r="H38" i="1"/>
  <c r="V29" i="6" s="1"/>
  <c r="X29" i="6" s="1"/>
  <c r="Y29" i="6" s="1"/>
  <c r="AA30" i="6"/>
  <c r="AC30" i="6" s="1"/>
  <c r="AD30" i="6" s="1"/>
  <c r="AA32" i="6"/>
  <c r="AC32" i="6" s="1"/>
  <c r="AD32" i="6" s="1"/>
  <c r="H39" i="6"/>
  <c r="H40" i="6" s="1"/>
  <c r="H42" i="6" s="1"/>
  <c r="M39" i="6" s="1"/>
  <c r="M40" i="6" s="1"/>
  <c r="M42" i="6" s="1"/>
  <c r="R39" i="6" s="1"/>
  <c r="R40" i="6" s="1"/>
  <c r="R42" i="6" s="1"/>
  <c r="W39" i="6" s="1"/>
  <c r="W40" i="6" s="1"/>
  <c r="W42" i="6" s="1"/>
  <c r="AB39" i="6" s="1"/>
  <c r="AB40" i="6" s="1"/>
  <c r="AB42" i="6" s="1"/>
  <c r="AG39" i="6" s="1"/>
  <c r="AG40" i="6" s="1"/>
  <c r="AG42" i="6" s="1"/>
  <c r="S16" i="6"/>
  <c r="T16" i="6" s="1"/>
  <c r="X16" i="6"/>
  <c r="Y16" i="6" s="1"/>
  <c r="F13" i="1"/>
  <c r="G6" i="6"/>
  <c r="I6" i="6" s="1"/>
  <c r="J6" i="6" s="1"/>
  <c r="E46" i="3"/>
  <c r="P36" i="1" s="1"/>
  <c r="E45" i="3"/>
  <c r="P31" i="1" s="1"/>
  <c r="B38" i="3" l="1"/>
  <c r="L14" i="1" s="1"/>
  <c r="N14" i="1"/>
  <c r="O37" i="1"/>
  <c r="B24" i="3"/>
  <c r="O41" i="1"/>
  <c r="O38" i="1"/>
  <c r="G28" i="6"/>
  <c r="I28" i="6" s="1"/>
  <c r="J28" i="6" s="1"/>
  <c r="O39" i="1"/>
  <c r="O40" i="1"/>
  <c r="O42" i="1"/>
  <c r="E15" i="1"/>
  <c r="F15" i="1" s="1"/>
  <c r="AL20" i="6"/>
  <c r="G13" i="1"/>
  <c r="L6" i="6"/>
  <c r="N6" i="6" s="1"/>
  <c r="O6" i="6" s="1"/>
  <c r="E12" i="1"/>
  <c r="G5" i="6" s="1"/>
  <c r="G12" i="1"/>
  <c r="Q5" i="6" s="1"/>
  <c r="I12" i="1"/>
  <c r="AA5" i="6" s="1"/>
  <c r="F12" i="1"/>
  <c r="L5" i="6" s="1"/>
  <c r="H12" i="1"/>
  <c r="V5" i="6" s="1"/>
  <c r="AF5" i="6"/>
  <c r="D12" i="1"/>
  <c r="B5" i="6" s="1"/>
  <c r="M14" i="1" l="1"/>
  <c r="J14" i="1"/>
  <c r="K14" i="1"/>
  <c r="K15" i="1"/>
  <c r="M15" i="1"/>
  <c r="M18" i="1" s="1"/>
  <c r="I15" i="1"/>
  <c r="J15" i="1"/>
  <c r="J18" i="1" s="1"/>
  <c r="L15" i="1"/>
  <c r="N15" i="1"/>
  <c r="N18" i="1" s="1"/>
  <c r="L18" i="1"/>
  <c r="G8" i="6"/>
  <c r="I8" i="6" s="1"/>
  <c r="J8" i="6" s="1"/>
  <c r="E14" i="1"/>
  <c r="G7" i="6" s="1"/>
  <c r="I7" i="6" s="1"/>
  <c r="J7" i="6" s="1"/>
  <c r="AF7" i="6"/>
  <c r="AH7" i="6" s="1"/>
  <c r="AI7" i="6" s="1"/>
  <c r="I14" i="1"/>
  <c r="AA7" i="6" s="1"/>
  <c r="AC7" i="6" s="1"/>
  <c r="AD7" i="6" s="1"/>
  <c r="D5" i="6"/>
  <c r="E5" i="6" s="1"/>
  <c r="X5" i="6"/>
  <c r="Y5" i="6" s="1"/>
  <c r="AC5" i="6"/>
  <c r="AD5" i="6" s="1"/>
  <c r="I5" i="6"/>
  <c r="J5" i="6" s="1"/>
  <c r="H13" i="1"/>
  <c r="V6" i="6" s="1"/>
  <c r="X6" i="6" s="1"/>
  <c r="Y6" i="6" s="1"/>
  <c r="Q6" i="6"/>
  <c r="S6" i="6" s="1"/>
  <c r="T6" i="6" s="1"/>
  <c r="G15" i="1"/>
  <c r="L8" i="6"/>
  <c r="N8" i="6" s="1"/>
  <c r="O8" i="6" s="1"/>
  <c r="AH5" i="6"/>
  <c r="AI5" i="6" s="1"/>
  <c r="N5" i="6"/>
  <c r="O5" i="6" s="1"/>
  <c r="S5" i="6"/>
  <c r="T5" i="6" s="1"/>
  <c r="G22" i="5"/>
  <c r="C43" i="4"/>
  <c r="E68" i="4"/>
  <c r="G68" i="4" s="1"/>
  <c r="K18" i="1" l="1"/>
  <c r="K34" i="1" s="1"/>
  <c r="N36" i="1"/>
  <c r="N46" i="1"/>
  <c r="N34" i="1"/>
  <c r="L46" i="1"/>
  <c r="L34" i="1"/>
  <c r="J46" i="1"/>
  <c r="J34" i="1"/>
  <c r="M46" i="1"/>
  <c r="M34" i="1"/>
  <c r="K46" i="1"/>
  <c r="J36" i="1"/>
  <c r="J35" i="1"/>
  <c r="M35" i="1"/>
  <c r="M36" i="1"/>
  <c r="L36" i="1"/>
  <c r="L35" i="1"/>
  <c r="E18" i="1"/>
  <c r="E46" i="1" s="1"/>
  <c r="G13" i="6"/>
  <c r="I13" i="6" s="1"/>
  <c r="J13" i="6" s="1"/>
  <c r="H15" i="1"/>
  <c r="V8" i="6" s="1"/>
  <c r="X8" i="6" s="1"/>
  <c r="Y8" i="6" s="1"/>
  <c r="Q8" i="6"/>
  <c r="S8" i="6" s="1"/>
  <c r="T8" i="6" s="1"/>
  <c r="G27" i="6"/>
  <c r="I27" i="6" s="1"/>
  <c r="J27" i="6" s="1"/>
  <c r="G20" i="6"/>
  <c r="I20" i="6" s="1"/>
  <c r="J20" i="6" s="1"/>
  <c r="K4" i="5"/>
  <c r="F15" i="5" s="1"/>
  <c r="C58" i="4" s="1"/>
  <c r="D58" i="4" s="1"/>
  <c r="H45" i="4"/>
  <c r="F13" i="5"/>
  <c r="C55" i="4" s="1"/>
  <c r="G69" i="4"/>
  <c r="B10" i="3" s="1"/>
  <c r="R27" i="1" s="1"/>
  <c r="R28" i="1" s="1"/>
  <c r="H26" i="1"/>
  <c r="F26" i="1"/>
  <c r="L18" i="6" s="1"/>
  <c r="N18" i="6" s="1"/>
  <c r="O18" i="6" s="1"/>
  <c r="G26" i="1"/>
  <c r="Q18" i="6" s="1"/>
  <c r="K35" i="1" l="1"/>
  <c r="K36" i="1"/>
  <c r="V18" i="6"/>
  <c r="X18" i="6" s="1"/>
  <c r="Y18" i="6" s="1"/>
  <c r="I26" i="1"/>
  <c r="AA18" i="6" s="1"/>
  <c r="AC18" i="6" s="1"/>
  <c r="AD18" i="6" s="1"/>
  <c r="J27" i="1"/>
  <c r="J28" i="1" s="1"/>
  <c r="L27" i="1"/>
  <c r="L28" i="1" s="1"/>
  <c r="H27" i="1"/>
  <c r="I27" i="1"/>
  <c r="AA19" i="6" s="1"/>
  <c r="AC19" i="6" s="1"/>
  <c r="AD19" i="6" s="1"/>
  <c r="K27" i="1"/>
  <c r="K28" i="1" s="1"/>
  <c r="M27" i="1"/>
  <c r="M28" i="1" s="1"/>
  <c r="E58" i="4"/>
  <c r="H58" i="4" s="1"/>
  <c r="G58" i="4"/>
  <c r="E36" i="1"/>
  <c r="G26" i="6" s="1"/>
  <c r="I26" i="6" s="1"/>
  <c r="J26" i="6" s="1"/>
  <c r="E35" i="1"/>
  <c r="G25" i="6" s="1"/>
  <c r="I25" i="6" s="1"/>
  <c r="J25" i="6" s="1"/>
  <c r="P32" i="1"/>
  <c r="E34" i="1"/>
  <c r="F11" i="5"/>
  <c r="C52" i="4" s="1"/>
  <c r="D52" i="4" s="1"/>
  <c r="E52" i="4" s="1"/>
  <c r="H52" i="4" s="1"/>
  <c r="F6" i="5"/>
  <c r="C47" i="4" s="1"/>
  <c r="D47" i="4" s="1"/>
  <c r="E47" i="4" s="1"/>
  <c r="H47" i="4" s="1"/>
  <c r="F7" i="5"/>
  <c r="F9" i="5"/>
  <c r="C50" i="4" s="1"/>
  <c r="D50" i="4" s="1"/>
  <c r="E50" i="4" s="1"/>
  <c r="H50" i="4" s="1"/>
  <c r="S18" i="6"/>
  <c r="T18" i="6" s="1"/>
  <c r="D55" i="4"/>
  <c r="G55" i="4" s="1"/>
  <c r="F8" i="5"/>
  <c r="C49" i="4" s="1"/>
  <c r="F10" i="5"/>
  <c r="C51" i="4" s="1"/>
  <c r="C48" i="4"/>
  <c r="F12" i="5"/>
  <c r="C53" i="4" s="1"/>
  <c r="D53" i="4" s="1"/>
  <c r="F14" i="5"/>
  <c r="C56" i="4" s="1"/>
  <c r="D56" i="4" s="1"/>
  <c r="F16" i="5"/>
  <c r="C57" i="4" s="1"/>
  <c r="D57" i="4" s="1"/>
  <c r="C54" i="4"/>
  <c r="D54" i="4" s="1"/>
  <c r="E26" i="1"/>
  <c r="F32" i="4"/>
  <c r="F34" i="4" s="1"/>
  <c r="E13" i="4"/>
  <c r="E26" i="4"/>
  <c r="E25" i="4"/>
  <c r="E24" i="4"/>
  <c r="E23" i="4"/>
  <c r="E22" i="4"/>
  <c r="E8" i="4"/>
  <c r="E15" i="4"/>
  <c r="E14" i="4"/>
  <c r="E10" i="4"/>
  <c r="E9" i="4"/>
  <c r="L33" i="1" l="1"/>
  <c r="L44" i="1" s="1"/>
  <c r="L47" i="1" s="1"/>
  <c r="L48" i="1" s="1"/>
  <c r="K33" i="1"/>
  <c r="K44" i="1" s="1"/>
  <c r="K47" i="1" s="1"/>
  <c r="K48" i="1" s="1"/>
  <c r="N33" i="1"/>
  <c r="J33" i="1"/>
  <c r="J44" i="1" s="1"/>
  <c r="J47" i="1" s="1"/>
  <c r="J48" i="1" s="1"/>
  <c r="M33" i="1"/>
  <c r="M44" i="1" s="1"/>
  <c r="M47" i="1" s="1"/>
  <c r="M48" i="1" s="1"/>
  <c r="J52" i="1"/>
  <c r="J53" i="1" s="1"/>
  <c r="J56" i="1" s="1"/>
  <c r="G24" i="6"/>
  <c r="I24" i="6" s="1"/>
  <c r="J24" i="6" s="1"/>
  <c r="G50" i="4"/>
  <c r="F35" i="4"/>
  <c r="B9" i="3" s="1"/>
  <c r="G52" i="4"/>
  <c r="O26" i="1"/>
  <c r="G18" i="6"/>
  <c r="I18" i="6" s="1"/>
  <c r="J18" i="6" s="1"/>
  <c r="D27" i="1"/>
  <c r="B19" i="6" s="1"/>
  <c r="D19" i="6" s="1"/>
  <c r="E19" i="6" s="1"/>
  <c r="D51" i="4"/>
  <c r="E51" i="4" s="1"/>
  <c r="H51" i="4" s="1"/>
  <c r="E55" i="4"/>
  <c r="H55" i="4" s="1"/>
  <c r="D48" i="4"/>
  <c r="E48" i="4" s="1"/>
  <c r="H48" i="4" s="1"/>
  <c r="D49" i="4"/>
  <c r="E49" i="4" s="1"/>
  <c r="H49" i="4" s="1"/>
  <c r="G53" i="4"/>
  <c r="E53" i="4"/>
  <c r="H53" i="4" s="1"/>
  <c r="G57" i="4"/>
  <c r="E57" i="4"/>
  <c r="H57" i="4" s="1"/>
  <c r="G56" i="4"/>
  <c r="E56" i="4"/>
  <c r="H56" i="4" s="1"/>
  <c r="G54" i="4"/>
  <c r="E54" i="4"/>
  <c r="H54" i="4" s="1"/>
  <c r="G47" i="4"/>
  <c r="F43" i="4"/>
  <c r="B6" i="3" s="1"/>
  <c r="R25" i="1" s="1"/>
  <c r="E17" i="4"/>
  <c r="E27" i="4"/>
  <c r="B8" i="3" s="1"/>
  <c r="R24" i="1" s="1"/>
  <c r="E11" i="4"/>
  <c r="AF8" i="6"/>
  <c r="AH8" i="6" s="1"/>
  <c r="AI8" i="6" s="1"/>
  <c r="AA8" i="6"/>
  <c r="AC8" i="6" s="1"/>
  <c r="AD8" i="6" s="1"/>
  <c r="AF6" i="6"/>
  <c r="O9" i="1"/>
  <c r="O8" i="1"/>
  <c r="AA6" i="6" s="1"/>
  <c r="F14" i="1"/>
  <c r="G14" i="1"/>
  <c r="H14" i="1"/>
  <c r="D14" i="1"/>
  <c r="B7" i="6" s="1"/>
  <c r="K52" i="1" l="1"/>
  <c r="K53" i="1" s="1"/>
  <c r="K56" i="1" s="1"/>
  <c r="L52" i="1"/>
  <c r="L53" i="1" s="1"/>
  <c r="L56" i="1" s="1"/>
  <c r="M52" i="1"/>
  <c r="M53" i="1" s="1"/>
  <c r="M56" i="1" s="1"/>
  <c r="H60" i="4"/>
  <c r="H61" i="4" s="1"/>
  <c r="B11" i="3" s="1"/>
  <c r="G51" i="4"/>
  <c r="D7" i="6"/>
  <c r="E7" i="6" s="1"/>
  <c r="B13" i="6"/>
  <c r="G18" i="1"/>
  <c r="G46" i="1" s="1"/>
  <c r="Q7" i="6"/>
  <c r="AC6" i="6"/>
  <c r="AD6" i="6" s="1"/>
  <c r="AA13" i="6"/>
  <c r="AH6" i="6"/>
  <c r="AI6" i="6" s="1"/>
  <c r="AF13" i="6"/>
  <c r="H18" i="1"/>
  <c r="H46" i="1" s="1"/>
  <c r="V7" i="6"/>
  <c r="F18" i="1"/>
  <c r="F46" i="1" s="1"/>
  <c r="L7" i="6"/>
  <c r="E24" i="1"/>
  <c r="G16" i="6" s="1"/>
  <c r="I16" i="6" s="1"/>
  <c r="J16" i="6" s="1"/>
  <c r="D24" i="1"/>
  <c r="B16" i="6" s="1"/>
  <c r="D16" i="6" s="1"/>
  <c r="E16" i="6" s="1"/>
  <c r="E27" i="1"/>
  <c r="G19" i="6" s="1"/>
  <c r="I19" i="6" s="1"/>
  <c r="J19" i="6" s="1"/>
  <c r="G27" i="1"/>
  <c r="Q19" i="6" s="1"/>
  <c r="F27" i="1"/>
  <c r="L19" i="6" s="1"/>
  <c r="N19" i="6" s="1"/>
  <c r="O19" i="6" s="1"/>
  <c r="V19" i="6"/>
  <c r="G48" i="4"/>
  <c r="G49" i="4"/>
  <c r="E7" i="1"/>
  <c r="E10" i="1" s="1"/>
  <c r="B13" i="3"/>
  <c r="O13" i="1"/>
  <c r="E18" i="4"/>
  <c r="B7" i="3" s="1"/>
  <c r="I18" i="1"/>
  <c r="O16" i="1"/>
  <c r="O15" i="1"/>
  <c r="O12" i="1"/>
  <c r="O14" i="1"/>
  <c r="D18" i="1"/>
  <c r="I46" i="1" l="1"/>
  <c r="I33" i="1"/>
  <c r="I34" i="1"/>
  <c r="AA24" i="6" s="1"/>
  <c r="AC24" i="6" s="1"/>
  <c r="AD24" i="6" s="1"/>
  <c r="D35" i="1"/>
  <c r="B25" i="6" s="1"/>
  <c r="D46" i="1"/>
  <c r="G60" i="4"/>
  <c r="G61" i="4" s="1"/>
  <c r="R26" i="1" s="1"/>
  <c r="E25" i="1" s="1"/>
  <c r="G17" i="6" s="1"/>
  <c r="I17" i="6" s="1"/>
  <c r="J17" i="6" s="1"/>
  <c r="N35" i="1"/>
  <c r="AF26" i="6"/>
  <c r="AH26" i="6" s="1"/>
  <c r="AI26" i="6" s="1"/>
  <c r="I35" i="1"/>
  <c r="AA25" i="6" s="1"/>
  <c r="AC25" i="6" s="1"/>
  <c r="AD25" i="6" s="1"/>
  <c r="I36" i="1"/>
  <c r="AA26" i="6" s="1"/>
  <c r="AC26" i="6" s="1"/>
  <c r="AD26" i="6" s="1"/>
  <c r="F35" i="1"/>
  <c r="L25" i="6" s="1"/>
  <c r="N25" i="6" s="1"/>
  <c r="O25" i="6" s="1"/>
  <c r="F36" i="1"/>
  <c r="L26" i="6" s="1"/>
  <c r="N26" i="6" s="1"/>
  <c r="O26" i="6" s="1"/>
  <c r="H35" i="1"/>
  <c r="V25" i="6" s="1"/>
  <c r="X25" i="6" s="1"/>
  <c r="Y25" i="6" s="1"/>
  <c r="H36" i="1"/>
  <c r="V26" i="6" s="1"/>
  <c r="X26" i="6" s="1"/>
  <c r="Y26" i="6" s="1"/>
  <c r="G35" i="1"/>
  <c r="Q25" i="6" s="1"/>
  <c r="S25" i="6" s="1"/>
  <c r="T25" i="6" s="1"/>
  <c r="G36" i="1"/>
  <c r="Q26" i="6" s="1"/>
  <c r="S26" i="6" s="1"/>
  <c r="T26" i="6" s="1"/>
  <c r="L27" i="6"/>
  <c r="N27" i="6" s="1"/>
  <c r="O27" i="6" s="1"/>
  <c r="V27" i="6"/>
  <c r="X27" i="6" s="1"/>
  <c r="Y27" i="6" s="1"/>
  <c r="AA27" i="6"/>
  <c r="AC27" i="6" s="1"/>
  <c r="AD27" i="6" s="1"/>
  <c r="G34" i="1"/>
  <c r="Q24" i="6" s="1"/>
  <c r="S24" i="6" s="1"/>
  <c r="T24" i="6" s="1"/>
  <c r="F34" i="1"/>
  <c r="L24" i="6" s="1"/>
  <c r="N24" i="6" s="1"/>
  <c r="O24" i="6" s="1"/>
  <c r="H34" i="1"/>
  <c r="V24" i="6" s="1"/>
  <c r="X24" i="6" s="1"/>
  <c r="Y24" i="6" s="1"/>
  <c r="Q20" i="6"/>
  <c r="S20" i="6" s="1"/>
  <c r="T20" i="6" s="1"/>
  <c r="L20" i="6"/>
  <c r="N20" i="6" s="1"/>
  <c r="O20" i="6" s="1"/>
  <c r="V20" i="6"/>
  <c r="X20" i="6" s="1"/>
  <c r="Y20" i="6" s="1"/>
  <c r="AH13" i="6"/>
  <c r="AI13" i="6" s="1"/>
  <c r="AC13" i="6"/>
  <c r="AD13" i="6" s="1"/>
  <c r="X19" i="6"/>
  <c r="Y19" i="6" s="1"/>
  <c r="S19" i="6"/>
  <c r="T19" i="6" s="1"/>
  <c r="D13" i="6"/>
  <c r="E13" i="6" s="1"/>
  <c r="N7" i="6"/>
  <c r="O7" i="6" s="1"/>
  <c r="L13" i="6"/>
  <c r="X7" i="6"/>
  <c r="Y7" i="6" s="1"/>
  <c r="V13" i="6"/>
  <c r="S7" i="6"/>
  <c r="T7" i="6" s="1"/>
  <c r="Q13" i="6"/>
  <c r="AF27" i="6"/>
  <c r="AH27" i="6" s="1"/>
  <c r="AI27" i="6" s="1"/>
  <c r="B20" i="6"/>
  <c r="D20" i="6" s="1"/>
  <c r="E20" i="6" s="1"/>
  <c r="AF20" i="6"/>
  <c r="AH20" i="6" s="1"/>
  <c r="AI20" i="6" s="1"/>
  <c r="AA20" i="6"/>
  <c r="AC20" i="6" s="1"/>
  <c r="AD20" i="6" s="1"/>
  <c r="O24" i="1"/>
  <c r="B15" i="6"/>
  <c r="E23" i="1"/>
  <c r="G15" i="6" s="1"/>
  <c r="I15" i="6" s="1"/>
  <c r="J15" i="6" s="1"/>
  <c r="O27" i="1"/>
  <c r="AF24" i="6"/>
  <c r="AH24" i="6" s="1"/>
  <c r="AI24" i="6" s="1"/>
  <c r="F7" i="1"/>
  <c r="F10" i="1" s="1"/>
  <c r="O18" i="1"/>
  <c r="O46" i="1" s="1"/>
  <c r="B12" i="3"/>
  <c r="B14" i="3" s="1"/>
  <c r="B26" i="3" s="1"/>
  <c r="P37" i="1"/>
  <c r="C29" i="3" l="1"/>
  <c r="C28" i="3"/>
  <c r="B31" i="3" s="1"/>
  <c r="AA23" i="6"/>
  <c r="AC23" i="6" s="1"/>
  <c r="AD23" i="6" s="1"/>
  <c r="AF25" i="6"/>
  <c r="AH25" i="6" s="1"/>
  <c r="AI25" i="6" s="1"/>
  <c r="N44" i="1"/>
  <c r="N47" i="1" s="1"/>
  <c r="Q27" i="6"/>
  <c r="S27" i="6" s="1"/>
  <c r="T27" i="6" s="1"/>
  <c r="AL16" i="6"/>
  <c r="AN16" i="6" s="1"/>
  <c r="D25" i="6"/>
  <c r="E25" i="6" s="1"/>
  <c r="B35" i="6"/>
  <c r="D35" i="6" s="1"/>
  <c r="E35" i="6" s="1"/>
  <c r="X13" i="6"/>
  <c r="Y13" i="6" s="1"/>
  <c r="N13" i="6"/>
  <c r="O13" i="6" s="1"/>
  <c r="S13" i="6"/>
  <c r="T13" i="6" s="1"/>
  <c r="F25" i="1"/>
  <c r="L17" i="6" s="1"/>
  <c r="N17" i="6" s="1"/>
  <c r="O17" i="6" s="1"/>
  <c r="O36" i="1"/>
  <c r="G21" i="6"/>
  <c r="D44" i="1"/>
  <c r="B21" i="6"/>
  <c r="D15" i="6"/>
  <c r="E15" i="6" s="1"/>
  <c r="AF21" i="6"/>
  <c r="O35" i="1"/>
  <c r="O34" i="1"/>
  <c r="I44" i="1"/>
  <c r="G7" i="1"/>
  <c r="G10" i="1" s="1"/>
  <c r="G25" i="1" s="1"/>
  <c r="Q17" i="6" s="1"/>
  <c r="S17" i="6" s="1"/>
  <c r="E33" i="1"/>
  <c r="E44" i="1" s="1"/>
  <c r="H33" i="1"/>
  <c r="G33" i="1"/>
  <c r="F33" i="1"/>
  <c r="O23" i="1"/>
  <c r="D28" i="1"/>
  <c r="AA35" i="6" l="1"/>
  <c r="AC35" i="6" s="1"/>
  <c r="AD35" i="6" s="1"/>
  <c r="N48" i="1"/>
  <c r="N52" i="1"/>
  <c r="N53" i="1" s="1"/>
  <c r="N56" i="1" s="1"/>
  <c r="D47" i="1"/>
  <c r="D52" i="1" s="1"/>
  <c r="F44" i="1"/>
  <c r="L23" i="6"/>
  <c r="H44" i="1"/>
  <c r="V23" i="6"/>
  <c r="AF23" i="6"/>
  <c r="G44" i="1"/>
  <c r="Q23" i="6"/>
  <c r="G23" i="6"/>
  <c r="L21" i="6"/>
  <c r="AH21" i="6"/>
  <c r="AI21" i="6" s="1"/>
  <c r="I21" i="6"/>
  <c r="J21" i="6" s="1"/>
  <c r="B36" i="6"/>
  <c r="B38" i="6" s="1"/>
  <c r="D38" i="6" s="1"/>
  <c r="E38" i="6" s="1"/>
  <c r="D21" i="6"/>
  <c r="E21" i="6" s="1"/>
  <c r="Q21" i="6"/>
  <c r="G28" i="1"/>
  <c r="E28" i="1"/>
  <c r="E47" i="1" s="1"/>
  <c r="O33" i="1"/>
  <c r="O44" i="1" s="1"/>
  <c r="F28" i="1"/>
  <c r="H7" i="1"/>
  <c r="H10" i="1" s="1"/>
  <c r="G47" i="1" l="1"/>
  <c r="G48" i="1" s="1"/>
  <c r="D48" i="1"/>
  <c r="F47" i="1"/>
  <c r="F48" i="1" s="1"/>
  <c r="E48" i="1"/>
  <c r="E52" i="1"/>
  <c r="G52" i="1"/>
  <c r="D53" i="1"/>
  <c r="D56" i="1" s="1"/>
  <c r="I23" i="6"/>
  <c r="J23" i="6" s="1"/>
  <c r="G35" i="6"/>
  <c r="S23" i="6"/>
  <c r="T23" i="6" s="1"/>
  <c r="Q35" i="6"/>
  <c r="S35" i="6" s="1"/>
  <c r="T35" i="6" s="1"/>
  <c r="AH23" i="6"/>
  <c r="AI23" i="6" s="1"/>
  <c r="AF35" i="6"/>
  <c r="X23" i="6"/>
  <c r="Y23" i="6" s="1"/>
  <c r="V35" i="6"/>
  <c r="X35" i="6" s="1"/>
  <c r="Y35" i="6" s="1"/>
  <c r="L35" i="6"/>
  <c r="N35" i="6" s="1"/>
  <c r="O35" i="6" s="1"/>
  <c r="N23" i="6"/>
  <c r="O23" i="6" s="1"/>
  <c r="N21" i="6"/>
  <c r="O21" i="6" s="1"/>
  <c r="S21" i="6"/>
  <c r="T21" i="6" s="1"/>
  <c r="D36" i="6"/>
  <c r="E36" i="6" s="1"/>
  <c r="B40" i="6"/>
  <c r="T17" i="6"/>
  <c r="H25" i="1"/>
  <c r="O10" i="1"/>
  <c r="V17" i="6" l="1"/>
  <c r="X17" i="6" s="1"/>
  <c r="F52" i="1"/>
  <c r="F53" i="1" s="1"/>
  <c r="F56" i="1" s="1"/>
  <c r="G53" i="1"/>
  <c r="G56" i="1" s="1"/>
  <c r="E53" i="1"/>
  <c r="E56" i="1" s="1"/>
  <c r="Q36" i="6"/>
  <c r="S36" i="6" s="1"/>
  <c r="T36" i="6" s="1"/>
  <c r="L36" i="6"/>
  <c r="AH35" i="6"/>
  <c r="AI35" i="6" s="1"/>
  <c r="AF36" i="6"/>
  <c r="I35" i="6"/>
  <c r="J35" i="6" s="1"/>
  <c r="G36" i="6"/>
  <c r="B42" i="6"/>
  <c r="D40" i="6"/>
  <c r="E40" i="6" s="1"/>
  <c r="H28" i="1"/>
  <c r="H47" i="1" s="1"/>
  <c r="O25" i="1"/>
  <c r="V21" i="6" l="1"/>
  <c r="X21" i="6" s="1"/>
  <c r="Y21" i="6" s="1"/>
  <c r="AA17" i="6"/>
  <c r="I28" i="1"/>
  <c r="I47" i="1" s="1"/>
  <c r="H52" i="1"/>
  <c r="H48" i="1"/>
  <c r="Q38" i="6"/>
  <c r="S38" i="6" s="1"/>
  <c r="T38" i="6" s="1"/>
  <c r="G38" i="6"/>
  <c r="I38" i="6" s="1"/>
  <c r="J38" i="6" s="1"/>
  <c r="I36" i="6"/>
  <c r="J36" i="6" s="1"/>
  <c r="AF38" i="6"/>
  <c r="AH38" i="6" s="1"/>
  <c r="AI38" i="6" s="1"/>
  <c r="AH36" i="6"/>
  <c r="AI36" i="6" s="1"/>
  <c r="L38" i="6"/>
  <c r="N38" i="6" s="1"/>
  <c r="O38" i="6" s="1"/>
  <c r="N36" i="6"/>
  <c r="O36" i="6" s="1"/>
  <c r="G39" i="6"/>
  <c r="D42" i="6"/>
  <c r="E42" i="6" s="1"/>
  <c r="V36" i="6"/>
  <c r="AL17" i="6" s="1"/>
  <c r="AN17" i="6" s="1"/>
  <c r="Y17" i="6"/>
  <c r="O28" i="1"/>
  <c r="O47" i="1" s="1"/>
  <c r="O48" i="1" s="1"/>
  <c r="I52" i="1" l="1"/>
  <c r="I53" i="1" s="1"/>
  <c r="I56" i="1" s="1"/>
  <c r="I48" i="1"/>
  <c r="AC17" i="6"/>
  <c r="AD17" i="6" s="1"/>
  <c r="AA21" i="6"/>
  <c r="O52" i="1"/>
  <c r="O53" i="1" s="1"/>
  <c r="O56" i="1" s="1"/>
  <c r="H53" i="1"/>
  <c r="H56" i="1" s="1"/>
  <c r="X36" i="6"/>
  <c r="Y36" i="6" s="1"/>
  <c r="V38" i="6"/>
  <c r="X38" i="6" s="1"/>
  <c r="Y38" i="6" s="1"/>
  <c r="I39" i="6"/>
  <c r="J39" i="6" s="1"/>
  <c r="G40" i="6"/>
  <c r="O57" i="1" l="1"/>
  <c r="AC21" i="6"/>
  <c r="AD21" i="6" s="1"/>
  <c r="AA36" i="6"/>
  <c r="G42" i="6"/>
  <c r="I40" i="6"/>
  <c r="J40" i="6" s="1"/>
  <c r="AA38" i="6" l="1"/>
  <c r="AC38" i="6" s="1"/>
  <c r="AD38" i="6" s="1"/>
  <c r="AC36" i="6"/>
  <c r="AD36" i="6" s="1"/>
  <c r="L39" i="6"/>
  <c r="I42" i="6"/>
  <c r="J42" i="6" s="1"/>
  <c r="N39" i="6" l="1"/>
  <c r="O39" i="6" s="1"/>
  <c r="L40" i="6"/>
  <c r="L42" i="6" l="1"/>
  <c r="N40" i="6"/>
  <c r="O40" i="6" s="1"/>
  <c r="Q39" i="6" l="1"/>
  <c r="N42" i="6"/>
  <c r="O42" i="6" s="1"/>
  <c r="S39" i="6" l="1"/>
  <c r="T39" i="6" s="1"/>
  <c r="Q40" i="6"/>
  <c r="Q42" i="6" l="1"/>
  <c r="S40" i="6"/>
  <c r="T40" i="6" s="1"/>
  <c r="V39" i="6" l="1"/>
  <c r="S42" i="6"/>
  <c r="T42" i="6" s="1"/>
  <c r="X39" i="6" l="1"/>
  <c r="Y39" i="6" s="1"/>
  <c r="V40" i="6"/>
  <c r="V42" i="6" l="1"/>
  <c r="X40" i="6"/>
  <c r="Y40" i="6" s="1"/>
  <c r="AA39" i="6" l="1"/>
  <c r="X42" i="6"/>
  <c r="Y42" i="6" s="1"/>
  <c r="AC39" i="6" l="1"/>
  <c r="AD39" i="6" s="1"/>
  <c r="AA40" i="6"/>
  <c r="AA42" i="6" l="1"/>
  <c r="AC40" i="6"/>
  <c r="AD40" i="6" s="1"/>
  <c r="AF39" i="6" l="1"/>
  <c r="AC42" i="6"/>
  <c r="AD42" i="6" s="1"/>
  <c r="AH39" i="6" l="1"/>
  <c r="AI39" i="6" s="1"/>
  <c r="AF40" i="6"/>
  <c r="AF42" i="6" l="1"/>
  <c r="AK20" i="6" s="1"/>
  <c r="AH40" i="6"/>
  <c r="AI40" i="6" s="1"/>
  <c r="AH42" i="6" l="1"/>
  <c r="AI42" i="6" s="1"/>
</calcChain>
</file>

<file path=xl/comments1.xml><?xml version="1.0" encoding="utf-8"?>
<comments xmlns="http://schemas.openxmlformats.org/spreadsheetml/2006/main">
  <authors>
    <author>oliveira</author>
  </authors>
  <commentList>
    <comment ref="D9" authorId="0">
      <text>
        <r>
          <rPr>
            <b/>
            <sz val="9"/>
            <color indexed="81"/>
            <rFont val="Tahoma"/>
            <family val="2"/>
          </rPr>
          <t xml:space="preserve">Se 100g =1pessoa, então, 1000g = 10pessoas.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 xml:space="preserve">Se 100g =1pessoa, então, 1000g = 10pessoas.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 xml:space="preserve">Se 100g =1pessoa, então, 1000g = 10pessoas.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200G P/1PESSOA;
1000KG P/5 PESSOA.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1litro servindo 10 pessoas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1LITRO DE CAFÉ PARA 10 Pessoas.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Tarick</author>
  </authors>
  <commentList>
    <comment ref="E14" authorId="0">
      <text>
        <r>
          <rPr>
            <b/>
            <sz val="9"/>
            <color indexed="81"/>
            <rFont val="Tahoma"/>
            <family val="2"/>
          </rPr>
          <t>Esse valor refere-se a multiplicação do valor unitário, com quantidade de cópias e quantidade de páginas.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Idem.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Soma dos custos unitários Apostila com Material complementar.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ESCAMF</author>
    <author>oliveira</author>
  </authors>
  <commentList>
    <comment ref="B37" authorId="0">
      <text>
        <r>
          <rPr>
            <b/>
            <sz val="9"/>
            <color indexed="81"/>
            <rFont val="Segoe UI"/>
            <family val="2"/>
          </rPr>
          <t>ESSE VALOR É O DOBRO DO SOLTEIRO COM 15% DESCONTO.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40" authorId="0">
      <text>
        <r>
          <rPr>
            <b/>
            <sz val="9"/>
            <color indexed="81"/>
            <rFont val="Segoe UI"/>
            <family val="2"/>
          </rPr>
          <t>AQUI É O VALOR CORRESPONDENTE AO TEÓRICO COM 50% DE DESCONTO.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B41" authorId="0">
      <text>
        <r>
          <rPr>
            <b/>
            <sz val="9"/>
            <color indexed="81"/>
            <rFont val="Segoe UI"/>
            <family val="2"/>
          </rPr>
          <t>AQUI É O VALOR CORRESPONDENTE AO TEÓRICO COM 50% DE DESCONTO.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45" authorId="1">
      <text>
        <r>
          <rPr>
            <b/>
            <sz val="9"/>
            <color indexed="81"/>
            <rFont val="Tahoma"/>
            <family val="2"/>
          </rPr>
          <t>O VALOR/PERÍODO É IGUAL A SOMA DA MENSALIDADE DOS SOLTEIROS (TEÓRICO) MAIS O LUCRO DO FARDAMENTO, MULTIPLICADO PELA QTDE. ALUNOS DESISTENTES.</t>
        </r>
      </text>
    </comment>
    <comment ref="E45" authorId="0">
      <text>
        <r>
          <rPr>
            <b/>
            <sz val="9"/>
            <color indexed="81"/>
            <rFont val="Segoe UI"/>
            <family val="2"/>
          </rPr>
          <t>Esse valor é o valor/período dividido pela qtde/mês.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46" authorId="1">
      <text>
        <r>
          <rPr>
            <b/>
            <sz val="9"/>
            <color indexed="81"/>
            <rFont val="Tahoma"/>
            <family val="2"/>
          </rPr>
          <t>O VALOR/PERÍODO É IGUAL A MENSALIDADE DOS SOLTEIROS (PRÁTICO) MULTIPLICADO PELA QTDE. ALUNOS DESISTENTES.</t>
        </r>
      </text>
    </comment>
    <comment ref="E46" authorId="0">
      <text>
        <r>
          <rPr>
            <b/>
            <sz val="9"/>
            <color indexed="81"/>
            <rFont val="Segoe UI"/>
            <family val="2"/>
          </rPr>
          <t>Esse valor é o valor/período dividido pela qtde/mês.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oliveira</author>
    <author>ESCAMF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Nesse total é somado o "novato solteiros" ao dobro do número "novato casais".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>aqui refere-se ao total de alunos matriculados.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0">
      <text>
        <r>
          <rPr>
            <b/>
            <sz val="9"/>
            <color indexed="81"/>
            <rFont val="Tahoma"/>
            <family val="2"/>
          </rPr>
          <t>Valor da soma das matrículas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Aqui está em branco porque a primeira mensalidade cai no mês seguinte.</t>
        </r>
      </text>
    </comment>
    <comment ref="F13" authorId="1">
      <text>
        <r>
          <rPr>
            <b/>
            <sz val="9"/>
            <color indexed="81"/>
            <rFont val="Segoe UI"/>
            <family val="2"/>
          </rPr>
          <t>A PARTIR DO MÊS 2, É INCLUSO NA RECEITA A SOMA DAS ENTRADAS DE MENSALIDADE  ANTERIOR COM ATUAL (NOVATOS)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Aqui é total de alunos solteiros multiplicado pelo valor da mensalidade durante o prático.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Idem.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refere-se a soma dos últimos valores do teórico e prático.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soma de todas as matrículas dos casais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>Aqui está em branco porque a primeira mensalidade cai no mês seguinte.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5" authorId="1">
      <text>
        <r>
          <rPr>
            <b/>
            <sz val="9"/>
            <color indexed="81"/>
            <rFont val="Segoe UI"/>
            <family val="2"/>
          </rPr>
          <t>A PARTIR DO MÊS 2, É INCLUSO NA RECEITA A SOMA DAS ENTRADAS DE MENSALIDADE  ANTERIOR COM ATUAL (NOVATOS)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refere-se a soma dos últimos valores do teórico e prático.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6" authorId="1">
      <text>
        <r>
          <rPr>
            <b/>
            <sz val="9"/>
            <color indexed="81"/>
            <rFont val="Segoe UI"/>
            <family val="2"/>
          </rPr>
          <t>CONFORME AS MENSALIDADES, O LUCRO COM FARDAMENTO FOI PARA O MÊS SEGUINTE.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17" authorId="1">
      <text>
        <r>
          <rPr>
            <b/>
            <sz val="9"/>
            <color indexed="81"/>
            <rFont val="Segoe UI"/>
            <family val="2"/>
          </rPr>
          <t>CONFORME AS MENSALIDADES, O LUCRO COM FARDAMENTO FOI PARA O MÊS SEGUINTE.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33" authorId="0">
      <text>
        <r>
          <rPr>
            <b/>
            <sz val="9"/>
            <color indexed="81"/>
            <rFont val="Tahoma"/>
            <family val="2"/>
          </rPr>
          <t>É O PERCENTUAL DE DESISTÊNCIA SOBRE O VALOR DA RECEITA, SEM A INCLUSÃO DAS MATRÍCULAS.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4" authorId="1">
      <text>
        <r>
          <rPr>
            <b/>
            <sz val="9"/>
            <color indexed="81"/>
            <rFont val="Segoe UI"/>
            <family val="2"/>
          </rPr>
          <t>É O PERCENTUAL DE DESISTÊNCIA SOBRE O VALOR DA RECEITA, SEM A INCLUSÃO DAS MATRÍCULAS.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oliveira</author>
    <author>ESCAMF</author>
  </authors>
  <commentList>
    <comment ref="A23" authorId="0">
      <text>
        <r>
          <rPr>
            <b/>
            <sz val="9"/>
            <color indexed="81"/>
            <rFont val="Tahoma"/>
            <family val="2"/>
          </rPr>
          <t>É O PERCENTUAL DE DESISTÊNCIA SOBRE O VALOR DA RECEITA, SEM A INCLUSÃO DAS MATRÍCULAS.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3" authorId="0">
      <text>
        <r>
          <rPr>
            <b/>
            <sz val="9"/>
            <color indexed="81"/>
            <rFont val="Tahoma"/>
            <family val="2"/>
          </rPr>
          <t>É O PERCENTUAL DE DESISTÊNCIA SOBRE O VALOR DA RECEITA, SEM A INCLUSÃO DAS MATRÍCULAS.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3" authorId="0">
      <text>
        <r>
          <rPr>
            <b/>
            <sz val="9"/>
            <color indexed="81"/>
            <rFont val="Tahoma"/>
            <family val="2"/>
          </rPr>
          <t>É O PERCENTUAL DE DESISTÊNCIA SOBRE O VALOR DA RECEITA, SEM A INCLUSÃO DAS MATRÍCULAS.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3" authorId="0">
      <text>
        <r>
          <rPr>
            <b/>
            <sz val="9"/>
            <color indexed="81"/>
            <rFont val="Tahoma"/>
            <family val="2"/>
          </rPr>
          <t>É O PERCENTUAL DE DESISTÊNCIA SOBRE O VALOR DA RECEITA, SEM A INCLUSÃO DAS MATRÍCULAS.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23" authorId="0">
      <text>
        <r>
          <rPr>
            <b/>
            <sz val="9"/>
            <color indexed="81"/>
            <rFont val="Tahoma"/>
            <family val="2"/>
          </rPr>
          <t>É O PERCENTUAL DE DESISTÊNCIA SOBRE O VALOR DA RECEITA, SEM A INCLUSÃO DAS MATRÍCULAS.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3" authorId="0">
      <text>
        <r>
          <rPr>
            <b/>
            <sz val="9"/>
            <color indexed="81"/>
            <rFont val="Tahoma"/>
            <family val="2"/>
          </rPr>
          <t>É O PERCENTUAL DE DESISTÊNCIA SOBRE O VALOR DA RECEITA, SEM A INCLUSÃO DAS MATRÍCULAS.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23" authorId="0">
      <text>
        <r>
          <rPr>
            <b/>
            <sz val="9"/>
            <color indexed="81"/>
            <rFont val="Tahoma"/>
            <family val="2"/>
          </rPr>
          <t>É O PERCENTUAL DE DESISTÊNCIA SOBRE O VALOR DA RECEITA, SEM A INCLUSÃO DAS MATRÍCULAS.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4" authorId="1">
      <text>
        <r>
          <rPr>
            <b/>
            <sz val="9"/>
            <color indexed="81"/>
            <rFont val="Segoe UI"/>
            <family val="2"/>
          </rPr>
          <t>É O PERCENTUAL DE DESISTÊNCIA SOBRE O VALOR DA RECEITA, SEM A INCLUSÃO DAS MATRÍCULAS.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24" authorId="1">
      <text>
        <r>
          <rPr>
            <b/>
            <sz val="9"/>
            <color indexed="81"/>
            <rFont val="Segoe UI"/>
            <family val="2"/>
          </rPr>
          <t>É O PERCENTUAL DE DESISTÊNCIA SOBRE O VALOR DA RECEITA, SEM A INCLUSÃO DAS MATRÍCULAS.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24" authorId="1">
      <text>
        <r>
          <rPr>
            <b/>
            <sz val="9"/>
            <color indexed="81"/>
            <rFont val="Segoe UI"/>
            <family val="2"/>
          </rPr>
          <t>É O PERCENTUAL DE DESISTÊNCIA SOBRE O VALOR DA RECEITA, SEM A INCLUSÃO DAS MATRÍCULAS.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P24" authorId="1">
      <text>
        <r>
          <rPr>
            <b/>
            <sz val="9"/>
            <color indexed="81"/>
            <rFont val="Segoe UI"/>
            <family val="2"/>
          </rPr>
          <t>É O PERCENTUAL DE DESISTÊNCIA SOBRE O VALOR DA RECEITA, SEM A INCLUSÃO DAS MATRÍCULAS.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U24" authorId="1">
      <text>
        <r>
          <rPr>
            <b/>
            <sz val="9"/>
            <color indexed="81"/>
            <rFont val="Segoe UI"/>
            <family val="2"/>
          </rPr>
          <t>É O PERCENTUAL DE DESISTÊNCIA SOBRE O VALOR DA RECEITA, SEM A INCLUSÃO DAS MATRÍCULAS.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Z24" authorId="1">
      <text>
        <r>
          <rPr>
            <b/>
            <sz val="9"/>
            <color indexed="81"/>
            <rFont val="Segoe UI"/>
            <family val="2"/>
          </rPr>
          <t>É O PERCENTUAL DE DESISTÊNCIA SOBRE O VALOR DA RECEITA, SEM A INCLUSÃO DAS MATRÍCULAS.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E24" authorId="1">
      <text>
        <r>
          <rPr>
            <b/>
            <sz val="9"/>
            <color indexed="81"/>
            <rFont val="Segoe UI"/>
            <family val="2"/>
          </rPr>
          <t>É O PERCENTUAL DE DESISTÊNCIA SOBRE O VALOR DA RECEITA, SEM A INCLUSÃO DAS MATRÍCULAS.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<sst xmlns="http://schemas.openxmlformats.org/spreadsheetml/2006/main" count="690" uniqueCount="236">
  <si>
    <t>ESTIMATIVA DE RECEITA</t>
  </si>
  <si>
    <t>PARÂMETROS DE RECEITA</t>
  </si>
  <si>
    <t>TOTAL</t>
  </si>
  <si>
    <t>ALUNOS</t>
  </si>
  <si>
    <t>MÊS</t>
  </si>
  <si>
    <t>ANTERIOR</t>
  </si>
  <si>
    <t>RECEITAS</t>
  </si>
  <si>
    <t>NOVATOS SOLTEIROS</t>
  </si>
  <si>
    <t>MENSALIDADE CASAIS</t>
  </si>
  <si>
    <t>MATRÍCULA SOLT.</t>
  </si>
  <si>
    <t>MENSALIDADE SOLT.</t>
  </si>
  <si>
    <t>MATRÍCULA CASAIS</t>
  </si>
  <si>
    <t>TAXA INSCRIÇÃO SOLTEIROS</t>
  </si>
  <si>
    <t>TAXA INSCRIÇÃO CASAIS</t>
  </si>
  <si>
    <t>NOVATOS CASAIS</t>
  </si>
  <si>
    <t>DESISTENCIA</t>
  </si>
  <si>
    <t>TEÓRICO</t>
  </si>
  <si>
    <t>PRÁTICO</t>
  </si>
  <si>
    <t>MENSALIDADE SOLTEIROS (teórico)</t>
  </si>
  <si>
    <t>MENSALIDADE CASAIS (teórico)</t>
  </si>
  <si>
    <t>MENSALIDADE SOLTEIROS (prático)</t>
  </si>
  <si>
    <t>MENSALIDADE CASAIS (prático)</t>
  </si>
  <si>
    <t>mês 1</t>
  </si>
  <si>
    <t>mês 2</t>
  </si>
  <si>
    <t>mês 3</t>
  </si>
  <si>
    <t>mês 4</t>
  </si>
  <si>
    <t>mês 5</t>
  </si>
  <si>
    <t>mês 6</t>
  </si>
  <si>
    <t>AJUDA DE CUSTO PARA PROF. CONVIDADOS</t>
  </si>
  <si>
    <t>APOSTILA</t>
  </si>
  <si>
    <t>MATERIAL DIDÁTICO (POR ALUNO)</t>
  </si>
  <si>
    <t xml:space="preserve">Item </t>
  </si>
  <si>
    <t>Quantidade</t>
  </si>
  <si>
    <t>Valor unitário</t>
  </si>
  <si>
    <t>Valor total</t>
  </si>
  <si>
    <t>MATERIAL DIDÁTICO</t>
  </si>
  <si>
    <t>Impressão de Certificado (1/2 folha A3)</t>
  </si>
  <si>
    <t>Revista de discipulado (30 pág)</t>
  </si>
  <si>
    <t>Reprodução das Apostilas (73 folhas)</t>
  </si>
  <si>
    <t>Encadernação da apostila</t>
  </si>
  <si>
    <t>Capa da apostila (1/2 folha A3)</t>
  </si>
  <si>
    <t>Resmas de papel</t>
  </si>
  <si>
    <t>Cola escolar pequena (pcte c/10)</t>
  </si>
  <si>
    <t>Caneta Piloto</t>
  </si>
  <si>
    <t>Cartolina</t>
  </si>
  <si>
    <t>Canetinha (pcte c/10)</t>
  </si>
  <si>
    <t>Custo unitário da apostila</t>
  </si>
  <si>
    <t>Revista Boas Novas (44 pág)</t>
  </si>
  <si>
    <t>MATERIAL COMPLEMENTAR</t>
  </si>
  <si>
    <t>Custo unitário do material complementar</t>
  </si>
  <si>
    <t>Total do custo unitário material didático</t>
  </si>
  <si>
    <t>Manual de instruções (5 pág)</t>
  </si>
  <si>
    <t>ESTIMATIVA DE CUSTO</t>
  </si>
  <si>
    <t>Custos</t>
  </si>
  <si>
    <t>LOGÍSTICA</t>
  </si>
  <si>
    <t>COMBUSTÍVEL</t>
  </si>
  <si>
    <t>média litro/mês</t>
  </si>
  <si>
    <t>Custo logística/mês</t>
  </si>
  <si>
    <t>A.C. PROFESSORES</t>
  </si>
  <si>
    <t>FARDAMENTO/BLUSAS (Lucro por peça)</t>
  </si>
  <si>
    <t>REC. PEDAGÓGICOS</t>
  </si>
  <si>
    <t>Esses valores devem permanecer atualizados</t>
  </si>
  <si>
    <t>VALOR</t>
  </si>
  <si>
    <t>%</t>
  </si>
  <si>
    <t>INDICE DE DESISTÊNCIA</t>
  </si>
  <si>
    <t xml:space="preserve">PERÍODO </t>
  </si>
  <si>
    <t>QTDE. ALUNOS</t>
  </si>
  <si>
    <t>CUSTOS E DESPESAS DO TEÓRICO</t>
  </si>
  <si>
    <t>LOGÍSTICA PRÁTICO (VISITA AO CAMPO)</t>
  </si>
  <si>
    <t>subsídio (%)</t>
  </si>
  <si>
    <t>total</t>
  </si>
  <si>
    <t>Valor UNIT.</t>
  </si>
  <si>
    <t>Valor TOTAL</t>
  </si>
  <si>
    <t>ALIMENTAÇÃO</t>
  </si>
  <si>
    <t>INGREDIENTES</t>
  </si>
  <si>
    <t>Qtde./dia</t>
  </si>
  <si>
    <t>Qtde./mês</t>
  </si>
  <si>
    <t>Qtde.Teórico</t>
  </si>
  <si>
    <t>custo unit.</t>
  </si>
  <si>
    <t xml:space="preserve"> QUANTIDADE X CONSUMO</t>
  </si>
  <si>
    <t>ARROZ</t>
  </si>
  <si>
    <t>FEIJÃO</t>
  </si>
  <si>
    <t>TOTAL DE PESSOAS</t>
  </si>
  <si>
    <t>QTDE. PESSOAS (SERVE)</t>
  </si>
  <si>
    <t>QTDE TOTAL (KG/ING)</t>
  </si>
  <si>
    <t>MACARRÃO</t>
  </si>
  <si>
    <t>TOMATE</t>
  </si>
  <si>
    <t>BATATA</t>
  </si>
  <si>
    <t>CENOURA</t>
  </si>
  <si>
    <t>FRANGO/CARNE</t>
  </si>
  <si>
    <t>LEITE</t>
  </si>
  <si>
    <t>COM BASE EM 1KG E 1LITRO/DIA</t>
  </si>
  <si>
    <t>CAFÉ</t>
  </si>
  <si>
    <t>custo/MÊS</t>
  </si>
  <si>
    <t>custo/TEÓRICO</t>
  </si>
  <si>
    <t>CUSTO POR PESSOA</t>
  </si>
  <si>
    <t>ALIMENTAÇÃO (ALUNOS)</t>
  </si>
  <si>
    <t>total dos recursos pedagógicos</t>
  </si>
  <si>
    <t>FRANGO</t>
  </si>
  <si>
    <t>CARNE</t>
  </si>
  <si>
    <t>Total teórico</t>
  </si>
  <si>
    <t xml:space="preserve">LOGÍSTICA TEÓRICO </t>
  </si>
  <si>
    <t xml:space="preserve">RECURSOS PEDAGÓGICOS </t>
  </si>
  <si>
    <t>Item</t>
  </si>
  <si>
    <t>item</t>
  </si>
  <si>
    <t>ESCOLA</t>
  </si>
  <si>
    <t>PARÂMETROS DE VALORES</t>
  </si>
  <si>
    <t>ALIMENTAÇÃO (POR ALUNO)</t>
  </si>
  <si>
    <t>VALOR/PERÍODO</t>
  </si>
  <si>
    <t>VALOR/MÊS</t>
  </si>
  <si>
    <t xml:space="preserve">TEÓRICO </t>
  </si>
  <si>
    <t>MÊS/PERÍODO</t>
  </si>
  <si>
    <t>INADIMPLÊNCIA</t>
  </si>
  <si>
    <t>ÍNDICE INADIMPLÊNCIA (%)</t>
  </si>
  <si>
    <t>MÊS/MAT.</t>
  </si>
  <si>
    <t>INDICE  DE DESISTENCIA TEÓRICO</t>
  </si>
  <si>
    <t>INDICE DE DESISTENCIA PRÁTICO</t>
  </si>
  <si>
    <t>INDICE DE INADIMPLÊNCIA (%)</t>
  </si>
  <si>
    <t>FARDAM./BLUSAS(SOLTEIROS)</t>
  </si>
  <si>
    <t>FARDAM./BLUSAS(CASADOS)</t>
  </si>
  <si>
    <t>PERÍODOS</t>
  </si>
  <si>
    <t>TOTAL ALUNOS ANT.</t>
  </si>
  <si>
    <t>TOTAL ALUNOS INAD.</t>
  </si>
  <si>
    <t xml:space="preserve">PESSOAS QUE VÃO SE ALIMENTAR/DIA </t>
  </si>
  <si>
    <t>OBREIROS</t>
  </si>
  <si>
    <t>VISITANTES</t>
  </si>
  <si>
    <t>SOMA DOS CUSTOS UNITÁRIOS 
(DIDÁTICO MAIS ALIMENTAÇAO)</t>
  </si>
  <si>
    <t>VALOR P/PESSOA DOS DEMAIS CUSTOS</t>
  </si>
  <si>
    <t>PERCENTUAL (%)</t>
  </si>
  <si>
    <t>MÍNIMO DE ALUNOS</t>
  </si>
  <si>
    <t>LOGÍSTICA (GERAL)</t>
  </si>
  <si>
    <t>ESTIMATIVA DE DESPESAS</t>
  </si>
  <si>
    <t>DESPESAS</t>
  </si>
  <si>
    <t>TOTAL RECEITA</t>
  </si>
  <si>
    <t>TOTAL CUSTOS</t>
  </si>
  <si>
    <t>TOTAL DESPESAS</t>
  </si>
  <si>
    <t>CUSTOS COM O PRÁTICO</t>
  </si>
  <si>
    <t>CUSTO POR ALUNO</t>
  </si>
  <si>
    <t>PARÂMETROS DE DESPESAS</t>
  </si>
  <si>
    <t>ÁGUA</t>
  </si>
  <si>
    <t>LUZ</t>
  </si>
  <si>
    <t>INTERNET</t>
  </si>
  <si>
    <t>DESPESAS/MÊS</t>
  </si>
  <si>
    <t>TELFONE</t>
  </si>
  <si>
    <t xml:space="preserve">ITEM </t>
  </si>
  <si>
    <t>Vl ant.</t>
  </si>
  <si>
    <t>vl. Atual</t>
  </si>
  <si>
    <t>INDICE INFLAÇÃO (%)</t>
  </si>
  <si>
    <t>MATERIAL LIMPEZA</t>
  </si>
  <si>
    <t>MANUT.COMPUTADORES</t>
  </si>
  <si>
    <t>PERIODO/ESCOLA</t>
  </si>
  <si>
    <t>vl. Total</t>
  </si>
  <si>
    <t>SOMA (CUSTOS E DESPESAS) /ALUNO</t>
  </si>
  <si>
    <t>PROPAGANDA (2%)</t>
  </si>
  <si>
    <t>MÉDIA FINAL/LÍQUIDO</t>
  </si>
  <si>
    <t>PLANILHA DE FLUXO DE CAIXA</t>
  </si>
  <si>
    <t>Previsão</t>
  </si>
  <si>
    <t>Realizado</t>
  </si>
  <si>
    <t>ENTRADAS</t>
  </si>
  <si>
    <t>TOTAL DAS ENTRADAS</t>
  </si>
  <si>
    <t>1 (ENTRADAS - SAÍDAS)</t>
  </si>
  <si>
    <t>2 SALDO ANTERIOR</t>
  </si>
  <si>
    <t>3 SALDO ACUMULADO (1 + 2 )</t>
  </si>
  <si>
    <t>4 NECESSIDADE EMPRÉSTIMOS</t>
  </si>
  <si>
    <t>5 SALDO FINAL (3 + 4)</t>
  </si>
  <si>
    <t>MESES</t>
  </si>
  <si>
    <t>Diferença</t>
  </si>
  <si>
    <t>Percentual</t>
  </si>
  <si>
    <t>SAÍDAS (custos)</t>
  </si>
  <si>
    <t>OFERTAS</t>
  </si>
  <si>
    <t>CANTINAS</t>
  </si>
  <si>
    <t>A.CUSTO DIRETOR ESCOLA (5%)</t>
  </si>
  <si>
    <t>REPASSE P/ MISSÃO (25%)</t>
  </si>
  <si>
    <t>A.CUSTO DIRETOR BASE (5%)</t>
  </si>
  <si>
    <t>DEPESAS (DIVIDIDA ENTRE OS ALUNOS)</t>
  </si>
  <si>
    <t>SAÍDAS (despesas)</t>
  </si>
  <si>
    <t>TOTAL SAÍDAS (custos)</t>
  </si>
  <si>
    <t>MÊS/MATRÍCULA</t>
  </si>
  <si>
    <t>MÊS 1</t>
  </si>
  <si>
    <t>MÊS 2</t>
  </si>
  <si>
    <t>MÊS 3</t>
  </si>
  <si>
    <t>MÊS 4</t>
  </si>
  <si>
    <t>MÊS 5</t>
  </si>
  <si>
    <t>MÊS 6</t>
  </si>
  <si>
    <t>OUTRAS DESPESAS</t>
  </si>
  <si>
    <t>TOTAL SAÍDAS (despesas)</t>
  </si>
  <si>
    <t>TOTAL DAS SAÍDAS (CUSTOS + DESPESAS)</t>
  </si>
  <si>
    <t>RESUMO</t>
  </si>
  <si>
    <t>previsão</t>
  </si>
  <si>
    <t>realizado</t>
  </si>
  <si>
    <t>PREVISÃO</t>
  </si>
  <si>
    <t>SAIDAS</t>
  </si>
  <si>
    <t>REALIZADO</t>
  </si>
  <si>
    <t>DIEFERENÇA</t>
  </si>
  <si>
    <t>DESCRICÁO GERAL ORÇAMENTAL</t>
  </si>
  <si>
    <t xml:space="preserve">PARAMETRO ANUAL </t>
  </si>
  <si>
    <t>PÃES</t>
  </si>
  <si>
    <t>TOTAL ALUNOS (pessoas)</t>
  </si>
  <si>
    <t>Recursos Pedag.P/ALUNO</t>
  </si>
  <si>
    <t>Ajuda de custo PROF.</t>
  </si>
  <si>
    <t>ALIMENTAÇÃO P/ALUNO</t>
  </si>
  <si>
    <t>PROFESSORES</t>
  </si>
  <si>
    <t>SALDO DA ESCOLA</t>
  </si>
  <si>
    <t>REPASSE PARA MISSÃO (30%):</t>
  </si>
  <si>
    <t>SALDO TOTAL DO MÊS:</t>
  </si>
  <si>
    <t>A.CUSTO DIRETORES ESCOLA (10%)</t>
  </si>
  <si>
    <t>A.C.DIRETORES (%)</t>
  </si>
  <si>
    <t>MARKETING (%)</t>
  </si>
  <si>
    <t>MARKETING (40% /10%/5%)</t>
  </si>
  <si>
    <t>GÁS DE COZINHA</t>
  </si>
  <si>
    <t>TELEFONE</t>
  </si>
  <si>
    <t>TOTAL DE ENTRADAS</t>
  </si>
  <si>
    <t>TOTAL DE SAÍDAS</t>
  </si>
  <si>
    <t>(percentual)</t>
  </si>
  <si>
    <t>OVOS</t>
  </si>
  <si>
    <t>ONIBUS</t>
  </si>
  <si>
    <t>mês 7</t>
  </si>
  <si>
    <t>mês 8</t>
  </si>
  <si>
    <t>mês 9</t>
  </si>
  <si>
    <t>mês 10</t>
  </si>
  <si>
    <t>LOGISTICA/MÊS - TEÓRICO</t>
  </si>
  <si>
    <t>LOGISTICA/MÊS - PRÁTICO</t>
  </si>
  <si>
    <t>VALOR DO PRÁTICO</t>
  </si>
  <si>
    <t>RECURSOS pedagógicos</t>
  </si>
  <si>
    <t xml:space="preserve">Valor </t>
  </si>
  <si>
    <t>CARRO - Combustível</t>
  </si>
  <si>
    <t xml:space="preserve"> DESLOCAMENTO</t>
  </si>
  <si>
    <t xml:space="preserve"> OFERTA</t>
  </si>
  <si>
    <t>ind.inflação</t>
  </si>
  <si>
    <t>PARÂMETROS DE CUSTOS  E DESPESAS</t>
  </si>
  <si>
    <t>ITEM DE ACRÉSCIMO</t>
  </si>
  <si>
    <t>SOMA FINAL  (CUSTOS E DESPESAS) /ALUNO</t>
  </si>
  <si>
    <t>PERC. DE DESCONTO</t>
  </si>
  <si>
    <t>PERCENTUAL/PRÁTICO</t>
  </si>
  <si>
    <t>SALDO LÍQUIDO DA ESCOLA (60%)</t>
  </si>
  <si>
    <t>AJUDA DE CUSTO DIRETORES (5%)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</si>
</sst>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 Black"/>
      <family val="2"/>
    </font>
    <font>
      <b/>
      <sz val="10"/>
      <color theme="1"/>
      <name val="Arial"/>
      <family val="2"/>
    </font>
    <font>
      <sz val="10"/>
      <color theme="1"/>
      <name val="Arial Black"/>
      <family val="2"/>
    </font>
    <font>
      <b/>
      <sz val="10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Arial Black"/>
      <family val="2"/>
    </font>
    <font>
      <b/>
      <sz val="11"/>
      <color theme="1"/>
      <name val="Arial Black"/>
      <family val="2"/>
    </font>
    <font>
      <b/>
      <sz val="11"/>
      <color theme="0"/>
      <name val="Arial Black"/>
      <family val="2"/>
    </font>
    <font>
      <b/>
      <sz val="11"/>
      <color theme="0"/>
      <name val="Arial"/>
      <family val="2"/>
    </font>
    <font>
      <b/>
      <sz val="11"/>
      <color theme="0" tint="-4.9989318521683403E-2"/>
      <name val="Calibri"/>
      <family val="2"/>
      <scheme val="minor"/>
    </font>
    <font>
      <sz val="10"/>
      <color theme="0" tint="-4.9989318521683403E-2"/>
      <name val="Arial Black"/>
      <family val="2"/>
    </font>
    <font>
      <sz val="11"/>
      <color theme="0" tint="-4.9989318521683403E-2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74">
    <xf numFmtId="0" fontId="0" fillId="0" borderId="0" xfId="0"/>
    <xf numFmtId="0" fontId="0" fillId="0" borderId="0" xfId="0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0" fillId="0" borderId="1" xfId="0" applyFont="1" applyBorder="1" applyAlignment="1">
      <alignment horizontal="left"/>
    </xf>
    <xf numFmtId="44" fontId="1" fillId="0" borderId="1" xfId="1" applyFont="1" applyBorder="1"/>
    <xf numFmtId="44" fontId="0" fillId="0" borderId="0" xfId="1" applyFont="1"/>
    <xf numFmtId="44" fontId="0" fillId="0" borderId="0" xfId="0" applyNumberFormat="1"/>
    <xf numFmtId="0" fontId="9" fillId="7" borderId="1" xfId="0" applyFont="1" applyFill="1" applyBorder="1" applyAlignment="1">
      <alignment horizontal="center"/>
    </xf>
    <xf numFmtId="0" fontId="0" fillId="3" borderId="0" xfId="0" applyFill="1"/>
    <xf numFmtId="0" fontId="5" fillId="3" borderId="0" xfId="0" applyFont="1" applyFill="1" applyAlignment="1"/>
    <xf numFmtId="0" fontId="0" fillId="3" borderId="1" xfId="0" applyFill="1" applyBorder="1"/>
    <xf numFmtId="0" fontId="12" fillId="3" borderId="1" xfId="0" applyFont="1" applyFill="1" applyBorder="1"/>
    <xf numFmtId="0" fontId="0" fillId="3" borderId="6" xfId="0" applyFill="1" applyBorder="1" applyAlignment="1"/>
    <xf numFmtId="0" fontId="0" fillId="3" borderId="7" xfId="0" applyFill="1" applyBorder="1" applyAlignment="1"/>
    <xf numFmtId="0" fontId="2" fillId="1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1" fillId="3" borderId="1" xfId="0" applyFont="1" applyFill="1" applyBorder="1"/>
    <xf numFmtId="1" fontId="9" fillId="9" borderId="1" xfId="0" applyNumberFormat="1" applyFont="1" applyFill="1" applyBorder="1" applyAlignment="1">
      <alignment horizontal="center"/>
    </xf>
    <xf numFmtId="44" fontId="9" fillId="3" borderId="1" xfId="0" applyNumberFormat="1" applyFont="1" applyFill="1" applyBorder="1"/>
    <xf numFmtId="1" fontId="9" fillId="10" borderId="1" xfId="0" applyNumberFormat="1" applyFont="1" applyFill="1" applyBorder="1" applyAlignment="1">
      <alignment horizontal="center"/>
    </xf>
    <xf numFmtId="0" fontId="8" fillId="3" borderId="0" xfId="0" applyFont="1" applyFill="1"/>
    <xf numFmtId="0" fontId="9" fillId="0" borderId="1" xfId="0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/>
    </xf>
    <xf numFmtId="44" fontId="9" fillId="0" borderId="1" xfId="0" applyNumberFormat="1" applyFont="1" applyFill="1" applyBorder="1" applyAlignment="1">
      <alignment horizontal="center"/>
    </xf>
    <xf numFmtId="0" fontId="11" fillId="3" borderId="8" xfId="0" applyFont="1" applyFill="1" applyBorder="1"/>
    <xf numFmtId="0" fontId="13" fillId="2" borderId="8" xfId="0" applyFont="1" applyFill="1" applyBorder="1" applyAlignment="1">
      <alignment horizontal="center"/>
    </xf>
    <xf numFmtId="44" fontId="9" fillId="8" borderId="1" xfId="1" applyFont="1" applyFill="1" applyBorder="1" applyAlignment="1">
      <alignment horizontal="center"/>
    </xf>
    <xf numFmtId="44" fontId="9" fillId="8" borderId="1" xfId="0" applyNumberFormat="1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0" fillId="3" borderId="0" xfId="0" applyFill="1" applyAlignment="1"/>
    <xf numFmtId="0" fontId="2" fillId="4" borderId="1" xfId="0" applyFont="1" applyFill="1" applyBorder="1" applyAlignment="1">
      <alignment horizontal="left"/>
    </xf>
    <xf numFmtId="44" fontId="9" fillId="0" borderId="1" xfId="1" applyFont="1" applyFill="1" applyBorder="1" applyAlignment="1">
      <alignment horizontal="center"/>
    </xf>
    <xf numFmtId="8" fontId="0" fillId="0" borderId="0" xfId="0" applyNumberFormat="1"/>
    <xf numFmtId="0" fontId="0" fillId="0" borderId="1" xfId="0" applyBorder="1"/>
    <xf numFmtId="8" fontId="0" fillId="0" borderId="1" xfId="0" applyNumberFormat="1" applyBorder="1"/>
    <xf numFmtId="0" fontId="2" fillId="0" borderId="1" xfId="0" applyFont="1" applyBorder="1" applyAlignment="1">
      <alignment horizontal="center"/>
    </xf>
    <xf numFmtId="8" fontId="2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8" fontId="2" fillId="0" borderId="1" xfId="0" applyNumberFormat="1" applyFont="1" applyBorder="1" applyAlignment="1">
      <alignment horizontal="right"/>
    </xf>
    <xf numFmtId="8" fontId="0" fillId="0" borderId="1" xfId="0" applyNumberFormat="1" applyBorder="1" applyAlignment="1">
      <alignment horizontal="right"/>
    </xf>
    <xf numFmtId="8" fontId="0" fillId="0" borderId="1" xfId="0" applyNumberFormat="1" applyFill="1" applyBorder="1" applyAlignment="1">
      <alignment horizontal="right"/>
    </xf>
    <xf numFmtId="0" fontId="0" fillId="0" borderId="1" xfId="0" applyFill="1" applyBorder="1"/>
    <xf numFmtId="8" fontId="0" fillId="0" borderId="1" xfId="0" applyNumberFormat="1" applyFill="1" applyBorder="1"/>
    <xf numFmtId="8" fontId="2" fillId="0" borderId="1" xfId="0" applyNumberFormat="1" applyFont="1" applyFill="1" applyBorder="1"/>
    <xf numFmtId="0" fontId="16" fillId="8" borderId="0" xfId="0" applyFont="1" applyFill="1" applyAlignment="1">
      <alignment horizontal="left"/>
    </xf>
    <xf numFmtId="0" fontId="0" fillId="8" borderId="0" xfId="0" applyFill="1"/>
    <xf numFmtId="0" fontId="18" fillId="13" borderId="0" xfId="0" applyFont="1" applyFill="1" applyAlignment="1">
      <alignment horizontal="left"/>
    </xf>
    <xf numFmtId="0" fontId="17" fillId="8" borderId="0" xfId="0" applyFont="1" applyFill="1" applyBorder="1" applyAlignment="1">
      <alignment horizontal="left"/>
    </xf>
    <xf numFmtId="8" fontId="16" fillId="14" borderId="1" xfId="0" applyNumberFormat="1" applyFont="1" applyFill="1" applyBorder="1"/>
    <xf numFmtId="0" fontId="17" fillId="8" borderId="15" xfId="0" applyFont="1" applyFill="1" applyBorder="1" applyAlignment="1">
      <alignment horizontal="left"/>
    </xf>
    <xf numFmtId="8" fontId="16" fillId="6" borderId="6" xfId="0" applyNumberFormat="1" applyFont="1" applyFill="1" applyBorder="1"/>
    <xf numFmtId="8" fontId="16" fillId="8" borderId="0" xfId="0" applyNumberFormat="1" applyFont="1" applyFill="1" applyBorder="1"/>
    <xf numFmtId="0" fontId="19" fillId="4" borderId="1" xfId="0" applyFont="1" applyFill="1" applyBorder="1"/>
    <xf numFmtId="8" fontId="2" fillId="4" borderId="1" xfId="0" applyNumberFormat="1" applyFont="1" applyFill="1" applyBorder="1"/>
    <xf numFmtId="0" fontId="0" fillId="8" borderId="1" xfId="0" applyFont="1" applyFill="1" applyBorder="1" applyAlignment="1">
      <alignment horizontal="left"/>
    </xf>
    <xf numFmtId="0" fontId="0" fillId="8" borderId="1" xfId="0" applyFont="1" applyFill="1" applyBorder="1" applyAlignment="1">
      <alignment horizontal="center"/>
    </xf>
    <xf numFmtId="8" fontId="2" fillId="8" borderId="1" xfId="0" applyNumberFormat="1" applyFont="1" applyFill="1" applyBorder="1" applyAlignment="1">
      <alignment horizontal="right"/>
    </xf>
    <xf numFmtId="0" fontId="0" fillId="0" borderId="7" xfId="0" applyFont="1" applyFill="1" applyBorder="1" applyAlignment="1">
      <alignment horizontal="left"/>
    </xf>
    <xf numFmtId="0" fontId="19" fillId="8" borderId="4" xfId="0" applyFont="1" applyFill="1" applyBorder="1" applyAlignment="1">
      <alignment horizontal="left"/>
    </xf>
    <xf numFmtId="0" fontId="0" fillId="0" borderId="1" xfId="0" applyNumberFormat="1" applyBorder="1"/>
    <xf numFmtId="44" fontId="0" fillId="0" borderId="1" xfId="1" applyFont="1" applyBorder="1"/>
    <xf numFmtId="8" fontId="1" fillId="9" borderId="1" xfId="1" applyNumberFormat="1" applyFont="1" applyFill="1" applyBorder="1" applyAlignment="1">
      <alignment horizontal="center"/>
    </xf>
    <xf numFmtId="44" fontId="0" fillId="3" borderId="0" xfId="0" applyNumberFormat="1" applyFill="1"/>
    <xf numFmtId="44" fontId="0" fillId="8" borderId="1" xfId="0" applyNumberFormat="1" applyFill="1" applyBorder="1" applyAlignment="1"/>
    <xf numFmtId="0" fontId="0" fillId="0" borderId="1" xfId="0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44" fontId="0" fillId="9" borderId="1" xfId="1" applyFont="1" applyFill="1" applyBorder="1"/>
    <xf numFmtId="164" fontId="21" fillId="8" borderId="1" xfId="2" applyNumberFormat="1" applyFont="1" applyFill="1" applyBorder="1"/>
    <xf numFmtId="44" fontId="0" fillId="8" borderId="1" xfId="0" applyNumberFormat="1" applyFill="1" applyBorder="1"/>
    <xf numFmtId="0" fontId="2" fillId="3" borderId="0" xfId="0" applyFont="1" applyFill="1"/>
    <xf numFmtId="0" fontId="2" fillId="3" borderId="0" xfId="0" applyFont="1" applyFill="1" applyAlignment="1">
      <alignment horizontal="left"/>
    </xf>
    <xf numFmtId="164" fontId="0" fillId="8" borderId="1" xfId="0" applyNumberFormat="1" applyFill="1" applyBorder="1"/>
    <xf numFmtId="44" fontId="2" fillId="3" borderId="1" xfId="0" applyNumberFormat="1" applyFont="1" applyFill="1" applyBorder="1"/>
    <xf numFmtId="44" fontId="2" fillId="9" borderId="1" xfId="0" applyNumberFormat="1" applyFont="1" applyFill="1" applyBorder="1"/>
    <xf numFmtId="0" fontId="9" fillId="7" borderId="2" xfId="0" applyFont="1" applyFill="1" applyBorder="1" applyAlignment="1">
      <alignment horizontal="center"/>
    </xf>
    <xf numFmtId="1" fontId="9" fillId="9" borderId="2" xfId="0" applyNumberFormat="1" applyFont="1" applyFill="1" applyBorder="1" applyAlignment="1">
      <alignment horizontal="center"/>
    </xf>
    <xf numFmtId="0" fontId="13" fillId="2" borderId="9" xfId="0" applyFont="1" applyFill="1" applyBorder="1" applyAlignment="1">
      <alignment horizontal="center"/>
    </xf>
    <xf numFmtId="0" fontId="13" fillId="6" borderId="4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" fontId="9" fillId="0" borderId="1" xfId="0" applyNumberFormat="1" applyFont="1" applyFill="1" applyBorder="1" applyAlignment="1"/>
    <xf numFmtId="8" fontId="9" fillId="0" borderId="1" xfId="0" applyNumberFormat="1" applyFont="1" applyFill="1" applyBorder="1" applyAlignment="1">
      <alignment horizontal="center"/>
    </xf>
    <xf numFmtId="44" fontId="9" fillId="0" borderId="4" xfId="1" applyFont="1" applyFill="1" applyBorder="1" applyAlignment="1">
      <alignment horizontal="center"/>
    </xf>
    <xf numFmtId="0" fontId="2" fillId="12" borderId="6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8" fontId="2" fillId="19" borderId="1" xfId="0" applyNumberFormat="1" applyFont="1" applyFill="1" applyBorder="1"/>
    <xf numFmtId="8" fontId="0" fillId="19" borderId="1" xfId="0" applyNumberFormat="1" applyFill="1" applyBorder="1"/>
    <xf numFmtId="0" fontId="18" fillId="20" borderId="0" xfId="0" applyFont="1" applyFill="1" applyAlignment="1">
      <alignment horizontal="left"/>
    </xf>
    <xf numFmtId="0" fontId="18" fillId="8" borderId="0" xfId="0" applyFont="1" applyFill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/>
    <xf numFmtId="1" fontId="19" fillId="18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0" fontId="2" fillId="3" borderId="1" xfId="0" applyFont="1" applyFill="1" applyBorder="1" applyAlignment="1">
      <alignment horizontal="center"/>
    </xf>
    <xf numFmtId="44" fontId="2" fillId="3" borderId="1" xfId="0" applyNumberFormat="1" applyFont="1" applyFill="1" applyBorder="1" applyAlignment="1"/>
    <xf numFmtId="1" fontId="2" fillId="13" borderId="1" xfId="0" applyNumberFormat="1" applyFont="1" applyFill="1" applyBorder="1"/>
    <xf numFmtId="1" fontId="0" fillId="0" borderId="1" xfId="1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44" fontId="0" fillId="0" borderId="1" xfId="0" applyNumberFormat="1" applyBorder="1"/>
    <xf numFmtId="44" fontId="2" fillId="0" borderId="1" xfId="0" applyNumberFormat="1" applyFont="1" applyBorder="1"/>
    <xf numFmtId="0" fontId="2" fillId="13" borderId="1" xfId="0" applyFont="1" applyFill="1" applyBorder="1" applyAlignment="1">
      <alignment horizontal="center"/>
    </xf>
    <xf numFmtId="44" fontId="2" fillId="16" borderId="1" xfId="0" applyNumberFormat="1" applyFont="1" applyFill="1" applyBorder="1"/>
    <xf numFmtId="0" fontId="23" fillId="20" borderId="15" xfId="0" applyFont="1" applyFill="1" applyBorder="1" applyAlignment="1"/>
    <xf numFmtId="0" fontId="2" fillId="9" borderId="1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8" fontId="2" fillId="8" borderId="0" xfId="0" applyNumberFormat="1" applyFont="1" applyFill="1" applyBorder="1"/>
    <xf numFmtId="1" fontId="0" fillId="21" borderId="1" xfId="0" applyNumberFormat="1" applyFill="1" applyBorder="1" applyAlignment="1">
      <alignment horizontal="center"/>
    </xf>
    <xf numFmtId="1" fontId="2" fillId="21" borderId="1" xfId="0" applyNumberFormat="1" applyFont="1" applyFill="1" applyBorder="1" applyAlignment="1">
      <alignment horizontal="center"/>
    </xf>
    <xf numFmtId="8" fontId="16" fillId="6" borderId="0" xfId="0" applyNumberFormat="1" applyFont="1" applyFill="1" applyBorder="1"/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8" fillId="8" borderId="0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4" fillId="8" borderId="0" xfId="0" applyFont="1" applyFill="1" applyAlignment="1"/>
    <xf numFmtId="0" fontId="2" fillId="17" borderId="5" xfId="0" applyFont="1" applyFill="1" applyBorder="1" applyAlignment="1">
      <alignment horizontal="left"/>
    </xf>
    <xf numFmtId="0" fontId="2" fillId="17" borderId="0" xfId="0" applyFont="1" applyFill="1" applyAlignment="1">
      <alignment horizontal="left"/>
    </xf>
    <xf numFmtId="0" fontId="2" fillId="18" borderId="5" xfId="0" applyFont="1" applyFill="1" applyBorder="1" applyAlignment="1">
      <alignment horizontal="left"/>
    </xf>
    <xf numFmtId="0" fontId="2" fillId="18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3" borderId="7" xfId="0" applyFill="1" applyBorder="1" applyAlignment="1">
      <alignment horizontal="center"/>
    </xf>
    <xf numFmtId="0" fontId="24" fillId="8" borderId="0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44" fontId="0" fillId="7" borderId="1" xfId="1" applyFont="1" applyFill="1" applyBorder="1"/>
    <xf numFmtId="44" fontId="1" fillId="0" borderId="15" xfId="1" applyFont="1" applyBorder="1"/>
    <xf numFmtId="0" fontId="2" fillId="8" borderId="9" xfId="0" applyFont="1" applyFill="1" applyBorder="1" applyAlignment="1">
      <alignment horizontal="left"/>
    </xf>
    <xf numFmtId="44" fontId="0" fillId="19" borderId="1" xfId="0" applyNumberFormat="1" applyFill="1" applyBorder="1"/>
    <xf numFmtId="164" fontId="2" fillId="24" borderId="1" xfId="0" applyNumberFormat="1" applyFont="1" applyFill="1" applyBorder="1" applyAlignment="1">
      <alignment horizontal="left"/>
    </xf>
    <xf numFmtId="0" fontId="27" fillId="24" borderId="1" xfId="0" applyNumberFormat="1" applyFont="1" applyFill="1" applyBorder="1" applyAlignment="1">
      <alignment horizontal="center"/>
    </xf>
    <xf numFmtId="2" fontId="28" fillId="3" borderId="1" xfId="0" applyNumberFormat="1" applyFont="1" applyFill="1" applyBorder="1"/>
    <xf numFmtId="0" fontId="28" fillId="3" borderId="1" xfId="0" applyFont="1" applyFill="1" applyBorder="1"/>
    <xf numFmtId="0" fontId="28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1" fontId="9" fillId="25" borderId="1" xfId="0" applyNumberFormat="1" applyFont="1" applyFill="1" applyBorder="1" applyAlignment="1">
      <alignment horizontal="center"/>
    </xf>
    <xf numFmtId="1" fontId="9" fillId="25" borderId="2" xfId="0" applyNumberFormat="1" applyFont="1" applyFill="1" applyBorder="1" applyAlignment="1">
      <alignment horizontal="center"/>
    </xf>
    <xf numFmtId="0" fontId="18" fillId="9" borderId="1" xfId="0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1" fontId="29" fillId="17" borderId="0" xfId="0" applyNumberFormat="1" applyFont="1" applyFill="1" applyAlignment="1">
      <alignment horizontal="center"/>
    </xf>
    <xf numFmtId="0" fontId="2" fillId="0" borderId="0" xfId="0" applyFont="1"/>
    <xf numFmtId="0" fontId="2" fillId="7" borderId="1" xfId="0" applyFont="1" applyFill="1" applyBorder="1" applyAlignment="1">
      <alignment horizontal="left"/>
    </xf>
    <xf numFmtId="44" fontId="2" fillId="7" borderId="1" xfId="1" applyFont="1" applyFill="1" applyBorder="1"/>
    <xf numFmtId="0" fontId="22" fillId="26" borderId="14" xfId="0" applyFont="1" applyFill="1" applyBorder="1" applyAlignment="1">
      <alignment horizontal="center" wrapText="1"/>
    </xf>
    <xf numFmtId="44" fontId="2" fillId="0" borderId="0" xfId="0" applyNumberFormat="1" applyFont="1" applyAlignment="1">
      <alignment vertical="center"/>
    </xf>
    <xf numFmtId="0" fontId="11" fillId="9" borderId="1" xfId="0" applyFont="1" applyFill="1" applyBorder="1" applyAlignment="1">
      <alignment horizontal="left"/>
    </xf>
    <xf numFmtId="8" fontId="9" fillId="9" borderId="1" xfId="0" applyNumberFormat="1" applyFont="1" applyFill="1" applyBorder="1" applyAlignment="1">
      <alignment horizontal="center"/>
    </xf>
    <xf numFmtId="44" fontId="9" fillId="9" borderId="1" xfId="1" applyFont="1" applyFill="1" applyBorder="1" applyAlignment="1">
      <alignment horizontal="center"/>
    </xf>
    <xf numFmtId="0" fontId="11" fillId="9" borderId="4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30" fillId="26" borderId="4" xfId="0" applyFont="1" applyFill="1" applyBorder="1"/>
    <xf numFmtId="44" fontId="16" fillId="26" borderId="1" xfId="0" applyNumberFormat="1" applyFont="1" applyFill="1" applyBorder="1"/>
    <xf numFmtId="44" fontId="10" fillId="10" borderId="1" xfId="1" applyFont="1" applyFill="1" applyBorder="1" applyAlignment="1">
      <alignment horizontal="left"/>
    </xf>
    <xf numFmtId="44" fontId="6" fillId="10" borderId="1" xfId="1" applyFont="1" applyFill="1" applyBorder="1" applyAlignment="1">
      <alignment horizontal="center"/>
    </xf>
    <xf numFmtId="44" fontId="6" fillId="10" borderId="1" xfId="0" applyNumberFormat="1" applyFont="1" applyFill="1" applyBorder="1"/>
    <xf numFmtId="0" fontId="16" fillId="8" borderId="0" xfId="0" applyFont="1" applyFill="1"/>
    <xf numFmtId="8" fontId="16" fillId="8" borderId="0" xfId="0" applyNumberFormat="1" applyFont="1" applyFill="1"/>
    <xf numFmtId="0" fontId="29" fillId="8" borderId="1" xfId="0" applyFont="1" applyFill="1" applyBorder="1" applyAlignment="1">
      <alignment horizontal="center"/>
    </xf>
    <xf numFmtId="0" fontId="29" fillId="1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44" fontId="21" fillId="3" borderId="1" xfId="1" applyNumberFormat="1" applyFont="1" applyFill="1" applyBorder="1" applyAlignment="1">
      <alignment horizontal="center"/>
    </xf>
    <xf numFmtId="0" fontId="23" fillId="22" borderId="0" xfId="0" applyFont="1" applyFill="1"/>
    <xf numFmtId="8" fontId="23" fillId="22" borderId="0" xfId="0" applyNumberFormat="1" applyFont="1" applyFill="1"/>
    <xf numFmtId="0" fontId="23" fillId="24" borderId="1" xfId="0" applyFont="1" applyFill="1" applyBorder="1"/>
    <xf numFmtId="44" fontId="23" fillId="24" borderId="1" xfId="0" applyNumberFormat="1" applyFont="1" applyFill="1" applyBorder="1"/>
    <xf numFmtId="0" fontId="23" fillId="8" borderId="0" xfId="0" applyFont="1" applyFill="1" applyBorder="1"/>
    <xf numFmtId="44" fontId="23" fillId="8" borderId="0" xfId="0" applyNumberFormat="1" applyFont="1" applyFill="1" applyBorder="1"/>
    <xf numFmtId="0" fontId="16" fillId="6" borderId="8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9" fontId="0" fillId="3" borderId="0" xfId="2" applyFont="1" applyFill="1"/>
    <xf numFmtId="44" fontId="6" fillId="8" borderId="1" xfId="0" applyNumberFormat="1" applyFont="1" applyFill="1" applyBorder="1"/>
    <xf numFmtId="0" fontId="30" fillId="28" borderId="4" xfId="0" applyFont="1" applyFill="1" applyBorder="1"/>
    <xf numFmtId="44" fontId="16" fillId="28" borderId="1" xfId="0" applyNumberFormat="1" applyFont="1" applyFill="1" applyBorder="1"/>
    <xf numFmtId="0" fontId="0" fillId="21" borderId="0" xfId="0" applyFill="1"/>
    <xf numFmtId="0" fontId="0" fillId="21" borderId="0" xfId="0" applyFill="1" applyAlignment="1">
      <alignment horizontal="center"/>
    </xf>
    <xf numFmtId="0" fontId="0" fillId="21" borderId="0" xfId="0" applyFill="1" applyProtection="1"/>
    <xf numFmtId="0" fontId="2" fillId="4" borderId="21" xfId="0" applyFont="1" applyFill="1" applyBorder="1"/>
    <xf numFmtId="4" fontId="0" fillId="4" borderId="22" xfId="3" applyNumberFormat="1" applyFont="1" applyFill="1" applyBorder="1"/>
    <xf numFmtId="0" fontId="0" fillId="21" borderId="0" xfId="0" applyFill="1" applyProtection="1">
      <protection locked="0"/>
    </xf>
    <xf numFmtId="4" fontId="0" fillId="8" borderId="22" xfId="3" applyNumberFormat="1" applyFont="1" applyFill="1" applyBorder="1" applyProtection="1">
      <protection locked="0"/>
    </xf>
    <xf numFmtId="4" fontId="0" fillId="4" borderId="22" xfId="3" applyNumberFormat="1" applyFont="1" applyFill="1" applyBorder="1" applyProtection="1"/>
    <xf numFmtId="0" fontId="2" fillId="8" borderId="21" xfId="0" applyFont="1" applyFill="1" applyBorder="1" applyProtection="1"/>
    <xf numFmtId="0" fontId="2" fillId="4" borderId="23" xfId="0" applyFont="1" applyFill="1" applyBorder="1"/>
    <xf numFmtId="0" fontId="18" fillId="4" borderId="20" xfId="0" applyFont="1" applyFill="1" applyBorder="1" applyAlignment="1">
      <alignment horizontal="center"/>
    </xf>
    <xf numFmtId="0" fontId="2" fillId="29" borderId="19" xfId="0" applyFont="1" applyFill="1" applyBorder="1"/>
    <xf numFmtId="0" fontId="16" fillId="30" borderId="20" xfId="0" applyFont="1" applyFill="1" applyBorder="1" applyAlignment="1">
      <alignment horizontal="center"/>
    </xf>
    <xf numFmtId="0" fontId="2" fillId="23" borderId="20" xfId="0" applyFont="1" applyFill="1" applyBorder="1" applyAlignment="1">
      <alignment horizontal="center"/>
    </xf>
    <xf numFmtId="0" fontId="16" fillId="6" borderId="20" xfId="0" applyFont="1" applyFill="1" applyBorder="1" applyAlignment="1">
      <alignment horizontal="center"/>
    </xf>
    <xf numFmtId="0" fontId="31" fillId="29" borderId="19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8" fillId="8" borderId="1" xfId="0" applyFont="1" applyFill="1" applyBorder="1" applyAlignment="1">
      <alignment horizontal="left"/>
    </xf>
    <xf numFmtId="0" fontId="8" fillId="8" borderId="4" xfId="0" applyFont="1" applyFill="1" applyBorder="1" applyAlignment="1">
      <alignment horizontal="left"/>
    </xf>
    <xf numFmtId="0" fontId="0" fillId="0" borderId="4" xfId="0" applyBorder="1"/>
    <xf numFmtId="0" fontId="32" fillId="31" borderId="19" xfId="0" applyFont="1" applyFill="1" applyBorder="1" applyAlignment="1">
      <alignment horizontal="left"/>
    </xf>
    <xf numFmtId="0" fontId="22" fillId="28" borderId="10" xfId="0" applyFont="1" applyFill="1" applyBorder="1" applyAlignment="1">
      <alignment horizontal="center"/>
    </xf>
    <xf numFmtId="0" fontId="0" fillId="3" borderId="1" xfId="0" applyFont="1" applyFill="1" applyBorder="1"/>
    <xf numFmtId="0" fontId="32" fillId="32" borderId="19" xfId="0" applyFont="1" applyFill="1" applyBorder="1" applyAlignment="1">
      <alignment horizontal="left"/>
    </xf>
    <xf numFmtId="44" fontId="6" fillId="18" borderId="1" xfId="1" applyFont="1" applyFill="1" applyBorder="1" applyProtection="1">
      <protection locked="0"/>
    </xf>
    <xf numFmtId="44" fontId="6" fillId="24" borderId="1" xfId="1" applyFont="1" applyFill="1" applyBorder="1" applyProtection="1">
      <protection locked="0"/>
    </xf>
    <xf numFmtId="44" fontId="2" fillId="3" borderId="1" xfId="1" applyFont="1" applyFill="1" applyBorder="1" applyProtection="1">
      <protection locked="0"/>
    </xf>
    <xf numFmtId="9" fontId="2" fillId="3" borderId="1" xfId="2" applyFont="1" applyFill="1" applyBorder="1" applyAlignment="1" applyProtection="1">
      <alignment horizontal="center"/>
      <protection locked="0"/>
    </xf>
    <xf numFmtId="44" fontId="6" fillId="3" borderId="1" xfId="1" applyFont="1" applyFill="1" applyBorder="1" applyProtection="1">
      <protection locked="0"/>
    </xf>
    <xf numFmtId="9" fontId="6" fillId="3" borderId="1" xfId="2" applyFont="1" applyFill="1" applyBorder="1" applyAlignment="1" applyProtection="1">
      <alignment horizontal="center"/>
      <protection locked="0"/>
    </xf>
    <xf numFmtId="44" fontId="0" fillId="8" borderId="1" xfId="1" applyFont="1" applyFill="1" applyBorder="1" applyProtection="1">
      <protection locked="0"/>
    </xf>
    <xf numFmtId="44" fontId="0" fillId="8" borderId="6" xfId="1" applyFont="1" applyFill="1" applyBorder="1" applyProtection="1">
      <protection locked="0"/>
    </xf>
    <xf numFmtId="0" fontId="4" fillId="0" borderId="0" xfId="0" applyFont="1" applyBorder="1" applyAlignment="1">
      <alignment horizontal="center" vertical="center"/>
    </xf>
    <xf numFmtId="44" fontId="0" fillId="3" borderId="1" xfId="1" applyFont="1" applyFill="1" applyBorder="1" applyProtection="1">
      <protection locked="0"/>
    </xf>
    <xf numFmtId="0" fontId="2" fillId="3" borderId="1" xfId="0" applyFont="1" applyFill="1" applyBorder="1"/>
    <xf numFmtId="0" fontId="2" fillId="3" borderId="4" xfId="0" applyFont="1" applyFill="1" applyBorder="1"/>
    <xf numFmtId="4" fontId="2" fillId="4" borderId="22" xfId="3" applyNumberFormat="1" applyFont="1" applyFill="1" applyBorder="1"/>
    <xf numFmtId="0" fontId="33" fillId="31" borderId="21" xfId="0" applyFont="1" applyFill="1" applyBorder="1"/>
    <xf numFmtId="44" fontId="16" fillId="31" borderId="22" xfId="1" applyFont="1" applyFill="1" applyBorder="1"/>
    <xf numFmtId="44" fontId="2" fillId="4" borderId="22" xfId="1" applyFont="1" applyFill="1" applyBorder="1"/>
    <xf numFmtId="0" fontId="2" fillId="4" borderId="21" xfId="0" applyFont="1" applyFill="1" applyBorder="1" applyAlignment="1">
      <alignment horizontal="center"/>
    </xf>
    <xf numFmtId="4" fontId="2" fillId="8" borderId="22" xfId="3" applyNumberFormat="1" applyFont="1" applyFill="1" applyBorder="1" applyProtection="1">
      <protection locked="0"/>
    </xf>
    <xf numFmtId="4" fontId="2" fillId="4" borderId="24" xfId="3" applyNumberFormat="1" applyFont="1" applyFill="1" applyBorder="1"/>
    <xf numFmtId="4" fontId="0" fillId="21" borderId="0" xfId="0" applyNumberFormat="1" applyFill="1"/>
    <xf numFmtId="4" fontId="0" fillId="21" borderId="0" xfId="0" applyNumberFormat="1" applyFill="1" applyAlignment="1">
      <alignment horizontal="left"/>
    </xf>
    <xf numFmtId="0" fontId="0" fillId="21" borderId="1" xfId="0" applyFill="1" applyBorder="1" applyProtection="1"/>
    <xf numFmtId="0" fontId="0" fillId="8" borderId="1" xfId="0" applyFill="1" applyBorder="1" applyProtection="1"/>
    <xf numFmtId="44" fontId="0" fillId="8" borderId="1" xfId="0" applyNumberFormat="1" applyFill="1" applyBorder="1" applyProtection="1"/>
    <xf numFmtId="0" fontId="2" fillId="8" borderId="1" xfId="0" applyFont="1" applyFill="1" applyBorder="1" applyProtection="1"/>
    <xf numFmtId="0" fontId="2" fillId="17" borderId="1" xfId="0" applyFont="1" applyFill="1" applyBorder="1"/>
    <xf numFmtId="0" fontId="2" fillId="17" borderId="4" xfId="0" applyFont="1" applyFill="1" applyBorder="1"/>
    <xf numFmtId="8" fontId="0" fillId="8" borderId="1" xfId="0" applyNumberFormat="1" applyFont="1" applyFill="1" applyBorder="1" applyAlignment="1">
      <alignment horizontal="left"/>
    </xf>
    <xf numFmtId="8" fontId="0" fillId="8" borderId="1" xfId="0" applyNumberFormat="1" applyFill="1" applyBorder="1" applyAlignment="1">
      <alignment horizontal="left"/>
    </xf>
    <xf numFmtId="44" fontId="0" fillId="8" borderId="1" xfId="0" applyNumberFormat="1" applyFill="1" applyBorder="1" applyAlignment="1">
      <alignment horizontal="left"/>
    </xf>
    <xf numFmtId="44" fontId="0" fillId="3" borderId="0" xfId="1" applyFont="1" applyFill="1"/>
    <xf numFmtId="44" fontId="2" fillId="8" borderId="1" xfId="0" applyNumberFormat="1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44" fontId="6" fillId="9" borderId="1" xfId="0" applyNumberFormat="1" applyFont="1" applyFill="1" applyBorder="1"/>
    <xf numFmtId="0" fontId="2" fillId="27" borderId="1" xfId="0" applyFont="1" applyFill="1" applyBorder="1"/>
    <xf numFmtId="0" fontId="0" fillId="0" borderId="1" xfId="0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" fontId="0" fillId="8" borderId="2" xfId="0" applyNumberFormat="1" applyFill="1" applyBorder="1" applyAlignment="1">
      <alignment horizontal="center"/>
    </xf>
    <xf numFmtId="1" fontId="0" fillId="8" borderId="1" xfId="1" applyNumberFormat="1" applyFont="1" applyFill="1" applyBorder="1" applyAlignment="1">
      <alignment horizontal="center"/>
    </xf>
    <xf numFmtId="1" fontId="2" fillId="8" borderId="1" xfId="0" applyNumberFormat="1" applyFont="1" applyFill="1" applyBorder="1" applyAlignment="1">
      <alignment horizontal="center"/>
    </xf>
    <xf numFmtId="44" fontId="0" fillId="8" borderId="1" xfId="1" applyFont="1" applyFill="1" applyBorder="1"/>
    <xf numFmtId="0" fontId="34" fillId="3" borderId="0" xfId="0" applyFont="1" applyFill="1" applyBorder="1" applyAlignment="1">
      <alignment horizontal="center"/>
    </xf>
    <xf numFmtId="0" fontId="36" fillId="3" borderId="0" xfId="0" applyFont="1" applyFill="1"/>
    <xf numFmtId="0" fontId="35" fillId="3" borderId="0" xfId="0" applyFont="1" applyFill="1" applyBorder="1"/>
    <xf numFmtId="44" fontId="34" fillId="3" borderId="0" xfId="0" applyNumberFormat="1" applyFont="1" applyFill="1" applyBorder="1"/>
    <xf numFmtId="0" fontId="12" fillId="33" borderId="1" xfId="0" applyFont="1" applyFill="1" applyBorder="1"/>
    <xf numFmtId="44" fontId="2" fillId="33" borderId="1" xfId="0" applyNumberFormat="1" applyFont="1" applyFill="1" applyBorder="1"/>
    <xf numFmtId="9" fontId="27" fillId="3" borderId="1" xfId="2" applyFont="1" applyFill="1" applyBorder="1"/>
    <xf numFmtId="0" fontId="37" fillId="3" borderId="1" xfId="0" applyFont="1" applyFill="1" applyBorder="1"/>
    <xf numFmtId="0" fontId="12" fillId="12" borderId="1" xfId="0" applyFont="1" applyFill="1" applyBorder="1"/>
    <xf numFmtId="44" fontId="2" fillId="12" borderId="1" xfId="0" applyNumberFormat="1" applyFont="1" applyFill="1" applyBorder="1"/>
    <xf numFmtId="9" fontId="38" fillId="3" borderId="1" xfId="2" applyFont="1" applyFill="1" applyBorder="1"/>
    <xf numFmtId="0" fontId="2" fillId="27" borderId="8" xfId="0" applyFont="1" applyFill="1" applyBorder="1"/>
    <xf numFmtId="9" fontId="6" fillId="8" borderId="8" xfId="2" applyFont="1" applyFill="1" applyBorder="1"/>
    <xf numFmtId="1" fontId="0" fillId="21" borderId="2" xfId="0" applyNumberFormat="1" applyFill="1" applyBorder="1" applyAlignment="1">
      <alignment horizontal="center"/>
    </xf>
    <xf numFmtId="8" fontId="2" fillId="7" borderId="2" xfId="0" applyNumberFormat="1" applyFont="1" applyFill="1" applyBorder="1" applyAlignment="1">
      <alignment wrapText="1"/>
    </xf>
    <xf numFmtId="8" fontId="2" fillId="7" borderId="1" xfId="0" applyNumberFormat="1" applyFont="1" applyFill="1" applyBorder="1"/>
    <xf numFmtId="8" fontId="2" fillId="7" borderId="1" xfId="1" applyNumberFormat="1" applyFont="1" applyFill="1" applyBorder="1" applyAlignment="1">
      <alignment horizontal="center"/>
    </xf>
    <xf numFmtId="44" fontId="2" fillId="7" borderId="1" xfId="0" applyNumberFormat="1" applyFont="1" applyFill="1" applyBorder="1"/>
    <xf numFmtId="1" fontId="9" fillId="0" borderId="10" xfId="0" applyNumberFormat="1" applyFont="1" applyFill="1" applyBorder="1" applyAlignment="1"/>
    <xf numFmtId="1" fontId="9" fillId="0" borderId="14" xfId="0" applyNumberFormat="1" applyFont="1" applyFill="1" applyBorder="1" applyAlignment="1"/>
    <xf numFmtId="1" fontId="9" fillId="0" borderId="11" xfId="0" applyNumberFormat="1" applyFont="1" applyFill="1" applyBorder="1" applyAlignment="1"/>
    <xf numFmtId="1" fontId="9" fillId="0" borderId="5" xfId="0" applyNumberFormat="1" applyFont="1" applyFill="1" applyBorder="1" applyAlignment="1"/>
    <xf numFmtId="1" fontId="9" fillId="0" borderId="0" xfId="0" applyNumberFormat="1" applyFont="1" applyFill="1" applyBorder="1" applyAlignment="1"/>
    <xf numFmtId="1" fontId="9" fillId="0" borderId="12" xfId="0" applyNumberFormat="1" applyFont="1" applyFill="1" applyBorder="1" applyAlignment="1"/>
    <xf numFmtId="8" fontId="9" fillId="9" borderId="1" xfId="1" applyNumberFormat="1" applyFont="1" applyFill="1" applyBorder="1" applyAlignment="1">
      <alignment horizontal="center"/>
    </xf>
    <xf numFmtId="8" fontId="18" fillId="8" borderId="0" xfId="0" applyNumberFormat="1" applyFont="1" applyFill="1" applyBorder="1" applyAlignment="1">
      <alignment horizontal="center"/>
    </xf>
    <xf numFmtId="8" fontId="27" fillId="8" borderId="0" xfId="0" applyNumberFormat="1" applyFont="1" applyFill="1" applyBorder="1"/>
    <xf numFmtId="0" fontId="2" fillId="27" borderId="4" xfId="0" applyFont="1" applyFill="1" applyBorder="1" applyAlignment="1">
      <alignment horizontal="center"/>
    </xf>
    <xf numFmtId="1" fontId="22" fillId="26" borderId="14" xfId="0" applyNumberFormat="1" applyFont="1" applyFill="1" applyBorder="1" applyAlignment="1">
      <alignment horizontal="center"/>
    </xf>
    <xf numFmtId="44" fontId="0" fillId="3" borderId="1" xfId="1" applyFont="1" applyFill="1" applyBorder="1" applyAlignment="1">
      <alignment vertical="center"/>
    </xf>
    <xf numFmtId="0" fontId="0" fillId="3" borderId="1" xfId="0" applyFill="1" applyBorder="1" applyAlignment="1">
      <alignment horizontal="center"/>
    </xf>
    <xf numFmtId="44" fontId="0" fillId="3" borderId="1" xfId="0" applyNumberFormat="1" applyFill="1" applyBorder="1"/>
    <xf numFmtId="0" fontId="0" fillId="8" borderId="1" xfId="0" applyNumberFormat="1" applyFill="1" applyBorder="1" applyAlignment="1">
      <alignment horizontal="center"/>
    </xf>
    <xf numFmtId="0" fontId="0" fillId="8" borderId="0" xfId="0" applyFont="1" applyFill="1" applyBorder="1" applyAlignment="1">
      <alignment horizontal="left"/>
    </xf>
    <xf numFmtId="9" fontId="23" fillId="8" borderId="0" xfId="1" applyNumberFormat="1" applyFont="1" applyFill="1" applyBorder="1" applyAlignment="1">
      <alignment horizontal="center"/>
    </xf>
    <xf numFmtId="0" fontId="23" fillId="3" borderId="1" xfId="2" applyNumberFormat="1" applyFont="1" applyFill="1" applyBorder="1" applyAlignment="1">
      <alignment horizontal="center"/>
    </xf>
    <xf numFmtId="0" fontId="39" fillId="8" borderId="1" xfId="0" applyFont="1" applyFill="1" applyBorder="1"/>
    <xf numFmtId="8" fontId="39" fillId="8" borderId="1" xfId="0" applyNumberFormat="1" applyFont="1" applyFill="1" applyBorder="1" applyAlignment="1">
      <alignment horizontal="center"/>
    </xf>
    <xf numFmtId="8" fontId="18" fillId="8" borderId="1" xfId="0" applyNumberFormat="1" applyFont="1" applyFill="1" applyBorder="1" applyAlignment="1">
      <alignment horizontal="center"/>
    </xf>
    <xf numFmtId="0" fontId="22" fillId="16" borderId="1" xfId="0" applyFont="1" applyFill="1" applyBorder="1"/>
    <xf numFmtId="8" fontId="22" fillId="16" borderId="1" xfId="0" applyNumberFormat="1" applyFont="1" applyFill="1" applyBorder="1"/>
    <xf numFmtId="0" fontId="13" fillId="6" borderId="1" xfId="0" applyFont="1" applyFill="1" applyBorder="1"/>
    <xf numFmtId="8" fontId="16" fillId="6" borderId="1" xfId="0" applyNumberFormat="1" applyFont="1" applyFill="1" applyBorder="1"/>
    <xf numFmtId="0" fontId="2" fillId="17" borderId="0" xfId="0" applyNumberFormat="1" applyFont="1" applyFill="1" applyAlignment="1"/>
    <xf numFmtId="0" fontId="2" fillId="22" borderId="1" xfId="0" applyFont="1" applyFill="1" applyBorder="1" applyAlignment="1">
      <alignment horizontal="left"/>
    </xf>
    <xf numFmtId="44" fontId="1" fillId="22" borderId="1" xfId="1" applyFont="1" applyFill="1" applyBorder="1"/>
    <xf numFmtId="0" fontId="8" fillId="0" borderId="1" xfId="0" applyFont="1" applyBorder="1"/>
    <xf numFmtId="0" fontId="2" fillId="8" borderId="0" xfId="0" applyNumberFormat="1" applyFont="1" applyFill="1" applyAlignment="1"/>
    <xf numFmtId="44" fontId="2" fillId="8" borderId="0" xfId="0" applyNumberFormat="1" applyFont="1" applyFill="1" applyAlignment="1"/>
    <xf numFmtId="8" fontId="0" fillId="8" borderId="0" xfId="0" applyNumberFormat="1" applyFill="1"/>
    <xf numFmtId="0" fontId="0" fillId="0" borderId="1" xfId="0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2" fillId="6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18" borderId="0" xfId="0" applyFont="1" applyFill="1" applyAlignment="1">
      <alignment horizontal="right"/>
    </xf>
    <xf numFmtId="0" fontId="19" fillId="18" borderId="1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8" fillId="20" borderId="0" xfId="0" applyFont="1" applyFill="1" applyAlignment="1">
      <alignment horizontal="left"/>
    </xf>
    <xf numFmtId="0" fontId="19" fillId="8" borderId="2" xfId="0" applyFont="1" applyFill="1" applyBorder="1" applyAlignment="1">
      <alignment horizontal="left"/>
    </xf>
    <xf numFmtId="0" fontId="19" fillId="8" borderId="3" xfId="0" applyFont="1" applyFill="1" applyBorder="1" applyAlignment="1">
      <alignment horizontal="left"/>
    </xf>
    <xf numFmtId="0" fontId="19" fillId="8" borderId="4" xfId="0" applyFont="1" applyFill="1" applyBorder="1" applyAlignment="1">
      <alignment horizontal="left"/>
    </xf>
    <xf numFmtId="0" fontId="18" fillId="20" borderId="15" xfId="0" applyFont="1" applyFill="1" applyBorder="1" applyAlignment="1">
      <alignment horizontal="center"/>
    </xf>
    <xf numFmtId="0" fontId="29" fillId="15" borderId="1" xfId="0" applyFont="1" applyFill="1" applyBorder="1" applyAlignment="1">
      <alignment horizontal="center"/>
    </xf>
    <xf numFmtId="0" fontId="20" fillId="6" borderId="15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20" fillId="6" borderId="0" xfId="0" applyFont="1" applyFill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17" fillId="8" borderId="1" xfId="0" applyFont="1" applyFill="1" applyBorder="1" applyAlignment="1">
      <alignment horizontal="left"/>
    </xf>
    <xf numFmtId="0" fontId="18" fillId="8" borderId="0" xfId="0" applyFont="1" applyFill="1" applyAlignment="1">
      <alignment horizontal="left"/>
    </xf>
    <xf numFmtId="0" fontId="18" fillId="15" borderId="9" xfId="0" applyFont="1" applyFill="1" applyBorder="1" applyAlignment="1">
      <alignment horizontal="center"/>
    </xf>
    <xf numFmtId="0" fontId="18" fillId="15" borderId="15" xfId="0" applyFont="1" applyFill="1" applyBorder="1" applyAlignment="1">
      <alignment horizontal="center"/>
    </xf>
    <xf numFmtId="0" fontId="22" fillId="23" borderId="6" xfId="0" applyFont="1" applyFill="1" applyBorder="1" applyAlignment="1">
      <alignment horizontal="center" wrapText="1"/>
    </xf>
    <xf numFmtId="0" fontId="22" fillId="23" borderId="6" xfId="0" applyFont="1" applyFill="1" applyBorder="1" applyAlignment="1">
      <alignment horizontal="center"/>
    </xf>
    <xf numFmtId="0" fontId="22" fillId="26" borderId="6" xfId="0" applyFont="1" applyFill="1" applyBorder="1" applyAlignment="1">
      <alignment horizontal="center" wrapText="1"/>
    </xf>
    <xf numFmtId="0" fontId="22" fillId="26" borderId="6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4" fillId="7" borderId="0" xfId="0" applyFont="1" applyFill="1" applyBorder="1" applyAlignment="1">
      <alignment horizontal="center"/>
    </xf>
    <xf numFmtId="0" fontId="16" fillId="6" borderId="9" xfId="0" applyFont="1" applyFill="1" applyBorder="1" applyAlignment="1">
      <alignment horizontal="center"/>
    </xf>
    <xf numFmtId="0" fontId="16" fillId="6" borderId="15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0" xfId="0" applyFont="1" applyFill="1" applyAlignment="1">
      <alignment horizontal="left"/>
    </xf>
    <xf numFmtId="0" fontId="4" fillId="5" borderId="8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0" fillId="26" borderId="2" xfId="0" applyFont="1" applyFill="1" applyBorder="1" applyAlignment="1">
      <alignment horizontal="center"/>
    </xf>
    <xf numFmtId="0" fontId="20" fillId="26" borderId="3" xfId="0" applyFont="1" applyFill="1" applyBorder="1" applyAlignment="1">
      <alignment horizontal="center"/>
    </xf>
    <xf numFmtId="0" fontId="20" fillId="26" borderId="4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15" borderId="8" xfId="0" applyFont="1" applyFill="1" applyBorder="1" applyAlignment="1">
      <alignment horizontal="center"/>
    </xf>
    <xf numFmtId="0" fontId="20" fillId="11" borderId="2" xfId="0" applyFont="1" applyFill="1" applyBorder="1" applyAlignment="1">
      <alignment horizontal="center"/>
    </xf>
    <xf numFmtId="0" fontId="20" fillId="11" borderId="3" xfId="0" applyFont="1" applyFill="1" applyBorder="1" applyAlignment="1">
      <alignment horizontal="center"/>
    </xf>
    <xf numFmtId="0" fontId="20" fillId="11" borderId="4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4" fillId="27" borderId="2" xfId="0" applyFont="1" applyFill="1" applyBorder="1" applyAlignment="1">
      <alignment horizontal="center"/>
    </xf>
    <xf numFmtId="0" fontId="4" fillId="27" borderId="3" xfId="0" applyFont="1" applyFill="1" applyBorder="1" applyAlignment="1">
      <alignment horizontal="center"/>
    </xf>
    <xf numFmtId="0" fontId="4" fillId="27" borderId="4" xfId="0" applyFont="1" applyFill="1" applyBorder="1" applyAlignment="1">
      <alignment horizontal="center"/>
    </xf>
    <xf numFmtId="0" fontId="20" fillId="28" borderId="2" xfId="0" applyFont="1" applyFill="1" applyBorder="1" applyAlignment="1">
      <alignment horizontal="center"/>
    </xf>
    <xf numFmtId="0" fontId="20" fillId="28" borderId="3" xfId="0" applyFont="1" applyFill="1" applyBorder="1" applyAlignment="1">
      <alignment horizontal="center"/>
    </xf>
    <xf numFmtId="0" fontId="20" fillId="28" borderId="4" xfId="0" applyFont="1" applyFill="1" applyBorder="1" applyAlignment="1">
      <alignment horizontal="center"/>
    </xf>
    <xf numFmtId="0" fontId="29" fillId="15" borderId="25" xfId="0" applyFont="1" applyFill="1" applyBorder="1" applyAlignment="1">
      <alignment horizontal="center" vertical="center"/>
    </xf>
    <xf numFmtId="0" fontId="29" fillId="15" borderId="26" xfId="0" applyFont="1" applyFill="1" applyBorder="1" applyAlignment="1">
      <alignment horizontal="center" vertical="center"/>
    </xf>
    <xf numFmtId="0" fontId="29" fillId="15" borderId="27" xfId="0" applyFont="1" applyFill="1" applyBorder="1" applyAlignment="1">
      <alignment horizontal="center" vertical="center"/>
    </xf>
    <xf numFmtId="0" fontId="29" fillId="15" borderId="28" xfId="0" applyFont="1" applyFill="1" applyBorder="1" applyAlignment="1">
      <alignment horizontal="center" vertical="center"/>
    </xf>
    <xf numFmtId="0" fontId="29" fillId="15" borderId="29" xfId="0" applyFont="1" applyFill="1" applyBorder="1" applyAlignment="1">
      <alignment horizontal="center" vertical="center"/>
    </xf>
    <xf numFmtId="0" fontId="29" fillId="15" borderId="30" xfId="0" applyFont="1" applyFill="1" applyBorder="1" applyAlignment="1">
      <alignment horizontal="center" vertical="center"/>
    </xf>
    <xf numFmtId="0" fontId="20" fillId="6" borderId="15" xfId="0" applyFont="1" applyFill="1" applyBorder="1" applyAlignment="1" applyProtection="1">
      <alignment horizontal="center"/>
      <protection locked="0"/>
    </xf>
    <xf numFmtId="0" fontId="18" fillId="15" borderId="25" xfId="0" applyFont="1" applyFill="1" applyBorder="1" applyAlignment="1">
      <alignment horizontal="center" vertical="center"/>
    </xf>
    <xf numFmtId="0" fontId="18" fillId="15" borderId="26" xfId="0" applyFont="1" applyFill="1" applyBorder="1" applyAlignment="1">
      <alignment horizontal="center" vertical="center"/>
    </xf>
    <xf numFmtId="0" fontId="18" fillId="15" borderId="27" xfId="0" applyFont="1" applyFill="1" applyBorder="1" applyAlignment="1">
      <alignment horizontal="center" vertical="center"/>
    </xf>
    <xf numFmtId="0" fontId="18" fillId="15" borderId="28" xfId="0" applyFont="1" applyFill="1" applyBorder="1" applyAlignment="1">
      <alignment horizontal="center" vertical="center"/>
    </xf>
    <xf numFmtId="0" fontId="18" fillId="15" borderId="29" xfId="0" applyFont="1" applyFill="1" applyBorder="1" applyAlignment="1">
      <alignment horizontal="center" vertical="center"/>
    </xf>
    <xf numFmtId="0" fontId="18" fillId="15" borderId="30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3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ndense val="0"/>
        <extend val="0"/>
        <color rgb="FF9C0006"/>
      </font>
    </dxf>
    <dxf>
      <font>
        <color theme="3"/>
      </font>
      <fill>
        <patternFill>
          <bgColor theme="4" tint="0.79998168889431442"/>
        </patternFill>
      </fill>
    </dxf>
    <dxf>
      <font>
        <condense val="0"/>
        <extend val="0"/>
        <color rgb="FF9C0006"/>
      </font>
    </dxf>
    <dxf>
      <font>
        <color theme="3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ndense val="0"/>
        <extend val="0"/>
        <color rgb="FF9C0006"/>
      </font>
    </dxf>
    <dxf>
      <font>
        <color theme="3"/>
      </font>
      <fill>
        <patternFill>
          <bgColor theme="4" tint="0.79998168889431442"/>
        </patternFill>
      </fill>
    </dxf>
    <dxf>
      <font>
        <condense val="0"/>
        <extend val="0"/>
        <color rgb="FF9C0006"/>
      </font>
    </dxf>
    <dxf>
      <font>
        <color theme="3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ndense val="0"/>
        <extend val="0"/>
        <color rgb="FF9C0006"/>
      </font>
    </dxf>
    <dxf>
      <font>
        <color theme="3"/>
      </font>
      <fill>
        <patternFill>
          <bgColor theme="4" tint="0.79998168889431442"/>
        </patternFill>
      </fill>
    </dxf>
    <dxf>
      <font>
        <condense val="0"/>
        <extend val="0"/>
        <color rgb="FF9C0006"/>
      </font>
    </dxf>
    <dxf>
      <font>
        <color theme="3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ndense val="0"/>
        <extend val="0"/>
        <color rgb="FF9C0006"/>
      </font>
    </dxf>
    <dxf>
      <font>
        <color theme="3"/>
      </font>
      <fill>
        <patternFill>
          <bgColor theme="4" tint="0.79998168889431442"/>
        </patternFill>
      </fill>
    </dxf>
    <dxf>
      <font>
        <condense val="0"/>
        <extend val="0"/>
        <color rgb="FF9C0006"/>
      </font>
    </dxf>
    <dxf>
      <font>
        <color theme="3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ndense val="0"/>
        <extend val="0"/>
        <color rgb="FF9C0006"/>
      </font>
    </dxf>
    <dxf>
      <font>
        <color theme="3"/>
      </font>
      <fill>
        <patternFill>
          <bgColor theme="4" tint="0.79998168889431442"/>
        </patternFill>
      </fill>
    </dxf>
    <dxf>
      <font>
        <condense val="0"/>
        <extend val="0"/>
        <color rgb="FF9C0006"/>
      </font>
    </dxf>
    <dxf>
      <font>
        <color theme="3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ndense val="0"/>
        <extend val="0"/>
        <color rgb="FF9C0006"/>
      </font>
    </dxf>
    <dxf>
      <font>
        <color theme="3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3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3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3" tint="0.79998168889431442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3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3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3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  <color rgb="FF000000"/>
      <color rgb="FFFF66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DESCRIÇÃO</a:t>
            </a:r>
            <a:r>
              <a:rPr lang="pt-BR" baseline="0"/>
              <a:t> GERAL (Saldo Final)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973-4725-8D86-2E70B1860B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973-4725-8D86-2E70B1860B0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'FLUXO CAIXA - MENSAL'!$AK$19:$AL$19</c:f>
              <c:strCache>
                <c:ptCount val="2"/>
                <c:pt idx="0">
                  <c:v>previsão</c:v>
                </c:pt>
                <c:pt idx="1">
                  <c:v>realizado</c:v>
                </c:pt>
              </c:strCache>
            </c:strRef>
          </c:cat>
          <c:val>
            <c:numRef>
              <c:f>'FLUXO CAIXA - MENSAL'!$AK$20:$AL$20</c:f>
              <c:numCache>
                <c:formatCode>#,##0.00</c:formatCode>
                <c:ptCount val="2"/>
                <c:pt idx="0">
                  <c:v>0</c:v>
                </c:pt>
                <c:pt idx="1">
                  <c:v>67762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BCA-4044-AB65-575124F1B32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0.76864807524059497"/>
          <c:y val="0.41487204724409449"/>
          <c:w val="0.21468525809273842"/>
          <c:h val="0.23495479731700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/>
              <a:t>DESCRIÇÃO GERAL ORÇAMENTAL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'FLUXO CAIXA - MENSAL'!$AK$16</c:f>
              <c:strCache>
                <c:ptCount val="1"/>
                <c:pt idx="0">
                  <c:v>ENTRADAS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C8C2-4523-831D-04B337428127}"/>
              </c:ext>
            </c:extLst>
          </c:dPt>
          <c:cat>
            <c:strRef>
              <c:f>'FLUXO CAIXA - MENSAL'!$AL$15:$AN$15</c:f>
              <c:strCache>
                <c:ptCount val="3"/>
                <c:pt idx="0">
                  <c:v>PREVISÃO</c:v>
                </c:pt>
                <c:pt idx="1">
                  <c:v>REALIZADO</c:v>
                </c:pt>
                <c:pt idx="2">
                  <c:v>DIEFERENÇA</c:v>
                </c:pt>
              </c:strCache>
            </c:strRef>
          </c:cat>
          <c:val>
            <c:numRef>
              <c:f>'FLUXO CAIXA - MENSAL'!$AL$16:$AN$16</c:f>
              <c:numCache>
                <c:formatCode>_("R$"* #,##0.00_);_("R$"* \(#,##0.00\);_("R$"* "-"??_);_(@_)</c:formatCode>
                <c:ptCount val="3"/>
                <c:pt idx="0">
                  <c:v>107000</c:v>
                </c:pt>
                <c:pt idx="1">
                  <c:v>20550</c:v>
                </c:pt>
                <c:pt idx="2">
                  <c:v>-86450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8C2-4523-831D-04B337428127}"/>
            </c:ext>
          </c:extLst>
        </c:ser>
        <c:ser>
          <c:idx val="1"/>
          <c:order val="1"/>
          <c:tx>
            <c:strRef>
              <c:f>'FLUXO CAIXA - MENSAL'!$AK$17</c:f>
              <c:strCache>
                <c:ptCount val="1"/>
                <c:pt idx="0">
                  <c:v>SAIDAS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C8C2-4523-831D-04B337428127}"/>
              </c:ext>
            </c:extLst>
          </c:dPt>
          <c:cat>
            <c:strRef>
              <c:f>'FLUXO CAIXA - MENSAL'!$AL$15:$AN$15</c:f>
              <c:strCache>
                <c:ptCount val="3"/>
                <c:pt idx="0">
                  <c:v>PREVISÃO</c:v>
                </c:pt>
                <c:pt idx="1">
                  <c:v>REALIZADO</c:v>
                </c:pt>
                <c:pt idx="2">
                  <c:v>DIEFERENÇA</c:v>
                </c:pt>
              </c:strCache>
            </c:strRef>
          </c:cat>
          <c:val>
            <c:numRef>
              <c:f>'FLUXO CAIXA - MENSAL'!$AL$17:$AN$17</c:f>
              <c:numCache>
                <c:formatCode>_("R$"* #,##0.00_);_("R$"* \(#,##0.00\);_("R$"* "-"??_);_(@_)</c:formatCode>
                <c:ptCount val="3"/>
                <c:pt idx="0">
                  <c:v>0</c:v>
                </c:pt>
                <c:pt idx="1">
                  <c:v>5147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8C2-4523-831D-04B337428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22048"/>
        <c:axId val="60084608"/>
      </c:barChart>
      <c:catAx>
        <c:axId val="7592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084608"/>
        <c:crosses val="autoZero"/>
        <c:auto val="1"/>
        <c:lblAlgn val="ctr"/>
        <c:lblOffset val="100"/>
        <c:noMultiLvlLbl val="0"/>
      </c:catAx>
      <c:valAx>
        <c:axId val="600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2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748392</xdr:colOff>
      <xdr:row>42</xdr:row>
      <xdr:rowOff>149678</xdr:rowOff>
    </xdr:from>
    <xdr:to>
      <xdr:col>6</xdr:col>
      <xdr:colOff>231320</xdr:colOff>
      <xdr:row>59</xdr:row>
      <xdr:rowOff>95249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3D913172-820D-43DF-9106-3F3F0116B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27213</xdr:colOff>
      <xdr:row>42</xdr:row>
      <xdr:rowOff>136072</xdr:rowOff>
    </xdr:from>
    <xdr:to>
      <xdr:col>11</xdr:col>
      <xdr:colOff>680357</xdr:colOff>
      <xdr:row>62</xdr:row>
      <xdr:rowOff>136071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EEC66A87-6178-4BCB-95F3-D48D992C6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M22"/>
  <sheetViews>
    <sheetView showGridLines="0" topLeftCell="C1" zoomScale="110" zoomScaleNormal="110" workbookViewId="0">
      <selection activeCell="G22" sqref="G22"/>
    </sheetView>
  </sheetViews>
  <sheetFormatPr defaultRowHeight="15" x14ac:dyDescent="0.25"/>
  <cols>
    <col min="4" max="4" width="18.5703125" bestFit="1" customWidth="1"/>
    <col min="5" max="5" width="22.28515625" bestFit="1" customWidth="1"/>
    <col min="6" max="6" width="22.85546875" customWidth="1"/>
  </cols>
  <sheetData>
    <row r="2" spans="3:13" ht="15.75" x14ac:dyDescent="0.25">
      <c r="C2" s="296" t="s">
        <v>79</v>
      </c>
      <c r="D2" s="296"/>
      <c r="E2" s="296"/>
      <c r="F2" s="296"/>
      <c r="G2" s="296"/>
      <c r="H2" s="296"/>
      <c r="I2" s="296"/>
      <c r="J2" s="296"/>
      <c r="K2" s="296"/>
      <c r="L2" s="296"/>
      <c r="M2" s="296"/>
    </row>
    <row r="3" spans="3:13" x14ac:dyDescent="0.25">
      <c r="E3" s="297" t="s">
        <v>91</v>
      </c>
      <c r="F3" s="297"/>
      <c r="G3" s="297"/>
      <c r="H3" s="297"/>
      <c r="I3" s="297"/>
      <c r="J3" s="297"/>
      <c r="K3" s="297"/>
    </row>
    <row r="4" spans="3:13" x14ac:dyDescent="0.25">
      <c r="D4" s="298" t="s">
        <v>82</v>
      </c>
      <c r="E4" s="298"/>
      <c r="F4" s="298"/>
      <c r="G4" s="298"/>
      <c r="H4" s="298"/>
      <c r="I4" s="298"/>
      <c r="J4" s="299"/>
      <c r="K4" s="94">
        <f>G22</f>
        <v>32</v>
      </c>
    </row>
    <row r="5" spans="3:13" x14ac:dyDescent="0.25">
      <c r="D5" s="72" t="s">
        <v>74</v>
      </c>
      <c r="E5" s="72" t="s">
        <v>83</v>
      </c>
      <c r="F5" s="72" t="s">
        <v>84</v>
      </c>
    </row>
    <row r="6" spans="3:13" x14ac:dyDescent="0.25">
      <c r="D6" s="34" t="s">
        <v>80</v>
      </c>
      <c r="E6" s="67">
        <v>10</v>
      </c>
      <c r="F6" s="110">
        <f t="shared" ref="F6:F11" si="0">$K$4/E6</f>
        <v>3.2</v>
      </c>
    </row>
    <row r="7" spans="3:13" x14ac:dyDescent="0.25">
      <c r="D7" s="34" t="s">
        <v>81</v>
      </c>
      <c r="E7" s="67">
        <v>12</v>
      </c>
      <c r="F7" s="110">
        <f t="shared" si="0"/>
        <v>2.6666666666666665</v>
      </c>
    </row>
    <row r="8" spans="3:13" x14ac:dyDescent="0.25">
      <c r="D8" s="34" t="s">
        <v>85</v>
      </c>
      <c r="E8" s="67">
        <v>15</v>
      </c>
      <c r="F8" s="110">
        <f t="shared" si="0"/>
        <v>2.1333333333333333</v>
      </c>
    </row>
    <row r="9" spans="3:13" x14ac:dyDescent="0.25">
      <c r="D9" s="34" t="s">
        <v>86</v>
      </c>
      <c r="E9" s="67">
        <v>12</v>
      </c>
      <c r="F9" s="110">
        <f t="shared" si="0"/>
        <v>2.6666666666666665</v>
      </c>
    </row>
    <row r="10" spans="3:13" x14ac:dyDescent="0.25">
      <c r="D10" s="34" t="s">
        <v>87</v>
      </c>
      <c r="E10" s="67">
        <v>12</v>
      </c>
      <c r="F10" s="110">
        <f t="shared" si="0"/>
        <v>2.6666666666666665</v>
      </c>
    </row>
    <row r="11" spans="3:13" x14ac:dyDescent="0.25">
      <c r="D11" s="34" t="s">
        <v>88</v>
      </c>
      <c r="E11" s="67">
        <v>12</v>
      </c>
      <c r="F11" s="110">
        <f t="shared" si="0"/>
        <v>2.6666666666666665</v>
      </c>
    </row>
    <row r="12" spans="3:13" x14ac:dyDescent="0.25">
      <c r="D12" s="34" t="s">
        <v>89</v>
      </c>
      <c r="E12" s="67">
        <v>5</v>
      </c>
      <c r="F12" s="110">
        <f t="shared" ref="F12" si="1">$K$4/E12</f>
        <v>6.4</v>
      </c>
    </row>
    <row r="13" spans="3:13" x14ac:dyDescent="0.25">
      <c r="D13" s="34" t="s">
        <v>90</v>
      </c>
      <c r="E13" s="67">
        <v>10</v>
      </c>
      <c r="F13" s="110">
        <f>$K$4/E13</f>
        <v>3.2</v>
      </c>
    </row>
    <row r="14" spans="3:13" x14ac:dyDescent="0.25">
      <c r="D14" s="34" t="s">
        <v>92</v>
      </c>
      <c r="E14" s="67">
        <v>10</v>
      </c>
      <c r="F14" s="110">
        <f>$K$4/E14</f>
        <v>3.2</v>
      </c>
    </row>
    <row r="15" spans="3:13" x14ac:dyDescent="0.25">
      <c r="D15" s="34" t="s">
        <v>214</v>
      </c>
      <c r="E15" s="238">
        <v>30</v>
      </c>
      <c r="F15" s="110">
        <f>$K$4/E15</f>
        <v>1.0666666666666667</v>
      </c>
    </row>
    <row r="16" spans="3:13" x14ac:dyDescent="0.25">
      <c r="D16" s="34" t="s">
        <v>196</v>
      </c>
      <c r="E16" s="67">
        <v>2</v>
      </c>
      <c r="F16" s="110">
        <f>E16*K4</f>
        <v>64</v>
      </c>
    </row>
    <row r="18" spans="4:7" x14ac:dyDescent="0.25">
      <c r="D18" s="300" t="s">
        <v>123</v>
      </c>
      <c r="E18" s="300"/>
      <c r="F18" s="300"/>
      <c r="G18" s="300"/>
    </row>
    <row r="19" spans="4:7" x14ac:dyDescent="0.25">
      <c r="D19" s="294" t="s">
        <v>3</v>
      </c>
      <c r="E19" s="294"/>
      <c r="F19" s="294"/>
      <c r="G19" s="95">
        <v>20</v>
      </c>
    </row>
    <row r="20" spans="4:7" x14ac:dyDescent="0.25">
      <c r="D20" s="301" t="s">
        <v>124</v>
      </c>
      <c r="E20" s="302"/>
      <c r="F20" s="303"/>
      <c r="G20" s="95">
        <v>10</v>
      </c>
    </row>
    <row r="21" spans="4:7" x14ac:dyDescent="0.25">
      <c r="D21" s="294" t="s">
        <v>125</v>
      </c>
      <c r="E21" s="294"/>
      <c r="F21" s="294"/>
      <c r="G21" s="95">
        <v>2</v>
      </c>
    </row>
    <row r="22" spans="4:7" x14ac:dyDescent="0.25">
      <c r="D22" s="295" t="s">
        <v>2</v>
      </c>
      <c r="E22" s="295"/>
      <c r="F22" s="295"/>
      <c r="G22" s="98">
        <f>SUM(G19:G21)</f>
        <v>32</v>
      </c>
    </row>
  </sheetData>
  <mergeCells count="8">
    <mergeCell ref="D19:F19"/>
    <mergeCell ref="D21:F21"/>
    <mergeCell ref="D22:F22"/>
    <mergeCell ref="C2:M2"/>
    <mergeCell ref="E3:K3"/>
    <mergeCell ref="D4:J4"/>
    <mergeCell ref="D18:G18"/>
    <mergeCell ref="D20:F2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H79"/>
  <sheetViews>
    <sheetView showGridLines="0" topLeftCell="A58" zoomScale="110" zoomScaleNormal="110" workbookViewId="0">
      <selection activeCell="H70" sqref="H70"/>
    </sheetView>
  </sheetViews>
  <sheetFormatPr defaultRowHeight="15" x14ac:dyDescent="0.25"/>
  <cols>
    <col min="2" max="2" width="36.42578125" customWidth="1"/>
    <col min="3" max="3" width="13.140625" customWidth="1"/>
    <col min="4" max="4" width="18" customWidth="1"/>
    <col min="5" max="5" width="22.5703125" customWidth="1"/>
    <col min="6" max="6" width="22" bestFit="1" customWidth="1"/>
    <col min="7" max="8" width="15.140625" customWidth="1"/>
    <col min="9" max="9" width="34.140625" bestFit="1" customWidth="1"/>
    <col min="10" max="10" width="11.42578125" bestFit="1" customWidth="1"/>
    <col min="11" max="13" width="16.85546875" customWidth="1"/>
    <col min="14" max="14" width="10.7109375" bestFit="1" customWidth="1"/>
  </cols>
  <sheetData>
    <row r="3" spans="2:5" ht="18.75" x14ac:dyDescent="0.3">
      <c r="B3" s="312" t="s">
        <v>67</v>
      </c>
      <c r="C3" s="312"/>
      <c r="D3" s="312"/>
      <c r="E3" s="312"/>
    </row>
    <row r="5" spans="2:5" x14ac:dyDescent="0.25">
      <c r="B5" s="304" t="s">
        <v>35</v>
      </c>
      <c r="C5" s="304"/>
      <c r="D5" s="304"/>
      <c r="E5" s="304"/>
    </row>
    <row r="6" spans="2:5" s="48" customFormat="1" x14ac:dyDescent="0.25">
      <c r="B6" s="49" t="s">
        <v>29</v>
      </c>
      <c r="C6" s="47"/>
      <c r="D6" s="47"/>
      <c r="E6" s="47"/>
    </row>
    <row r="7" spans="2:5" x14ac:dyDescent="0.25">
      <c r="B7" s="36" t="s">
        <v>31</v>
      </c>
      <c r="C7" s="36" t="s">
        <v>32</v>
      </c>
      <c r="D7" s="36" t="s">
        <v>33</v>
      </c>
      <c r="E7" s="36" t="s">
        <v>34</v>
      </c>
    </row>
    <row r="8" spans="2:5" x14ac:dyDescent="0.25">
      <c r="B8" s="34" t="s">
        <v>38</v>
      </c>
      <c r="C8" s="38">
        <v>1</v>
      </c>
      <c r="D8" s="35">
        <v>0.1</v>
      </c>
      <c r="E8" s="37">
        <f>C8*D8*73</f>
        <v>7.3000000000000007</v>
      </c>
    </row>
    <row r="9" spans="2:5" x14ac:dyDescent="0.25">
      <c r="B9" s="34" t="s">
        <v>39</v>
      </c>
      <c r="C9" s="38">
        <v>1</v>
      </c>
      <c r="D9" s="35">
        <v>1.5</v>
      </c>
      <c r="E9" s="37">
        <f>C9*D9</f>
        <v>1.5</v>
      </c>
    </row>
    <row r="10" spans="2:5" x14ac:dyDescent="0.25">
      <c r="B10" s="34" t="s">
        <v>40</v>
      </c>
      <c r="C10" s="38">
        <v>1</v>
      </c>
      <c r="D10" s="35">
        <v>1.5</v>
      </c>
      <c r="E10" s="37">
        <f>D10*C10</f>
        <v>1.5</v>
      </c>
    </row>
    <row r="11" spans="2:5" x14ac:dyDescent="0.25">
      <c r="B11" s="305" t="s">
        <v>46</v>
      </c>
      <c r="C11" s="306"/>
      <c r="D11" s="307"/>
      <c r="E11" s="51">
        <f>SUM(E8:E10)</f>
        <v>10.3</v>
      </c>
    </row>
    <row r="12" spans="2:5" x14ac:dyDescent="0.25">
      <c r="B12" s="49" t="s">
        <v>48</v>
      </c>
      <c r="C12" s="47"/>
      <c r="D12" s="47"/>
      <c r="E12" s="47"/>
    </row>
    <row r="13" spans="2:5" s="48" customFormat="1" x14ac:dyDescent="0.25">
      <c r="B13" s="57" t="s">
        <v>51</v>
      </c>
      <c r="C13" s="58">
        <v>1</v>
      </c>
      <c r="D13" s="42">
        <v>0.1</v>
      </c>
      <c r="E13" s="59">
        <f>C13*D13*5</f>
        <v>0.5</v>
      </c>
    </row>
    <row r="14" spans="2:5" x14ac:dyDescent="0.25">
      <c r="B14" s="39" t="s">
        <v>47</v>
      </c>
      <c r="C14" s="38">
        <v>2</v>
      </c>
      <c r="D14" s="42">
        <v>0.1</v>
      </c>
      <c r="E14" s="41">
        <f>C14*D14*44</f>
        <v>8.8000000000000007</v>
      </c>
    </row>
    <row r="15" spans="2:5" x14ac:dyDescent="0.25">
      <c r="B15" s="39" t="s">
        <v>37</v>
      </c>
      <c r="C15" s="40">
        <v>2</v>
      </c>
      <c r="D15" s="43">
        <v>0.1</v>
      </c>
      <c r="E15" s="41">
        <f>C15*D15*30</f>
        <v>6</v>
      </c>
    </row>
    <row r="16" spans="2:5" x14ac:dyDescent="0.25">
      <c r="B16" s="34" t="s">
        <v>36</v>
      </c>
      <c r="C16" s="38">
        <v>1</v>
      </c>
      <c r="D16" s="35">
        <v>1.5</v>
      </c>
      <c r="E16" s="37">
        <v>1.5</v>
      </c>
    </row>
    <row r="17" spans="2:8" x14ac:dyDescent="0.25">
      <c r="B17" s="305" t="s">
        <v>49</v>
      </c>
      <c r="C17" s="306"/>
      <c r="D17" s="307"/>
      <c r="E17" s="51">
        <f>SUM(E13:E16)</f>
        <v>16.8</v>
      </c>
    </row>
    <row r="18" spans="2:8" ht="18.75" x14ac:dyDescent="0.4">
      <c r="B18" s="315" t="s">
        <v>50</v>
      </c>
      <c r="C18" s="315"/>
      <c r="D18" s="315"/>
      <c r="E18" s="53">
        <f>SUM(E11,E17)</f>
        <v>27.1</v>
      </c>
    </row>
    <row r="19" spans="2:8" s="48" customFormat="1" ht="9.75" customHeight="1" x14ac:dyDescent="0.4">
      <c r="B19" s="50"/>
      <c r="C19" s="52"/>
      <c r="D19" s="50"/>
      <c r="E19" s="54"/>
    </row>
    <row r="20" spans="2:8" x14ac:dyDescent="0.25">
      <c r="B20" s="304" t="s">
        <v>223</v>
      </c>
      <c r="C20" s="304"/>
      <c r="D20" s="304"/>
      <c r="E20" s="304"/>
    </row>
    <row r="21" spans="2:8" s="48" customFormat="1" x14ac:dyDescent="0.25">
      <c r="B21" s="36" t="s">
        <v>31</v>
      </c>
      <c r="C21" s="36" t="s">
        <v>32</v>
      </c>
      <c r="D21" s="36" t="s">
        <v>33</v>
      </c>
      <c r="E21" s="36" t="s">
        <v>34</v>
      </c>
    </row>
    <row r="22" spans="2:8" x14ac:dyDescent="0.25">
      <c r="B22" s="44" t="s">
        <v>41</v>
      </c>
      <c r="C22" s="40">
        <v>2</v>
      </c>
      <c r="D22" s="45">
        <v>16</v>
      </c>
      <c r="E22" s="37">
        <f>C22*D22</f>
        <v>32</v>
      </c>
    </row>
    <row r="23" spans="2:8" x14ac:dyDescent="0.25">
      <c r="B23" s="44" t="s">
        <v>42</v>
      </c>
      <c r="C23" s="40">
        <v>1</v>
      </c>
      <c r="D23" s="45">
        <v>15</v>
      </c>
      <c r="E23" s="37">
        <f>C23*D23</f>
        <v>15</v>
      </c>
    </row>
    <row r="24" spans="2:8" x14ac:dyDescent="0.25">
      <c r="B24" s="44" t="s">
        <v>45</v>
      </c>
      <c r="C24" s="40">
        <v>2</v>
      </c>
      <c r="D24" s="45">
        <v>9</v>
      </c>
      <c r="E24" s="37">
        <f>C24*D24</f>
        <v>18</v>
      </c>
    </row>
    <row r="25" spans="2:8" x14ac:dyDescent="0.25">
      <c r="B25" s="44" t="s">
        <v>43</v>
      </c>
      <c r="C25" s="40">
        <v>4</v>
      </c>
      <c r="D25" s="45">
        <v>3</v>
      </c>
      <c r="E25" s="37">
        <f>C25*D25</f>
        <v>12</v>
      </c>
    </row>
    <row r="26" spans="2:8" x14ac:dyDescent="0.25">
      <c r="B26" s="44" t="s">
        <v>44</v>
      </c>
      <c r="C26" s="40">
        <v>15</v>
      </c>
      <c r="D26" s="45">
        <v>0.7</v>
      </c>
      <c r="E26" s="46">
        <f>C26*D26</f>
        <v>10.5</v>
      </c>
    </row>
    <row r="27" spans="2:8" x14ac:dyDescent="0.25">
      <c r="B27" s="55" t="s">
        <v>97</v>
      </c>
      <c r="C27" s="313"/>
      <c r="D27" s="314"/>
      <c r="E27" s="56">
        <f>SUM(E22:E26)</f>
        <v>87.5</v>
      </c>
      <c r="G27" s="48"/>
      <c r="H27" s="48"/>
    </row>
    <row r="28" spans="2:8" x14ac:dyDescent="0.25">
      <c r="G28" s="48"/>
      <c r="H28" s="48"/>
    </row>
    <row r="29" spans="2:8" x14ac:dyDescent="0.25">
      <c r="B29" s="304" t="s">
        <v>54</v>
      </c>
      <c r="C29" s="304"/>
      <c r="D29" s="304"/>
      <c r="E29" s="304"/>
      <c r="F29" s="90"/>
      <c r="G29" s="91"/>
      <c r="H29" s="91"/>
    </row>
    <row r="30" spans="2:8" x14ac:dyDescent="0.25">
      <c r="B30" s="49" t="s">
        <v>55</v>
      </c>
      <c r="C30" s="47"/>
      <c r="D30" s="47"/>
      <c r="E30" s="47"/>
      <c r="F30" s="47"/>
      <c r="G30" s="47"/>
      <c r="H30" s="47"/>
    </row>
    <row r="31" spans="2:8" x14ac:dyDescent="0.25">
      <c r="B31" s="36" t="s">
        <v>104</v>
      </c>
      <c r="C31" s="36" t="s">
        <v>32</v>
      </c>
      <c r="D31" s="36" t="s">
        <v>224</v>
      </c>
      <c r="E31" s="36" t="s">
        <v>56</v>
      </c>
      <c r="F31" s="36" t="s">
        <v>34</v>
      </c>
      <c r="G31" s="107"/>
      <c r="H31" s="107"/>
    </row>
    <row r="32" spans="2:8" x14ac:dyDescent="0.25">
      <c r="B32" s="34" t="s">
        <v>225</v>
      </c>
      <c r="C32" s="38">
        <v>1</v>
      </c>
      <c r="D32" s="35">
        <v>4.4000000000000004</v>
      </c>
      <c r="E32" s="62">
        <v>40</v>
      </c>
      <c r="F32" s="37">
        <f>E32*D32</f>
        <v>176</v>
      </c>
      <c r="G32" s="108"/>
      <c r="H32" s="108"/>
    </row>
    <row r="33" spans="2:8" x14ac:dyDescent="0.25">
      <c r="B33" s="34"/>
      <c r="C33" s="38"/>
      <c r="D33" s="35"/>
      <c r="E33" s="35"/>
      <c r="F33" s="37"/>
      <c r="G33" s="108"/>
      <c r="H33" s="108"/>
    </row>
    <row r="34" spans="2:8" x14ac:dyDescent="0.25">
      <c r="B34" s="305" t="s">
        <v>57</v>
      </c>
      <c r="C34" s="306"/>
      <c r="D34" s="307"/>
      <c r="E34" s="61"/>
      <c r="F34" s="51">
        <f>SUM(F32:F33)</f>
        <v>176</v>
      </c>
      <c r="G34" s="54"/>
      <c r="H34" s="54"/>
    </row>
    <row r="35" spans="2:8" x14ac:dyDescent="0.25">
      <c r="B35" s="305" t="s">
        <v>100</v>
      </c>
      <c r="C35" s="306"/>
      <c r="D35" s="306"/>
      <c r="E35" s="307"/>
      <c r="F35" s="111">
        <f>F34*4</f>
        <v>704</v>
      </c>
      <c r="G35" s="270"/>
      <c r="H35" s="54"/>
    </row>
    <row r="36" spans="2:8" x14ac:dyDescent="0.25">
      <c r="G36" s="48"/>
      <c r="H36" s="48"/>
    </row>
    <row r="37" spans="2:8" x14ac:dyDescent="0.25">
      <c r="B37" s="304" t="s">
        <v>201</v>
      </c>
      <c r="C37" s="304"/>
      <c r="D37" s="304"/>
      <c r="E37" s="304"/>
      <c r="F37" s="90"/>
      <c r="G37" s="91"/>
      <c r="H37" s="91"/>
    </row>
    <row r="38" spans="2:8" x14ac:dyDescent="0.25">
      <c r="B38" s="36" t="s">
        <v>4</v>
      </c>
      <c r="C38" s="36" t="s">
        <v>32</v>
      </c>
      <c r="D38" s="36" t="s">
        <v>226</v>
      </c>
      <c r="E38" s="36" t="s">
        <v>227</v>
      </c>
      <c r="F38" s="36" t="s">
        <v>34</v>
      </c>
      <c r="G38" s="48"/>
      <c r="H38" s="48"/>
    </row>
    <row r="39" spans="2:8" x14ac:dyDescent="0.25">
      <c r="B39" s="36">
        <v>1</v>
      </c>
      <c r="C39" s="38">
        <v>3</v>
      </c>
      <c r="D39" s="63">
        <v>80</v>
      </c>
      <c r="E39" s="63">
        <v>120</v>
      </c>
      <c r="F39" s="37">
        <f>SUM(D39:E39)*C39</f>
        <v>600</v>
      </c>
      <c r="G39" s="48"/>
      <c r="H39" s="48"/>
    </row>
    <row r="40" spans="2:8" x14ac:dyDescent="0.25">
      <c r="B40" s="36">
        <v>2</v>
      </c>
      <c r="C40" s="38">
        <v>3</v>
      </c>
      <c r="D40" s="63">
        <v>80</v>
      </c>
      <c r="E40" s="63">
        <v>120</v>
      </c>
      <c r="F40" s="37">
        <f t="shared" ref="F40:F42" si="0">SUM(D40:E40)*C40</f>
        <v>600</v>
      </c>
      <c r="G40" s="48"/>
      <c r="H40" s="48"/>
    </row>
    <row r="41" spans="2:8" x14ac:dyDescent="0.25">
      <c r="B41" s="36">
        <v>3</v>
      </c>
      <c r="C41" s="38">
        <v>3</v>
      </c>
      <c r="D41" s="63">
        <v>80</v>
      </c>
      <c r="E41" s="63">
        <v>120</v>
      </c>
      <c r="F41" s="37">
        <f t="shared" si="0"/>
        <v>600</v>
      </c>
    </row>
    <row r="42" spans="2:8" x14ac:dyDescent="0.25">
      <c r="B42" s="36">
        <v>4</v>
      </c>
      <c r="C42" s="38">
        <v>3</v>
      </c>
      <c r="D42" s="63">
        <v>80</v>
      </c>
      <c r="E42" s="63">
        <v>120</v>
      </c>
      <c r="F42" s="37">
        <f t="shared" si="0"/>
        <v>600</v>
      </c>
      <c r="G42" s="54"/>
      <c r="H42" s="54"/>
    </row>
    <row r="43" spans="2:8" x14ac:dyDescent="0.25">
      <c r="B43" s="93" t="s">
        <v>2</v>
      </c>
      <c r="C43" s="96">
        <f>SUM(C39:C42)</f>
        <v>12</v>
      </c>
      <c r="D43" s="97"/>
      <c r="E43" s="97"/>
      <c r="F43" s="51">
        <f>SUM(F39:F42)</f>
        <v>2400</v>
      </c>
    </row>
    <row r="45" spans="2:8" ht="18.75" x14ac:dyDescent="0.3">
      <c r="B45" s="105" t="s">
        <v>73</v>
      </c>
      <c r="C45" s="105"/>
      <c r="D45" s="105"/>
      <c r="E45" s="105"/>
      <c r="F45" s="308" t="s">
        <v>82</v>
      </c>
      <c r="G45" s="308"/>
      <c r="H45" s="141">
        <f>ALIMENTAÇÃO!G22</f>
        <v>32</v>
      </c>
    </row>
    <row r="46" spans="2:8" x14ac:dyDescent="0.25">
      <c r="B46" s="92" t="s">
        <v>74</v>
      </c>
      <c r="C46" s="92" t="s">
        <v>75</v>
      </c>
      <c r="D46" s="92" t="s">
        <v>76</v>
      </c>
      <c r="E46" s="92" t="s">
        <v>77</v>
      </c>
      <c r="F46" s="125" t="s">
        <v>78</v>
      </c>
      <c r="G46" s="36" t="s">
        <v>93</v>
      </c>
      <c r="H46" s="36" t="s">
        <v>94</v>
      </c>
    </row>
    <row r="47" spans="2:8" x14ac:dyDescent="0.25">
      <c r="B47" s="36" t="s">
        <v>80</v>
      </c>
      <c r="C47" s="109">
        <f>ALIMENTAÇÃO!F6</f>
        <v>3.2</v>
      </c>
      <c r="D47" s="99">
        <f>C47*24</f>
        <v>76.800000000000011</v>
      </c>
      <c r="E47" s="100">
        <f>D47*4</f>
        <v>307.20000000000005</v>
      </c>
      <c r="F47" s="126">
        <v>2.5</v>
      </c>
      <c r="G47" s="101">
        <f>D47*F47</f>
        <v>192.00000000000003</v>
      </c>
      <c r="H47" s="101">
        <f>E47*F47</f>
        <v>768.00000000000011</v>
      </c>
    </row>
    <row r="48" spans="2:8" x14ac:dyDescent="0.25">
      <c r="B48" s="36" t="s">
        <v>81</v>
      </c>
      <c r="C48" s="109">
        <f>ALIMENTAÇÃO!F7</f>
        <v>2.6666666666666665</v>
      </c>
      <c r="D48" s="99">
        <f t="shared" ref="D48:D56" si="1">C48*24</f>
        <v>64</v>
      </c>
      <c r="E48" s="100">
        <f t="shared" ref="E48:E57" si="2">D48*4</f>
        <v>256</v>
      </c>
      <c r="F48" s="126">
        <v>4</v>
      </c>
      <c r="G48" s="101">
        <f t="shared" ref="G48:G58" si="3">D48*F48</f>
        <v>256</v>
      </c>
      <c r="H48" s="101">
        <f t="shared" ref="H48:H58" si="4">E48*F48</f>
        <v>1024</v>
      </c>
    </row>
    <row r="49" spans="2:8" x14ac:dyDescent="0.25">
      <c r="B49" s="36" t="s">
        <v>85</v>
      </c>
      <c r="C49" s="109">
        <f>ALIMENTAÇÃO!F8</f>
        <v>2.1333333333333333</v>
      </c>
      <c r="D49" s="99">
        <f>C49*12</f>
        <v>25.6</v>
      </c>
      <c r="E49" s="100">
        <f t="shared" si="2"/>
        <v>102.4</v>
      </c>
      <c r="F49" s="126">
        <v>1.4</v>
      </c>
      <c r="G49" s="101">
        <f t="shared" si="3"/>
        <v>35.839999999999996</v>
      </c>
      <c r="H49" s="101">
        <f t="shared" si="4"/>
        <v>143.35999999999999</v>
      </c>
    </row>
    <row r="50" spans="2:8" x14ac:dyDescent="0.25">
      <c r="B50" s="36" t="s">
        <v>86</v>
      </c>
      <c r="C50" s="109">
        <f>ALIMENTAÇÃO!F9</f>
        <v>2.6666666666666665</v>
      </c>
      <c r="D50" s="99">
        <f t="shared" si="1"/>
        <v>64</v>
      </c>
      <c r="E50" s="100">
        <f t="shared" si="2"/>
        <v>256</v>
      </c>
      <c r="F50" s="126">
        <v>1.8</v>
      </c>
      <c r="G50" s="101">
        <f t="shared" si="3"/>
        <v>115.2</v>
      </c>
      <c r="H50" s="101">
        <f t="shared" si="4"/>
        <v>460.8</v>
      </c>
    </row>
    <row r="51" spans="2:8" x14ac:dyDescent="0.25">
      <c r="B51" s="36" t="s">
        <v>87</v>
      </c>
      <c r="C51" s="109">
        <f>ALIMENTAÇÃO!F10</f>
        <v>2.6666666666666665</v>
      </c>
      <c r="D51" s="99">
        <f t="shared" si="1"/>
        <v>64</v>
      </c>
      <c r="E51" s="100">
        <f t="shared" si="2"/>
        <v>256</v>
      </c>
      <c r="F51" s="126">
        <v>2</v>
      </c>
      <c r="G51" s="101">
        <f t="shared" si="3"/>
        <v>128</v>
      </c>
      <c r="H51" s="101">
        <f t="shared" si="4"/>
        <v>512</v>
      </c>
    </row>
    <row r="52" spans="2:8" x14ac:dyDescent="0.25">
      <c r="B52" s="36" t="s">
        <v>88</v>
      </c>
      <c r="C52" s="109">
        <f>ALIMENTAÇÃO!F11</f>
        <v>2.6666666666666665</v>
      </c>
      <c r="D52" s="99">
        <f t="shared" si="1"/>
        <v>64</v>
      </c>
      <c r="E52" s="100">
        <f t="shared" si="2"/>
        <v>256</v>
      </c>
      <c r="F52" s="126">
        <v>1.5</v>
      </c>
      <c r="G52" s="101">
        <f t="shared" si="3"/>
        <v>96</v>
      </c>
      <c r="H52" s="101">
        <f t="shared" si="4"/>
        <v>384</v>
      </c>
    </row>
    <row r="53" spans="2:8" x14ac:dyDescent="0.25">
      <c r="B53" s="36" t="s">
        <v>98</v>
      </c>
      <c r="C53" s="109">
        <f>ALIMENTAÇÃO!F12</f>
        <v>6.4</v>
      </c>
      <c r="D53" s="99">
        <f>C53*12</f>
        <v>76.800000000000011</v>
      </c>
      <c r="E53" s="100">
        <f t="shared" si="2"/>
        <v>307.20000000000005</v>
      </c>
      <c r="F53" s="126">
        <v>8</v>
      </c>
      <c r="G53" s="101">
        <f t="shared" si="3"/>
        <v>614.40000000000009</v>
      </c>
      <c r="H53" s="101">
        <f t="shared" si="4"/>
        <v>2457.6000000000004</v>
      </c>
    </row>
    <row r="54" spans="2:8" x14ac:dyDescent="0.25">
      <c r="B54" s="36" t="s">
        <v>99</v>
      </c>
      <c r="C54" s="109">
        <f>ALIMENTAÇÃO!F12</f>
        <v>6.4</v>
      </c>
      <c r="D54" s="99">
        <f>C54*12</f>
        <v>76.800000000000011</v>
      </c>
      <c r="E54" s="100">
        <f t="shared" si="2"/>
        <v>307.20000000000005</v>
      </c>
      <c r="F54" s="126">
        <v>30</v>
      </c>
      <c r="G54" s="101">
        <f t="shared" ref="G54" si="5">D54*F54</f>
        <v>2304.0000000000005</v>
      </c>
      <c r="H54" s="101">
        <f t="shared" ref="H54" si="6">E54*F54</f>
        <v>9216.0000000000018</v>
      </c>
    </row>
    <row r="55" spans="2:8" x14ac:dyDescent="0.25">
      <c r="B55" s="36" t="s">
        <v>90</v>
      </c>
      <c r="C55" s="109">
        <f>ALIMENTAÇÃO!F13</f>
        <v>3.2</v>
      </c>
      <c r="D55" s="99">
        <f t="shared" si="1"/>
        <v>76.800000000000011</v>
      </c>
      <c r="E55" s="100">
        <f t="shared" si="2"/>
        <v>307.20000000000005</v>
      </c>
      <c r="F55" s="126">
        <v>2</v>
      </c>
      <c r="G55" s="101">
        <f t="shared" si="3"/>
        <v>153.60000000000002</v>
      </c>
      <c r="H55" s="101">
        <f t="shared" si="4"/>
        <v>614.40000000000009</v>
      </c>
    </row>
    <row r="56" spans="2:8" x14ac:dyDescent="0.25">
      <c r="B56" s="36" t="s">
        <v>92</v>
      </c>
      <c r="C56" s="109">
        <f>ALIMENTAÇÃO!F14</f>
        <v>3.2</v>
      </c>
      <c r="D56" s="99">
        <f t="shared" si="1"/>
        <v>76.800000000000011</v>
      </c>
      <c r="E56" s="100">
        <f t="shared" si="2"/>
        <v>307.20000000000005</v>
      </c>
      <c r="F56" s="126">
        <v>1.8</v>
      </c>
      <c r="G56" s="101">
        <f t="shared" si="3"/>
        <v>138.24000000000004</v>
      </c>
      <c r="H56" s="101">
        <f t="shared" si="4"/>
        <v>552.96000000000015</v>
      </c>
    </row>
    <row r="57" spans="2:8" x14ac:dyDescent="0.25">
      <c r="B57" s="36" t="s">
        <v>196</v>
      </c>
      <c r="C57" s="109">
        <f>ALIMENTAÇÃO!F16</f>
        <v>64</v>
      </c>
      <c r="D57" s="99">
        <f>C57*15</f>
        <v>960</v>
      </c>
      <c r="E57" s="100">
        <f t="shared" si="2"/>
        <v>3840</v>
      </c>
      <c r="F57" s="126">
        <v>0.1</v>
      </c>
      <c r="G57" s="101">
        <f t="shared" si="3"/>
        <v>96</v>
      </c>
      <c r="H57" s="101">
        <f t="shared" si="4"/>
        <v>384</v>
      </c>
    </row>
    <row r="58" spans="2:8" x14ac:dyDescent="0.25">
      <c r="B58" s="36" t="s">
        <v>214</v>
      </c>
      <c r="C58" s="257">
        <f>ALIMENTAÇÃO!F15</f>
        <v>1.0666666666666667</v>
      </c>
      <c r="D58" s="99">
        <f>C58*15</f>
        <v>16</v>
      </c>
      <c r="E58" s="100">
        <f t="shared" ref="E58" si="7">D58*4</f>
        <v>64</v>
      </c>
      <c r="F58" s="126">
        <v>0.35</v>
      </c>
      <c r="G58" s="101">
        <f t="shared" si="3"/>
        <v>5.6</v>
      </c>
      <c r="H58" s="101">
        <f t="shared" si="4"/>
        <v>22.4</v>
      </c>
    </row>
    <row r="59" spans="2:8" x14ac:dyDescent="0.25">
      <c r="B59" s="239" t="s">
        <v>209</v>
      </c>
      <c r="C59" s="240"/>
      <c r="D59" s="241">
        <v>2</v>
      </c>
      <c r="E59" s="242">
        <f>D59*4</f>
        <v>8</v>
      </c>
      <c r="F59" s="243">
        <v>80</v>
      </c>
      <c r="G59" s="71">
        <f>F59*D59</f>
        <v>160</v>
      </c>
      <c r="H59" s="71">
        <f>E59*F59</f>
        <v>640</v>
      </c>
    </row>
    <row r="60" spans="2:8" x14ac:dyDescent="0.25">
      <c r="B60" s="103" t="s">
        <v>2</v>
      </c>
      <c r="C60" s="301"/>
      <c r="D60" s="302"/>
      <c r="E60" s="302"/>
      <c r="F60" s="303"/>
      <c r="G60" s="102">
        <f>SUM(G47:G59)</f>
        <v>4294.880000000001</v>
      </c>
      <c r="H60" s="104">
        <f>SUM(H47:H59)</f>
        <v>17179.520000000004</v>
      </c>
    </row>
    <row r="61" spans="2:8" x14ac:dyDescent="0.25">
      <c r="B61" s="106" t="s">
        <v>95</v>
      </c>
      <c r="G61" s="76">
        <f>G60/H45</f>
        <v>134.21500000000003</v>
      </c>
      <c r="H61" s="76">
        <f>H60/H45</f>
        <v>536.86000000000013</v>
      </c>
    </row>
    <row r="64" spans="2:8" ht="18.75" x14ac:dyDescent="0.3">
      <c r="B64" s="312" t="s">
        <v>136</v>
      </c>
      <c r="C64" s="312"/>
      <c r="D64" s="312"/>
      <c r="E64" s="312"/>
      <c r="F64" s="312"/>
      <c r="G64" s="312"/>
    </row>
    <row r="65" spans="2:7" x14ac:dyDescent="0.25">
      <c r="B65" s="316"/>
      <c r="C65" s="316"/>
      <c r="D65" s="316"/>
      <c r="E65" s="316"/>
      <c r="F65" s="316"/>
      <c r="G65" s="316"/>
    </row>
    <row r="66" spans="2:7" x14ac:dyDescent="0.25">
      <c r="B66" s="304" t="s">
        <v>54</v>
      </c>
      <c r="C66" s="304"/>
      <c r="D66" s="304"/>
      <c r="E66" s="304"/>
      <c r="F66" s="304"/>
      <c r="G66" s="304"/>
    </row>
    <row r="67" spans="2:7" x14ac:dyDescent="0.25">
      <c r="B67" s="36" t="s">
        <v>103</v>
      </c>
      <c r="C67" s="36" t="s">
        <v>32</v>
      </c>
      <c r="D67" s="36" t="s">
        <v>71</v>
      </c>
      <c r="E67" s="36" t="s">
        <v>72</v>
      </c>
      <c r="F67" s="36" t="s">
        <v>69</v>
      </c>
      <c r="G67" s="36" t="s">
        <v>34</v>
      </c>
    </row>
    <row r="68" spans="2:7" x14ac:dyDescent="0.25">
      <c r="B68" s="34" t="s">
        <v>215</v>
      </c>
      <c r="C68" s="38">
        <v>6</v>
      </c>
      <c r="D68" s="35">
        <v>100</v>
      </c>
      <c r="E68" s="89">
        <f>C68*D68</f>
        <v>600</v>
      </c>
      <c r="F68" s="276">
        <v>50</v>
      </c>
      <c r="G68" s="88">
        <f>E68/100*F68</f>
        <v>300</v>
      </c>
    </row>
    <row r="69" spans="2:7" x14ac:dyDescent="0.25">
      <c r="B69" s="305" t="s">
        <v>70</v>
      </c>
      <c r="C69" s="306"/>
      <c r="D69" s="307"/>
      <c r="E69" s="61"/>
      <c r="F69" s="61"/>
      <c r="G69" s="51">
        <f>SUM(G68:G68)</f>
        <v>300</v>
      </c>
    </row>
    <row r="72" spans="2:7" ht="18.75" x14ac:dyDescent="0.3">
      <c r="B72" s="310" t="s">
        <v>142</v>
      </c>
      <c r="C72" s="310"/>
      <c r="D72" s="311"/>
      <c r="E72" s="309" t="s">
        <v>147</v>
      </c>
      <c r="F72" s="309"/>
      <c r="G72" s="163">
        <v>4</v>
      </c>
    </row>
    <row r="73" spans="2:7" s="48" customFormat="1" ht="18.75" x14ac:dyDescent="0.3">
      <c r="B73" s="162" t="s">
        <v>144</v>
      </c>
      <c r="C73" s="162" t="s">
        <v>145</v>
      </c>
      <c r="D73" s="162" t="s">
        <v>228</v>
      </c>
      <c r="E73" s="162" t="s">
        <v>146</v>
      </c>
      <c r="F73" s="162" t="s">
        <v>150</v>
      </c>
      <c r="G73" s="162" t="s">
        <v>151</v>
      </c>
    </row>
    <row r="74" spans="2:7" x14ac:dyDescent="0.25">
      <c r="B74" s="34" t="s">
        <v>139</v>
      </c>
      <c r="C74" s="63">
        <v>200</v>
      </c>
      <c r="D74" s="34"/>
      <c r="E74" s="273">
        <f t="shared" ref="E74:E79" si="8">C74/100*$G$72+C74</f>
        <v>208</v>
      </c>
      <c r="F74" s="274">
        <v>4</v>
      </c>
      <c r="G74" s="275">
        <f>E74*F74</f>
        <v>832</v>
      </c>
    </row>
    <row r="75" spans="2:7" x14ac:dyDescent="0.25">
      <c r="B75" s="34" t="s">
        <v>140</v>
      </c>
      <c r="C75" s="63">
        <v>300</v>
      </c>
      <c r="D75" s="34"/>
      <c r="E75" s="273">
        <f t="shared" si="8"/>
        <v>312</v>
      </c>
      <c r="F75" s="274">
        <v>4</v>
      </c>
      <c r="G75" s="275">
        <f t="shared" ref="G75:G79" si="9">E75*F75</f>
        <v>1248</v>
      </c>
    </row>
    <row r="76" spans="2:7" x14ac:dyDescent="0.25">
      <c r="B76" s="34" t="s">
        <v>141</v>
      </c>
      <c r="C76" s="63">
        <v>70</v>
      </c>
      <c r="D76" s="34"/>
      <c r="E76" s="273">
        <f t="shared" si="8"/>
        <v>72.8</v>
      </c>
      <c r="F76" s="274">
        <v>4</v>
      </c>
      <c r="G76" s="275">
        <f t="shared" si="9"/>
        <v>291.2</v>
      </c>
    </row>
    <row r="77" spans="2:7" x14ac:dyDescent="0.25">
      <c r="B77" s="34" t="s">
        <v>210</v>
      </c>
      <c r="C77" s="63">
        <v>60</v>
      </c>
      <c r="D77" s="34"/>
      <c r="E77" s="273">
        <f t="shared" si="8"/>
        <v>62.4</v>
      </c>
      <c r="F77" s="274">
        <v>4</v>
      </c>
      <c r="G77" s="275">
        <f t="shared" si="9"/>
        <v>249.6</v>
      </c>
    </row>
    <row r="78" spans="2:7" x14ac:dyDescent="0.25">
      <c r="B78" s="34" t="s">
        <v>148</v>
      </c>
      <c r="C78" s="63">
        <v>200</v>
      </c>
      <c r="D78" s="34"/>
      <c r="E78" s="273">
        <f t="shared" si="8"/>
        <v>208</v>
      </c>
      <c r="F78" s="274">
        <v>4</v>
      </c>
      <c r="G78" s="275">
        <f t="shared" si="9"/>
        <v>832</v>
      </c>
    </row>
    <row r="79" spans="2:7" x14ac:dyDescent="0.25">
      <c r="B79" s="34" t="s">
        <v>149</v>
      </c>
      <c r="C79" s="63">
        <v>150</v>
      </c>
      <c r="D79" s="34"/>
      <c r="E79" s="273">
        <f t="shared" si="8"/>
        <v>156</v>
      </c>
      <c r="F79" s="274">
        <v>4</v>
      </c>
      <c r="G79" s="275">
        <f t="shared" si="9"/>
        <v>624</v>
      </c>
    </row>
  </sheetData>
  <mergeCells count="21">
    <mergeCell ref="E72:F72"/>
    <mergeCell ref="B72:D72"/>
    <mergeCell ref="B3:E3"/>
    <mergeCell ref="B37:E37"/>
    <mergeCell ref="B5:E5"/>
    <mergeCell ref="C27:D27"/>
    <mergeCell ref="B11:D11"/>
    <mergeCell ref="B17:D17"/>
    <mergeCell ref="B20:E20"/>
    <mergeCell ref="B18:D18"/>
    <mergeCell ref="B69:D69"/>
    <mergeCell ref="B64:G64"/>
    <mergeCell ref="B29:E29"/>
    <mergeCell ref="B65:E65"/>
    <mergeCell ref="F65:G65"/>
    <mergeCell ref="B66:E66"/>
    <mergeCell ref="F66:G66"/>
    <mergeCell ref="B34:D34"/>
    <mergeCell ref="B35:E35"/>
    <mergeCell ref="C60:F60"/>
    <mergeCell ref="F45:G45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D49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2"/>
  <sheetViews>
    <sheetView showGridLines="0" topLeftCell="A23" zoomScaleNormal="100" workbookViewId="0">
      <selection activeCell="C31" sqref="C31"/>
    </sheetView>
  </sheetViews>
  <sheetFormatPr defaultRowHeight="15" x14ac:dyDescent="0.25"/>
  <cols>
    <col min="1" max="1" width="39.42578125" customWidth="1"/>
    <col min="2" max="2" width="20.5703125" customWidth="1"/>
    <col min="3" max="3" width="20.7109375" customWidth="1"/>
    <col min="4" max="4" width="16.28515625" customWidth="1"/>
    <col min="5" max="5" width="11.7109375" customWidth="1"/>
    <col min="6" max="6" width="16.140625" customWidth="1"/>
    <col min="7" max="7" width="10.5703125" bestFit="1" customWidth="1"/>
    <col min="8" max="8" width="12.140625" bestFit="1" customWidth="1"/>
  </cols>
  <sheetData>
    <row r="1" spans="1:15" ht="26.25" x14ac:dyDescent="0.4">
      <c r="A1" s="327" t="s">
        <v>105</v>
      </c>
      <c r="B1" s="327"/>
      <c r="C1" s="327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</row>
    <row r="2" spans="1:15" ht="20.25" customHeight="1" x14ac:dyDescent="0.35">
      <c r="A2" s="328" t="s">
        <v>106</v>
      </c>
      <c r="B2" s="328"/>
      <c r="C2" s="328"/>
      <c r="D2" s="114"/>
      <c r="E2" s="114"/>
      <c r="F2" s="114"/>
      <c r="G2" s="114"/>
      <c r="H2" s="114"/>
      <c r="I2" s="114"/>
      <c r="J2" s="2"/>
      <c r="K2" s="2"/>
      <c r="L2" s="2"/>
      <c r="M2" s="2"/>
    </row>
    <row r="3" spans="1:15" ht="20.25" customHeight="1" x14ac:dyDescent="0.35">
      <c r="A3" s="329" t="s">
        <v>61</v>
      </c>
      <c r="B3" s="329"/>
      <c r="C3" s="329"/>
      <c r="D3" s="124"/>
      <c r="E3" s="3"/>
      <c r="F3" s="3"/>
      <c r="G3" s="3"/>
      <c r="H3" s="3"/>
      <c r="I3" s="3"/>
      <c r="J3" s="2"/>
      <c r="K3" s="2"/>
      <c r="L3" s="2"/>
      <c r="M3" s="2"/>
    </row>
    <row r="4" spans="1:15" s="48" customFormat="1" ht="20.25" customHeight="1" x14ac:dyDescent="0.3">
      <c r="A4" s="321" t="s">
        <v>229</v>
      </c>
      <c r="B4" s="322"/>
      <c r="C4" s="115"/>
      <c r="D4" s="115"/>
      <c r="E4" s="116"/>
      <c r="F4" s="116"/>
      <c r="G4" s="116"/>
      <c r="H4" s="116"/>
      <c r="I4" s="116"/>
      <c r="J4" s="117"/>
      <c r="K4" s="117"/>
      <c r="L4" s="117"/>
      <c r="M4" s="117"/>
    </row>
    <row r="5" spans="1:15" s="48" customFormat="1" ht="20.25" customHeight="1" x14ac:dyDescent="0.3">
      <c r="A5" s="145" t="s">
        <v>129</v>
      </c>
      <c r="B5" s="272">
        <f>ALIMENTAÇÃO!G19</f>
        <v>20</v>
      </c>
      <c r="C5" s="115"/>
      <c r="D5" s="115"/>
      <c r="E5" s="116"/>
      <c r="F5" s="116"/>
      <c r="G5" s="116"/>
      <c r="H5" s="116"/>
      <c r="I5" s="116"/>
      <c r="J5" s="117"/>
      <c r="K5" s="117"/>
      <c r="L5" s="117"/>
      <c r="M5" s="117"/>
    </row>
    <row r="6" spans="1:15" s="48" customFormat="1" ht="20.25" customHeight="1" x14ac:dyDescent="0.3">
      <c r="A6" s="4" t="s">
        <v>28</v>
      </c>
      <c r="B6" s="64">
        <f>'FORMAÇÃO DOS VALORES'!F43</f>
        <v>2400</v>
      </c>
      <c r="C6" s="115"/>
      <c r="D6" s="115"/>
      <c r="E6" s="116"/>
      <c r="F6" s="116"/>
      <c r="G6" s="116"/>
      <c r="H6" s="116"/>
      <c r="I6" s="116"/>
      <c r="J6" s="117"/>
      <c r="K6" s="117"/>
      <c r="L6" s="117"/>
      <c r="M6" s="117"/>
    </row>
    <row r="7" spans="1:15" s="48" customFormat="1" ht="20.25" customHeight="1" x14ac:dyDescent="0.3">
      <c r="A7" s="143" t="s">
        <v>30</v>
      </c>
      <c r="B7" s="260">
        <f>'FORMAÇÃO DOS VALORES'!E18</f>
        <v>27.1</v>
      </c>
      <c r="C7" s="115"/>
      <c r="D7" s="115"/>
      <c r="E7" s="116"/>
      <c r="F7" s="116"/>
      <c r="G7" s="116"/>
      <c r="H7" s="116"/>
      <c r="I7" s="116"/>
      <c r="J7" s="117"/>
      <c r="K7" s="117"/>
      <c r="L7" s="117"/>
      <c r="M7" s="117"/>
    </row>
    <row r="8" spans="1:15" s="48" customFormat="1" ht="20.25" customHeight="1" x14ac:dyDescent="0.3">
      <c r="A8" s="60" t="s">
        <v>102</v>
      </c>
      <c r="B8" s="64">
        <f>'FORMAÇÃO DOS VALORES'!E27</f>
        <v>87.5</v>
      </c>
      <c r="C8" s="115"/>
      <c r="D8" s="115"/>
      <c r="E8" s="116"/>
      <c r="F8" s="116"/>
      <c r="G8" s="116"/>
      <c r="H8" s="116"/>
      <c r="I8" s="116"/>
      <c r="J8" s="117"/>
      <c r="K8" s="117"/>
      <c r="L8" s="117"/>
      <c r="M8" s="117"/>
    </row>
    <row r="9" spans="1:15" s="48" customFormat="1" ht="20.25" customHeight="1" x14ac:dyDescent="0.3">
      <c r="A9" s="57" t="s">
        <v>101</v>
      </c>
      <c r="B9" s="64">
        <f>'FORMAÇÃO DOS VALORES'!F35</f>
        <v>704</v>
      </c>
      <c r="C9" s="269"/>
      <c r="D9" s="115"/>
      <c r="E9" s="116"/>
      <c r="F9" s="116"/>
      <c r="G9" s="116"/>
      <c r="H9" s="116"/>
      <c r="I9" s="116"/>
      <c r="J9" s="117"/>
      <c r="K9" s="117"/>
      <c r="L9" s="117"/>
      <c r="M9" s="117"/>
    </row>
    <row r="10" spans="1:15" s="48" customFormat="1" ht="20.25" customHeight="1" x14ac:dyDescent="0.3">
      <c r="A10" s="87" t="s">
        <v>68</v>
      </c>
      <c r="B10" s="64">
        <f>'FORMAÇÃO DOS VALORES'!G69</f>
        <v>300</v>
      </c>
      <c r="C10" s="115"/>
      <c r="D10" s="115"/>
      <c r="E10" s="116"/>
      <c r="F10" s="116"/>
      <c r="G10" s="116"/>
      <c r="H10" s="116"/>
      <c r="I10" s="116"/>
      <c r="J10" s="117"/>
      <c r="K10" s="117"/>
      <c r="L10" s="117"/>
      <c r="M10" s="117"/>
    </row>
    <row r="11" spans="1:15" s="48" customFormat="1" ht="20.25" customHeight="1" x14ac:dyDescent="0.3">
      <c r="A11" s="143" t="s">
        <v>107</v>
      </c>
      <c r="B11" s="261">
        <f>'FORMAÇÃO DOS VALORES'!H61</f>
        <v>536.86000000000013</v>
      </c>
      <c r="C11" s="115"/>
      <c r="D11" s="115"/>
      <c r="E11" s="116"/>
      <c r="F11" s="116"/>
      <c r="G11" s="116"/>
      <c r="H11" s="116"/>
      <c r="I11" s="116"/>
      <c r="J11" s="117"/>
      <c r="K11" s="117"/>
      <c r="L11" s="117"/>
      <c r="M11" s="117"/>
    </row>
    <row r="12" spans="1:15" s="48" customFormat="1" ht="30.75" customHeight="1" x14ac:dyDescent="0.3">
      <c r="A12" s="258" t="s">
        <v>126</v>
      </c>
      <c r="B12" s="259">
        <f>SUM(B7,B11)</f>
        <v>563.96000000000015</v>
      </c>
      <c r="C12" s="115"/>
      <c r="D12" s="115"/>
      <c r="E12" s="116"/>
      <c r="F12" s="116"/>
      <c r="G12" s="116"/>
      <c r="H12" s="116"/>
      <c r="I12" s="116"/>
      <c r="J12" s="117"/>
      <c r="K12" s="117"/>
      <c r="L12" s="117"/>
      <c r="M12" s="117"/>
    </row>
    <row r="13" spans="1:15" s="48" customFormat="1" ht="20.25" customHeight="1" x14ac:dyDescent="0.3">
      <c r="A13" s="142" t="s">
        <v>127</v>
      </c>
      <c r="B13" s="37">
        <f>SUM(B6,B8,B9,B10)/B5</f>
        <v>174.57499999999999</v>
      </c>
      <c r="C13" s="115"/>
      <c r="D13" s="115"/>
      <c r="E13" s="116"/>
      <c r="F13" s="116"/>
      <c r="G13" s="116"/>
      <c r="H13" s="116"/>
      <c r="I13" s="116"/>
      <c r="J13" s="117"/>
      <c r="K13" s="117"/>
      <c r="L13" s="117"/>
      <c r="M13" s="117"/>
    </row>
    <row r="14" spans="1:15" s="48" customFormat="1" ht="20.25" customHeight="1" x14ac:dyDescent="0.3">
      <c r="A14" s="166" t="s">
        <v>137</v>
      </c>
      <c r="B14" s="167">
        <f>SUM(B12:B13)</f>
        <v>738.53500000000008</v>
      </c>
      <c r="C14" s="115"/>
      <c r="D14" s="115"/>
      <c r="E14" s="116"/>
      <c r="F14" s="116"/>
      <c r="G14" s="116"/>
      <c r="H14" s="116"/>
      <c r="I14" s="116"/>
      <c r="J14" s="117"/>
      <c r="K14" s="117"/>
      <c r="L14" s="117"/>
      <c r="M14" s="117"/>
    </row>
    <row r="15" spans="1:15" s="48" customFormat="1" ht="20.25" customHeight="1" x14ac:dyDescent="0.3">
      <c r="A15" s="160"/>
      <c r="B15" s="161"/>
      <c r="C15" s="115"/>
      <c r="D15" s="115"/>
      <c r="E15" s="116"/>
      <c r="F15" s="116"/>
      <c r="G15" s="116"/>
      <c r="H15" s="116"/>
      <c r="I15" s="116"/>
      <c r="J15" s="117"/>
      <c r="K15" s="117"/>
      <c r="L15" s="117"/>
      <c r="M15" s="117"/>
    </row>
    <row r="16" spans="1:15" s="48" customFormat="1" ht="20.25" customHeight="1" x14ac:dyDescent="0.3">
      <c r="A16" s="319" t="s">
        <v>138</v>
      </c>
      <c r="B16" s="320"/>
      <c r="C16" s="115"/>
      <c r="D16" s="115"/>
      <c r="E16" s="116"/>
      <c r="F16" s="116"/>
      <c r="G16" s="116"/>
      <c r="H16" s="116"/>
      <c r="I16" s="116"/>
      <c r="J16" s="117"/>
      <c r="K16" s="117"/>
      <c r="L16" s="117"/>
      <c r="M16" s="117"/>
    </row>
    <row r="18" spans="1:13" s="48" customFormat="1" ht="20.25" customHeight="1" x14ac:dyDescent="0.3">
      <c r="A18" s="34" t="s">
        <v>139</v>
      </c>
      <c r="B18" s="165">
        <f>'FORMAÇÃO DOS VALORES'!G74</f>
        <v>832</v>
      </c>
      <c r="C18" s="115"/>
      <c r="D18" s="115"/>
      <c r="E18" s="116"/>
      <c r="F18" s="116"/>
      <c r="G18" s="116"/>
      <c r="H18" s="116"/>
      <c r="I18" s="116"/>
      <c r="J18" s="117"/>
      <c r="K18" s="117"/>
      <c r="L18" s="117"/>
      <c r="M18" s="117"/>
    </row>
    <row r="19" spans="1:13" s="48" customFormat="1" ht="20.25" customHeight="1" x14ac:dyDescent="0.3">
      <c r="A19" s="34" t="s">
        <v>140</v>
      </c>
      <c r="B19" s="165">
        <f>'FORMAÇÃO DOS VALORES'!G75</f>
        <v>1248</v>
      </c>
      <c r="C19" s="115"/>
      <c r="D19" s="115"/>
      <c r="E19" s="116"/>
      <c r="F19" s="116"/>
      <c r="G19" s="116"/>
      <c r="H19" s="116"/>
      <c r="I19" s="116"/>
      <c r="J19" s="117"/>
      <c r="K19" s="117"/>
      <c r="L19" s="117"/>
      <c r="M19" s="117"/>
    </row>
    <row r="20" spans="1:13" s="48" customFormat="1" ht="20.25" customHeight="1" x14ac:dyDescent="0.3">
      <c r="A20" s="34" t="s">
        <v>141</v>
      </c>
      <c r="B20" s="165">
        <f>'FORMAÇÃO DOS VALORES'!G76</f>
        <v>291.2</v>
      </c>
      <c r="C20" s="115"/>
      <c r="D20" s="115"/>
      <c r="E20" s="116"/>
      <c r="F20" s="116"/>
      <c r="G20" s="116"/>
      <c r="H20" s="116"/>
      <c r="I20" s="116"/>
      <c r="J20" s="117"/>
      <c r="K20" s="117"/>
      <c r="L20" s="117"/>
      <c r="M20" s="117"/>
    </row>
    <row r="21" spans="1:13" s="48" customFormat="1" ht="20.25" customHeight="1" x14ac:dyDescent="0.3">
      <c r="A21" s="34" t="s">
        <v>143</v>
      </c>
      <c r="B21" s="165">
        <f>'FORMAÇÃO DOS VALORES'!G77</f>
        <v>249.6</v>
      </c>
      <c r="C21" s="115"/>
      <c r="D21" s="115"/>
      <c r="E21" s="116"/>
      <c r="F21" s="116"/>
      <c r="G21" s="116"/>
      <c r="H21" s="116"/>
      <c r="I21" s="116"/>
      <c r="J21" s="117"/>
      <c r="K21" s="117"/>
      <c r="L21" s="117"/>
      <c r="M21" s="117"/>
    </row>
    <row r="22" spans="1:13" s="48" customFormat="1" ht="20.25" customHeight="1" x14ac:dyDescent="0.3">
      <c r="A22" s="34" t="s">
        <v>148</v>
      </c>
      <c r="B22" s="165">
        <f>'FORMAÇÃO DOS VALORES'!G78</f>
        <v>832</v>
      </c>
      <c r="C22" s="115"/>
      <c r="D22" s="115"/>
      <c r="E22" s="116"/>
      <c r="F22" s="116"/>
      <c r="G22" s="116"/>
      <c r="H22" s="116"/>
      <c r="I22" s="116"/>
      <c r="J22" s="117"/>
      <c r="K22" s="117"/>
      <c r="L22" s="117"/>
      <c r="M22" s="117"/>
    </row>
    <row r="23" spans="1:13" s="48" customFormat="1" ht="20.25" customHeight="1" x14ac:dyDescent="0.3">
      <c r="A23" s="34" t="s">
        <v>149</v>
      </c>
      <c r="B23" s="165">
        <f>'FORMAÇÃO DOS VALORES'!G79</f>
        <v>624</v>
      </c>
      <c r="C23" s="115"/>
      <c r="D23" s="115"/>
      <c r="E23" s="116"/>
      <c r="F23" s="116"/>
      <c r="G23" s="116"/>
      <c r="H23" s="116"/>
      <c r="I23" s="116"/>
      <c r="J23" s="117"/>
      <c r="K23" s="117"/>
      <c r="L23" s="117"/>
      <c r="M23" s="117"/>
    </row>
    <row r="24" spans="1:13" s="48" customFormat="1" ht="20.25" customHeight="1" x14ac:dyDescent="0.3">
      <c r="A24" s="168" t="s">
        <v>174</v>
      </c>
      <c r="B24" s="169">
        <f>SUM(B18:B23)/B5</f>
        <v>203.83999999999997</v>
      </c>
      <c r="C24" s="115"/>
      <c r="D24" s="115"/>
      <c r="E24" s="116"/>
      <c r="F24" s="116"/>
      <c r="G24" s="116"/>
      <c r="H24" s="116"/>
      <c r="I24" s="116"/>
      <c r="J24" s="117"/>
      <c r="K24" s="117"/>
      <c r="L24" s="117"/>
      <c r="M24" s="117"/>
    </row>
    <row r="25" spans="1:13" s="48" customFormat="1" ht="20.25" customHeight="1" x14ac:dyDescent="0.3">
      <c r="A25" s="170"/>
      <c r="B25" s="171"/>
      <c r="C25" s="115"/>
      <c r="D25" s="115"/>
      <c r="E25" s="116"/>
      <c r="F25" s="116"/>
      <c r="G25" s="116"/>
      <c r="H25" s="116"/>
      <c r="I25" s="116"/>
      <c r="J25" s="117"/>
      <c r="K25" s="117"/>
      <c r="L25" s="117"/>
      <c r="M25" s="117"/>
    </row>
    <row r="26" spans="1:13" s="48" customFormat="1" ht="20.25" customHeight="1" x14ac:dyDescent="0.3">
      <c r="A26" s="283" t="s">
        <v>152</v>
      </c>
      <c r="B26" s="284">
        <f>SUM(B14,B24)</f>
        <v>942.375</v>
      </c>
      <c r="C26" s="115"/>
      <c r="D26" s="115"/>
      <c r="E26" s="116"/>
      <c r="F26" s="116"/>
      <c r="G26" s="116"/>
      <c r="H26" s="116"/>
      <c r="I26" s="116"/>
      <c r="J26" s="117"/>
      <c r="K26" s="117"/>
      <c r="L26" s="117"/>
      <c r="M26" s="117"/>
    </row>
    <row r="27" spans="1:13" s="48" customFormat="1" ht="20.25" customHeight="1" x14ac:dyDescent="0.3">
      <c r="A27" s="280" t="s">
        <v>230</v>
      </c>
      <c r="B27" s="281" t="s">
        <v>63</v>
      </c>
      <c r="C27" s="115"/>
      <c r="D27" s="115"/>
      <c r="E27" s="116"/>
      <c r="F27" s="116"/>
      <c r="G27" s="116"/>
      <c r="H27" s="116"/>
      <c r="I27" s="116"/>
      <c r="J27" s="117"/>
      <c r="K27" s="117"/>
      <c r="L27" s="117"/>
      <c r="M27" s="117"/>
    </row>
    <row r="28" spans="1:13" s="48" customFormat="1" ht="20.25" customHeight="1" x14ac:dyDescent="0.3">
      <c r="A28" s="164" t="s">
        <v>207</v>
      </c>
      <c r="B28" s="279">
        <v>2</v>
      </c>
      <c r="C28" s="282">
        <f>$B$26/100*B28</f>
        <v>18.8475</v>
      </c>
      <c r="D28" s="115"/>
      <c r="E28" s="116"/>
      <c r="F28" s="116"/>
      <c r="G28" s="116"/>
      <c r="H28" s="116"/>
      <c r="I28" s="116"/>
      <c r="J28" s="117"/>
      <c r="K28" s="117"/>
      <c r="L28" s="117"/>
      <c r="M28" s="117"/>
    </row>
    <row r="29" spans="1:13" s="48" customFormat="1" ht="20.25" customHeight="1" x14ac:dyDescent="0.3">
      <c r="A29" s="164" t="s">
        <v>206</v>
      </c>
      <c r="B29" s="279">
        <v>5</v>
      </c>
      <c r="C29" s="282">
        <f>$B$26/100*B29</f>
        <v>47.118749999999999</v>
      </c>
      <c r="D29" s="115"/>
      <c r="E29" s="116"/>
      <c r="F29" s="116"/>
      <c r="G29" s="116"/>
      <c r="H29" s="116"/>
      <c r="I29" s="116"/>
      <c r="J29" s="117"/>
      <c r="K29" s="117"/>
      <c r="L29" s="117"/>
      <c r="M29" s="117"/>
    </row>
    <row r="30" spans="1:13" s="48" customFormat="1" ht="20.25" customHeight="1" x14ac:dyDescent="0.3">
      <c r="A30" s="277"/>
      <c r="B30" s="278"/>
      <c r="C30" s="115"/>
      <c r="D30" s="115"/>
      <c r="E30" s="116"/>
      <c r="F30" s="116"/>
      <c r="G30" s="116"/>
      <c r="H30" s="116"/>
      <c r="I30" s="116"/>
      <c r="J30" s="117"/>
      <c r="K30" s="117"/>
      <c r="L30" s="117"/>
      <c r="M30" s="117"/>
    </row>
    <row r="31" spans="1:13" s="48" customFormat="1" ht="20.25" customHeight="1" x14ac:dyDescent="0.3">
      <c r="A31" s="285" t="s">
        <v>231</v>
      </c>
      <c r="B31" s="286">
        <f>B26+C28+C29</f>
        <v>1008.3412499999999</v>
      </c>
      <c r="C31" s="115"/>
      <c r="D31" s="115"/>
      <c r="E31" s="116"/>
      <c r="F31" s="116"/>
      <c r="G31" s="116"/>
      <c r="H31" s="116"/>
      <c r="I31" s="116"/>
      <c r="J31" s="117"/>
      <c r="K31" s="117"/>
      <c r="L31" s="117"/>
      <c r="M31" s="117"/>
    </row>
    <row r="32" spans="1:13" s="48" customFormat="1" ht="20.25" customHeight="1" x14ac:dyDescent="0.3">
      <c r="A32" s="170"/>
      <c r="B32" s="171"/>
      <c r="C32" s="115"/>
      <c r="D32" s="115"/>
      <c r="E32" s="116"/>
      <c r="F32" s="116"/>
      <c r="G32" s="116"/>
      <c r="H32" s="116"/>
      <c r="I32" s="116"/>
      <c r="J32" s="117"/>
      <c r="K32" s="117"/>
      <c r="L32" s="117"/>
      <c r="M32" s="117"/>
    </row>
    <row r="33" spans="1:8" ht="20.25" customHeight="1" x14ac:dyDescent="0.25">
      <c r="A33" s="323" t="s">
        <v>1</v>
      </c>
      <c r="B33" s="324"/>
      <c r="C33" s="332" t="s">
        <v>222</v>
      </c>
      <c r="D33" s="332"/>
      <c r="F33" s="290" t="s">
        <v>232</v>
      </c>
    </row>
    <row r="34" spans="1:8" ht="15.75" customHeight="1" x14ac:dyDescent="0.25">
      <c r="A34" s="325"/>
      <c r="B34" s="326"/>
      <c r="C34" s="1" t="s">
        <v>233</v>
      </c>
      <c r="D34" s="1"/>
      <c r="F34" s="34">
        <v>15</v>
      </c>
    </row>
    <row r="35" spans="1:8" ht="15.75" customHeight="1" x14ac:dyDescent="0.25">
      <c r="A35" s="143" t="s">
        <v>18</v>
      </c>
      <c r="B35" s="144">
        <v>1200</v>
      </c>
      <c r="C35" s="287">
        <v>50</v>
      </c>
      <c r="D35" s="292"/>
      <c r="F35" s="34"/>
    </row>
    <row r="36" spans="1:8" x14ac:dyDescent="0.25">
      <c r="A36" s="4" t="s">
        <v>12</v>
      </c>
      <c r="B36" s="5">
        <f>B35/4</f>
        <v>300</v>
      </c>
      <c r="C36" s="7"/>
      <c r="D36" s="7"/>
      <c r="F36" s="34"/>
      <c r="G36" s="6"/>
      <c r="H36" s="7"/>
    </row>
    <row r="37" spans="1:8" x14ac:dyDescent="0.25">
      <c r="A37" s="288" t="s">
        <v>19</v>
      </c>
      <c r="B37" s="289">
        <f>(B35*2)-(B35*2/100*F34)</f>
        <v>2040</v>
      </c>
      <c r="C37" s="291"/>
      <c r="D37" s="292"/>
      <c r="E37" s="48"/>
      <c r="F37" s="35"/>
    </row>
    <row r="38" spans="1:8" x14ac:dyDescent="0.25">
      <c r="A38" s="4" t="s">
        <v>13</v>
      </c>
      <c r="B38" s="5">
        <f>B37/4</f>
        <v>510</v>
      </c>
      <c r="C38" s="48"/>
      <c r="D38" s="48"/>
      <c r="E38" s="293"/>
      <c r="F38" s="34"/>
    </row>
    <row r="39" spans="1:8" x14ac:dyDescent="0.25">
      <c r="A39" s="4" t="s">
        <v>59</v>
      </c>
      <c r="B39" s="5">
        <v>10</v>
      </c>
      <c r="F39" s="34"/>
    </row>
    <row r="40" spans="1:8" x14ac:dyDescent="0.25">
      <c r="A40" s="31" t="s">
        <v>20</v>
      </c>
      <c r="B40" s="5">
        <f>B35/100*C35</f>
        <v>600</v>
      </c>
      <c r="E40" s="33"/>
      <c r="F40" s="34"/>
    </row>
    <row r="41" spans="1:8" x14ac:dyDescent="0.25">
      <c r="A41" s="31" t="s">
        <v>21</v>
      </c>
      <c r="B41" s="5">
        <f>B37/100*C35</f>
        <v>1019.9999999999999</v>
      </c>
      <c r="E41" s="33"/>
      <c r="F41" s="34"/>
    </row>
    <row r="42" spans="1:8" ht="21" customHeight="1" x14ac:dyDescent="0.25">
      <c r="A42" s="128"/>
      <c r="B42" s="127"/>
      <c r="E42" s="33"/>
    </row>
    <row r="43" spans="1:8" x14ac:dyDescent="0.25">
      <c r="A43" s="330" t="s">
        <v>64</v>
      </c>
      <c r="B43" s="331"/>
      <c r="C43" s="331"/>
      <c r="D43" s="331"/>
      <c r="E43" s="331"/>
    </row>
    <row r="44" spans="1:8" x14ac:dyDescent="0.25">
      <c r="A44" s="68" t="s">
        <v>65</v>
      </c>
      <c r="B44" s="68" t="s">
        <v>111</v>
      </c>
      <c r="C44" s="68" t="s">
        <v>66</v>
      </c>
      <c r="D44" s="68" t="s">
        <v>108</v>
      </c>
      <c r="E44" s="68" t="s">
        <v>109</v>
      </c>
    </row>
    <row r="45" spans="1:8" x14ac:dyDescent="0.25">
      <c r="A45" s="36" t="s">
        <v>110</v>
      </c>
      <c r="B45" s="112">
        <v>4</v>
      </c>
      <c r="C45" s="38">
        <v>3</v>
      </c>
      <c r="D45" s="69">
        <f>SUM(B35,B39)*C45</f>
        <v>3630</v>
      </c>
      <c r="E45" s="129">
        <f>D45/B45</f>
        <v>907.5</v>
      </c>
    </row>
    <row r="46" spans="1:8" x14ac:dyDescent="0.25">
      <c r="A46" s="36" t="s">
        <v>17</v>
      </c>
      <c r="B46" s="112">
        <v>6</v>
      </c>
      <c r="C46" s="38">
        <v>2</v>
      </c>
      <c r="D46" s="69">
        <f>B40*C46</f>
        <v>1200</v>
      </c>
      <c r="E46" s="129">
        <f>D46/B46</f>
        <v>200</v>
      </c>
    </row>
    <row r="49" spans="1:4" x14ac:dyDescent="0.25">
      <c r="A49" s="317" t="s">
        <v>117</v>
      </c>
      <c r="B49" s="318"/>
      <c r="C49" s="318"/>
      <c r="D49" s="318"/>
    </row>
    <row r="50" spans="1:4" x14ac:dyDescent="0.25">
      <c r="A50" s="138" t="s">
        <v>120</v>
      </c>
      <c r="B50" s="138" t="s">
        <v>121</v>
      </c>
      <c r="C50" s="138" t="s">
        <v>122</v>
      </c>
      <c r="D50" s="138" t="s">
        <v>128</v>
      </c>
    </row>
    <row r="51" spans="1:4" x14ac:dyDescent="0.25">
      <c r="A51" s="36" t="s">
        <v>110</v>
      </c>
      <c r="B51" s="36">
        <f>B5</f>
        <v>20</v>
      </c>
      <c r="C51" s="139">
        <v>8</v>
      </c>
      <c r="D51" s="140">
        <f>C51/B51*100</f>
        <v>40</v>
      </c>
    </row>
    <row r="52" spans="1:4" x14ac:dyDescent="0.25">
      <c r="A52" s="36" t="s">
        <v>17</v>
      </c>
      <c r="B52" s="36">
        <f>B51</f>
        <v>20</v>
      </c>
      <c r="C52" s="139">
        <v>8</v>
      </c>
      <c r="D52" s="140">
        <f>C52/B52*100</f>
        <v>40</v>
      </c>
    </row>
  </sheetData>
  <mergeCells count="9">
    <mergeCell ref="A49:D49"/>
    <mergeCell ref="A16:B16"/>
    <mergeCell ref="A4:B4"/>
    <mergeCell ref="A33:B34"/>
    <mergeCell ref="A1:C1"/>
    <mergeCell ref="A2:C2"/>
    <mergeCell ref="A3:C3"/>
    <mergeCell ref="A43:E43"/>
    <mergeCell ref="C33:D33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S57"/>
  <sheetViews>
    <sheetView tabSelected="1" topLeftCell="A49" zoomScaleNormal="100" workbookViewId="0">
      <selection activeCell="Q54" sqref="Q54"/>
    </sheetView>
  </sheetViews>
  <sheetFormatPr defaultRowHeight="15" x14ac:dyDescent="0.25"/>
  <cols>
    <col min="1" max="1" width="1.42578125" style="9" customWidth="1"/>
    <col min="2" max="2" width="10.7109375" style="9" customWidth="1"/>
    <col min="3" max="3" width="31.5703125" style="9" customWidth="1"/>
    <col min="4" max="4" width="14.85546875" style="9" bestFit="1" customWidth="1"/>
    <col min="5" max="9" width="15.28515625" style="9" bestFit="1" customWidth="1"/>
    <col min="10" max="13" width="15.28515625" style="9" customWidth="1"/>
    <col min="14" max="14" width="15.28515625" style="9" bestFit="1" customWidth="1"/>
    <col min="15" max="15" width="18.28515625" style="9" bestFit="1" customWidth="1"/>
    <col min="16" max="16" width="15.5703125" style="9" customWidth="1"/>
    <col min="17" max="17" width="23.5703125" style="9" customWidth="1"/>
    <col min="18" max="18" width="21.140625" style="9" customWidth="1"/>
    <col min="19" max="19" width="13.7109375" style="9" bestFit="1" customWidth="1"/>
    <col min="20" max="16384" width="9.140625" style="9"/>
  </cols>
  <sheetData>
    <row r="2" spans="2:17" ht="23.25" x14ac:dyDescent="0.35">
      <c r="B2" s="336" t="s">
        <v>195</v>
      </c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10"/>
      <c r="Q2" s="10"/>
    </row>
    <row r="4" spans="2:17" ht="18.75" x14ac:dyDescent="0.3">
      <c r="B4" s="343" t="s">
        <v>0</v>
      </c>
      <c r="C4" s="344"/>
      <c r="D4" s="344"/>
      <c r="E4" s="344"/>
      <c r="F4" s="344"/>
      <c r="G4" s="344"/>
      <c r="H4" s="344"/>
      <c r="I4" s="344"/>
      <c r="J4" s="344"/>
      <c r="K4" s="344"/>
      <c r="L4" s="344"/>
      <c r="M4" s="344"/>
      <c r="N4" s="344"/>
      <c r="O4" s="345"/>
    </row>
    <row r="5" spans="2:17" ht="18.75" x14ac:dyDescent="0.3">
      <c r="B5" s="340"/>
      <c r="C5" s="341"/>
      <c r="D5" s="334" t="s">
        <v>16</v>
      </c>
      <c r="E5" s="334"/>
      <c r="F5" s="334"/>
      <c r="G5" s="334"/>
      <c r="H5" s="334"/>
      <c r="I5" s="334" t="s">
        <v>17</v>
      </c>
      <c r="J5" s="334"/>
      <c r="K5" s="334"/>
      <c r="L5" s="334"/>
      <c r="M5" s="334"/>
      <c r="N5" s="334"/>
      <c r="O5" s="11"/>
      <c r="Q5" s="30"/>
    </row>
    <row r="6" spans="2:17" x14ac:dyDescent="0.25">
      <c r="B6" s="348"/>
      <c r="C6" s="25" t="s">
        <v>4</v>
      </c>
      <c r="D6" s="26" t="s">
        <v>114</v>
      </c>
      <c r="E6" s="26" t="s">
        <v>22</v>
      </c>
      <c r="F6" s="26" t="s">
        <v>23</v>
      </c>
      <c r="G6" s="26" t="s">
        <v>24</v>
      </c>
      <c r="H6" s="79" t="s">
        <v>25</v>
      </c>
      <c r="I6" s="81" t="s">
        <v>26</v>
      </c>
      <c r="J6" s="81" t="s">
        <v>27</v>
      </c>
      <c r="K6" s="81" t="s">
        <v>216</v>
      </c>
      <c r="L6" s="81" t="s">
        <v>217</v>
      </c>
      <c r="M6" s="81" t="s">
        <v>218</v>
      </c>
      <c r="N6" s="81" t="s">
        <v>219</v>
      </c>
      <c r="O6" s="80" t="s">
        <v>2</v>
      </c>
      <c r="Q6" s="30"/>
    </row>
    <row r="7" spans="2:17" x14ac:dyDescent="0.25">
      <c r="B7" s="349"/>
      <c r="C7" s="17" t="s">
        <v>5</v>
      </c>
      <c r="D7" s="22">
        <v>0</v>
      </c>
      <c r="E7" s="136">
        <f>D10</f>
        <v>20</v>
      </c>
      <c r="F7" s="136">
        <f>E10</f>
        <v>22</v>
      </c>
      <c r="G7" s="137">
        <f>F10</f>
        <v>22</v>
      </c>
      <c r="H7" s="136">
        <f>G10</f>
        <v>22</v>
      </c>
      <c r="I7" s="262"/>
      <c r="J7" s="263"/>
      <c r="K7" s="263"/>
      <c r="L7" s="263"/>
      <c r="M7" s="263"/>
      <c r="N7" s="264"/>
      <c r="O7" s="82"/>
      <c r="Q7" s="30"/>
    </row>
    <row r="8" spans="2:17" x14ac:dyDescent="0.25">
      <c r="B8" s="15" t="s">
        <v>3</v>
      </c>
      <c r="C8" s="17" t="s">
        <v>7</v>
      </c>
      <c r="D8" s="135">
        <v>14</v>
      </c>
      <c r="E8" s="135">
        <v>2</v>
      </c>
      <c r="F8" s="8"/>
      <c r="G8" s="77"/>
      <c r="H8" s="8"/>
      <c r="I8" s="265"/>
      <c r="J8" s="266"/>
      <c r="K8" s="266"/>
      <c r="L8" s="266"/>
      <c r="M8" s="266"/>
      <c r="N8" s="267"/>
      <c r="O8" s="23">
        <f>SUM(D8:H8)</f>
        <v>16</v>
      </c>
      <c r="Q8" s="30"/>
    </row>
    <row r="9" spans="2:17" x14ac:dyDescent="0.25">
      <c r="B9" s="346"/>
      <c r="C9" s="17" t="s">
        <v>14</v>
      </c>
      <c r="D9" s="135">
        <v>3</v>
      </c>
      <c r="E9" s="135"/>
      <c r="F9" s="8"/>
      <c r="G9" s="77"/>
      <c r="H9" s="8"/>
      <c r="I9" s="265"/>
      <c r="J9" s="266"/>
      <c r="K9" s="266"/>
      <c r="L9" s="266"/>
      <c r="M9" s="266"/>
      <c r="N9" s="267"/>
      <c r="O9" s="23">
        <f>SUM(D9:H9)</f>
        <v>3</v>
      </c>
      <c r="Q9" s="30"/>
    </row>
    <row r="10" spans="2:17" ht="15.75" x14ac:dyDescent="0.3">
      <c r="B10" s="347"/>
      <c r="C10" s="12" t="s">
        <v>197</v>
      </c>
      <c r="D10" s="18">
        <f>IF(D9&gt;0,SUM(D7:D9)+D9,SUM(D7:D9))</f>
        <v>20</v>
      </c>
      <c r="E10" s="18">
        <f>IF(E9&gt;0,SUM(E7:E9)+E9,SUM(E7:E9))</f>
        <v>22</v>
      </c>
      <c r="F10" s="18">
        <f>IF(F9&gt;0,SUM(F7:F9)+F9,SUM(F7:F9))</f>
        <v>22</v>
      </c>
      <c r="G10" s="78">
        <f t="shared" ref="G10:H10" si="0">IF(G9&gt;0,SUM(G7:G9)+G9,SUM(G7:G9))</f>
        <v>22</v>
      </c>
      <c r="H10" s="18">
        <f t="shared" si="0"/>
        <v>22</v>
      </c>
      <c r="I10" s="265"/>
      <c r="J10" s="266"/>
      <c r="K10" s="266"/>
      <c r="L10" s="266"/>
      <c r="M10" s="266"/>
      <c r="N10" s="267"/>
      <c r="O10" s="20">
        <f>H10</f>
        <v>22</v>
      </c>
      <c r="Q10" s="30"/>
    </row>
    <row r="11" spans="2:17" ht="3.75" customHeight="1" x14ac:dyDescent="0.25">
      <c r="D11" s="335"/>
      <c r="E11" s="335"/>
      <c r="F11" s="335"/>
      <c r="G11" s="335"/>
      <c r="O11" s="21"/>
      <c r="Q11" s="30"/>
    </row>
    <row r="12" spans="2:17" x14ac:dyDescent="0.25">
      <c r="B12" s="13"/>
      <c r="C12" s="16" t="s">
        <v>9</v>
      </c>
      <c r="D12" s="24">
        <f>D8*'PARAMENTOS '!$B$36</f>
        <v>4200</v>
      </c>
      <c r="E12" s="24">
        <f>E8*'PARAMENTOS '!$B$36</f>
        <v>600</v>
      </c>
      <c r="F12" s="24">
        <f>F8*'PARAMENTOS '!$B$36</f>
        <v>0</v>
      </c>
      <c r="G12" s="24">
        <f>G8*'PARAMENTOS '!$B$36</f>
        <v>0</v>
      </c>
      <c r="H12" s="24">
        <f>H8*'PARAMENTOS '!$B$36</f>
        <v>0</v>
      </c>
      <c r="I12" s="24">
        <f>I8*'PARAMENTOS '!$B$36</f>
        <v>0</v>
      </c>
      <c r="J12" s="24">
        <f>J8*'PARAMENTOS '!$B$36</f>
        <v>0</v>
      </c>
      <c r="K12" s="24">
        <f>K8*'PARAMENTOS '!$B$36</f>
        <v>0</v>
      </c>
      <c r="L12" s="24">
        <f>L8*'PARAMENTOS '!$B$36</f>
        <v>0</v>
      </c>
      <c r="M12" s="24">
        <f>M8*'PARAMENTOS '!$B$36</f>
        <v>0</v>
      </c>
      <c r="N12" s="24">
        <f>N8*'PARAMENTOS '!$B$36</f>
        <v>0</v>
      </c>
      <c r="O12" s="19">
        <f>SUM(D12:H12)</f>
        <v>4800</v>
      </c>
    </row>
    <row r="13" spans="2:17" x14ac:dyDescent="0.25">
      <c r="B13" s="14"/>
      <c r="C13" s="16" t="s">
        <v>10</v>
      </c>
      <c r="D13" s="24"/>
      <c r="E13" s="24">
        <f>D8*'PARAMENTOS '!$B$35</f>
        <v>16800</v>
      </c>
      <c r="F13" s="24">
        <f>IF(E8&gt;0,E8*'PARAMENTOS '!$B$35+E13,E13)</f>
        <v>19200</v>
      </c>
      <c r="G13" s="24">
        <f>IF(F8&gt;0,F8*'PARAMENTOS '!$B$35+F13,F13)</f>
        <v>19200</v>
      </c>
      <c r="H13" s="24">
        <f>IF(G8&gt;0,G8*'PARAMENTOS '!$B$35+G13,G13)</f>
        <v>19200</v>
      </c>
      <c r="I13" s="24">
        <f>SUM($D$8:$H$8)*'PARAMENTOS '!$C$35</f>
        <v>800</v>
      </c>
      <c r="J13" s="24">
        <f>SUM($D$8:$H$8)*'PARAMENTOS '!$C$35</f>
        <v>800</v>
      </c>
      <c r="K13" s="24">
        <f>SUM($D$8:$H$8)*'PARAMENTOS '!$C$35</f>
        <v>800</v>
      </c>
      <c r="L13" s="24">
        <f>SUM($D$8:$H$8)*'PARAMENTOS '!$C$35</f>
        <v>800</v>
      </c>
      <c r="M13" s="24">
        <f>SUM($D$8:$H$8)*'PARAMENTOS '!$C$35</f>
        <v>800</v>
      </c>
      <c r="N13" s="24">
        <f>SUM($D$8:$H$8)*'PARAMENTOS '!$C$35</f>
        <v>800</v>
      </c>
      <c r="O13" s="19">
        <f>SUM(H13,N13)</f>
        <v>20000</v>
      </c>
    </row>
    <row r="14" spans="2:17" x14ac:dyDescent="0.25">
      <c r="B14" s="14"/>
      <c r="C14" s="16" t="s">
        <v>11</v>
      </c>
      <c r="D14" s="24">
        <f>D9*'PARAMENTOS '!$B$38</f>
        <v>1530</v>
      </c>
      <c r="E14" s="24">
        <f>E9*'PARAMENTOS '!$B$38</f>
        <v>0</v>
      </c>
      <c r="F14" s="24">
        <f>F9*'PARAMENTOS '!$B$38</f>
        <v>0</v>
      </c>
      <c r="G14" s="24">
        <f>G9*'PARAMENTOS '!$B$38</f>
        <v>0</v>
      </c>
      <c r="H14" s="24">
        <f>H9*'PARAMENTOS '!$B$38</f>
        <v>0</v>
      </c>
      <c r="I14" s="24">
        <f>I9*'PARAMENTOS '!$B$38</f>
        <v>0</v>
      </c>
      <c r="J14" s="24">
        <f>J9*'PARAMENTOS '!$B$38</f>
        <v>0</v>
      </c>
      <c r="K14" s="24">
        <f>K9*'PARAMENTOS '!$B$38</f>
        <v>0</v>
      </c>
      <c r="L14" s="24">
        <f>L9*'PARAMENTOS '!$B$38</f>
        <v>0</v>
      </c>
      <c r="M14" s="24">
        <f>M9*'PARAMENTOS '!$B$38</f>
        <v>0</v>
      </c>
      <c r="N14" s="24">
        <f>N9*'PARAMENTOS '!$B$38</f>
        <v>0</v>
      </c>
      <c r="O14" s="19">
        <f>SUM(D14:H14)</f>
        <v>1530</v>
      </c>
    </row>
    <row r="15" spans="2:17" x14ac:dyDescent="0.25">
      <c r="B15" s="15" t="s">
        <v>6</v>
      </c>
      <c r="C15" s="16" t="s">
        <v>8</v>
      </c>
      <c r="D15" s="24"/>
      <c r="E15" s="24">
        <f>D9*'PARAMENTOS '!$B$37</f>
        <v>6120</v>
      </c>
      <c r="F15" s="24">
        <f>IF(E9&gt;0,E9*'PARAMENTOS '!$B$37+E15,E15)</f>
        <v>6120</v>
      </c>
      <c r="G15" s="24">
        <f>IF(F9&gt;0,F9*'PARAMENTOS '!$B$37+F15,F15)</f>
        <v>6120</v>
      </c>
      <c r="H15" s="24">
        <f>IF(G9&gt;0,G9*'PARAMENTOS '!$B$37+G15,G15)</f>
        <v>6120</v>
      </c>
      <c r="I15" s="24">
        <f>SUM($D$9:$H$9)*'PARAMENTOS '!$C$37</f>
        <v>0</v>
      </c>
      <c r="J15" s="24">
        <f>SUM($D$9:$H$9)*'PARAMENTOS '!$C$37</f>
        <v>0</v>
      </c>
      <c r="K15" s="24">
        <f>SUM($D$9:$H$9)*'PARAMENTOS '!$C$37</f>
        <v>0</v>
      </c>
      <c r="L15" s="24">
        <f>SUM($D$9:$H$9)*'PARAMENTOS '!$C$37</f>
        <v>0</v>
      </c>
      <c r="M15" s="24">
        <f>SUM($D$9:$H$9)*'PARAMENTOS '!$C$37</f>
        <v>0</v>
      </c>
      <c r="N15" s="24">
        <f>SUM($D$9:$H$9)*'PARAMENTOS '!$C$37</f>
        <v>0</v>
      </c>
      <c r="O15" s="19">
        <f>SUM(H15,N15)</f>
        <v>6120</v>
      </c>
    </row>
    <row r="16" spans="2:17" x14ac:dyDescent="0.25">
      <c r="B16" s="13"/>
      <c r="C16" s="16" t="s">
        <v>118</v>
      </c>
      <c r="D16" s="24"/>
      <c r="E16" s="24">
        <f>D8*'PARAMENTOS '!$B$39</f>
        <v>140</v>
      </c>
      <c r="F16" s="24">
        <f>E8*'PARAMENTOS '!$B$39</f>
        <v>20</v>
      </c>
      <c r="G16" s="24">
        <f>F8*'PARAMENTOS '!$B$39</f>
        <v>0</v>
      </c>
      <c r="H16" s="24">
        <f>G8*'PARAMENTOS '!$B$39</f>
        <v>0</v>
      </c>
      <c r="I16" s="24">
        <f>H8*'PARAMENTOS '!$B$39</f>
        <v>0</v>
      </c>
      <c r="J16" s="24">
        <f>I8*'PARAMENTOS '!$B$39</f>
        <v>0</v>
      </c>
      <c r="K16" s="24">
        <f>J8*'PARAMENTOS '!$B$39</f>
        <v>0</v>
      </c>
      <c r="L16" s="24">
        <f>K8*'PARAMENTOS '!$B$39</f>
        <v>0</v>
      </c>
      <c r="M16" s="24">
        <f>L8*'PARAMENTOS '!$B$39</f>
        <v>0</v>
      </c>
      <c r="N16" s="24">
        <f>M8*'PARAMENTOS '!$B$39</f>
        <v>0</v>
      </c>
      <c r="O16" s="19">
        <f>SUM(D16:N16)</f>
        <v>160</v>
      </c>
    </row>
    <row r="17" spans="2:19" x14ac:dyDescent="0.25">
      <c r="B17" s="14"/>
      <c r="C17" s="16" t="s">
        <v>119</v>
      </c>
      <c r="D17" s="24"/>
      <c r="E17" s="24">
        <f>D9*'PARAMENTOS '!$B$39</f>
        <v>30</v>
      </c>
      <c r="F17" s="24">
        <f>E9*'PARAMENTOS '!$B$39</f>
        <v>0</v>
      </c>
      <c r="G17" s="24">
        <f>F9*'PARAMENTOS '!$B$39</f>
        <v>0</v>
      </c>
      <c r="H17" s="24">
        <f>G9*'PARAMENTOS '!$B$39</f>
        <v>0</v>
      </c>
      <c r="I17" s="24">
        <f>H9*'PARAMENTOS '!$B$39</f>
        <v>0</v>
      </c>
      <c r="J17" s="24">
        <f>I9*'PARAMENTOS '!$B$39</f>
        <v>0</v>
      </c>
      <c r="K17" s="24">
        <f>J9*'PARAMENTOS '!$B$39</f>
        <v>0</v>
      </c>
      <c r="L17" s="24">
        <f>K9*'PARAMENTOS '!$B$39</f>
        <v>0</v>
      </c>
      <c r="M17" s="24">
        <f>L9*'PARAMENTOS '!$B$39</f>
        <v>0</v>
      </c>
      <c r="N17" s="24">
        <f>M9*'PARAMENTOS '!$B$39</f>
        <v>0</v>
      </c>
      <c r="O17" s="19"/>
    </row>
    <row r="18" spans="2:19" ht="16.5" x14ac:dyDescent="0.3">
      <c r="B18" s="123"/>
      <c r="C18" s="157" t="s">
        <v>133</v>
      </c>
      <c r="D18" s="158">
        <f>SUM(D12:D16)</f>
        <v>5730</v>
      </c>
      <c r="E18" s="158">
        <f>SUM(E12:E17)</f>
        <v>23690</v>
      </c>
      <c r="F18" s="158">
        <f t="shared" ref="F18:H18" si="1">SUM(F12:F17)</f>
        <v>25340</v>
      </c>
      <c r="G18" s="158">
        <f t="shared" si="1"/>
        <v>25320</v>
      </c>
      <c r="H18" s="158">
        <f t="shared" si="1"/>
        <v>25320</v>
      </c>
      <c r="I18" s="158">
        <f t="shared" ref="I18:N18" si="2">SUM(I12:I16)</f>
        <v>800</v>
      </c>
      <c r="J18" s="158">
        <f t="shared" si="2"/>
        <v>800</v>
      </c>
      <c r="K18" s="158">
        <f t="shared" si="2"/>
        <v>800</v>
      </c>
      <c r="L18" s="158">
        <f t="shared" si="2"/>
        <v>800</v>
      </c>
      <c r="M18" s="158">
        <f t="shared" si="2"/>
        <v>800</v>
      </c>
      <c r="N18" s="158">
        <f t="shared" si="2"/>
        <v>800</v>
      </c>
      <c r="O18" s="159">
        <f>SUM(D18:N18)</f>
        <v>110200</v>
      </c>
      <c r="S18" s="122"/>
    </row>
    <row r="19" spans="2:19" ht="15" customHeight="1" x14ac:dyDescent="0.25"/>
    <row r="20" spans="2:19" ht="18.75" x14ac:dyDescent="0.3">
      <c r="B20" s="337" t="s">
        <v>52</v>
      </c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9"/>
      <c r="Q20" s="30"/>
    </row>
    <row r="21" spans="2:19" ht="18.75" x14ac:dyDescent="0.3">
      <c r="B21" s="340"/>
      <c r="C21" s="341"/>
      <c r="D21" s="342" t="s">
        <v>16</v>
      </c>
      <c r="E21" s="342"/>
      <c r="F21" s="342"/>
      <c r="G21" s="342"/>
      <c r="H21" s="342"/>
      <c r="I21" s="342" t="s">
        <v>17</v>
      </c>
      <c r="J21" s="342"/>
      <c r="K21" s="342"/>
      <c r="L21" s="342"/>
      <c r="M21" s="342"/>
      <c r="N21" s="342"/>
      <c r="O21" s="11"/>
    </row>
    <row r="22" spans="2:19" x14ac:dyDescent="0.25">
      <c r="B22" s="13"/>
      <c r="C22" s="25" t="s">
        <v>4</v>
      </c>
      <c r="D22" s="26" t="s">
        <v>114</v>
      </c>
      <c r="E22" s="26" t="s">
        <v>22</v>
      </c>
      <c r="F22" s="26" t="s">
        <v>23</v>
      </c>
      <c r="G22" s="26" t="s">
        <v>24</v>
      </c>
      <c r="H22" s="26" t="s">
        <v>25</v>
      </c>
      <c r="I22" s="26" t="s">
        <v>26</v>
      </c>
      <c r="J22" s="26" t="s">
        <v>27</v>
      </c>
      <c r="K22" s="26" t="s">
        <v>216</v>
      </c>
      <c r="L22" s="26" t="s">
        <v>217</v>
      </c>
      <c r="M22" s="26" t="s">
        <v>218</v>
      </c>
      <c r="N22" s="26" t="s">
        <v>219</v>
      </c>
      <c r="O22" s="29" t="s">
        <v>2</v>
      </c>
    </row>
    <row r="23" spans="2:19" x14ac:dyDescent="0.25">
      <c r="B23" s="13"/>
      <c r="C23" s="16" t="s">
        <v>35</v>
      </c>
      <c r="D23" s="24">
        <f>IF(D8&gt;0,'PARAMENTOS '!$B$7*D8+(D9*2*'PARAMENTOS '!$B$7),IF(D9&gt;0,'PARAMENTOS '!$B$7*D8+(D9*2*'PARAMENTOS '!$B$7),0))</f>
        <v>542</v>
      </c>
      <c r="E23" s="24">
        <f>IF(E8&gt;0,'PARAMENTOS '!$B$7*E8+(E9*2*'PARAMENTOS '!$B$7),IF(E9&gt;0,'PARAMENTOS '!$B$7*E8+(E9*2*'PARAMENTOS '!$B$7),0))</f>
        <v>54.2</v>
      </c>
      <c r="F23" s="24">
        <f>IF(F8&gt;0,'PARAMENTOS '!$B$7*F8+(F9*2*'PARAMENTOS '!$B$7),IF(F9&gt;0,'PARAMENTOS '!$B$7*F8+(F9*2*'PARAMENTOS '!$B$7),0))</f>
        <v>0</v>
      </c>
      <c r="G23" s="24">
        <f>IF(G8&gt;0,'PARAMENTOS '!$B$7*G8+(G9*2*'PARAMENTOS '!$B$7),IF(G9&gt;0,'PARAMENTOS '!$B$7*G8+(G9*2*'PARAMENTOS '!$B$7),0))</f>
        <v>0</v>
      </c>
      <c r="H23" s="24">
        <f>IF(H8&gt;0,'PARAMENTOS '!$B$7*H8+(H9*2*'PARAMENTOS '!$B$7),IF(H9&gt;0,'PARAMENTOS '!$B$7*H8+(H9*2*'PARAMENTOS '!$B$7),0))</f>
        <v>0</v>
      </c>
      <c r="I23" s="32"/>
      <c r="J23" s="84"/>
      <c r="K23" s="84"/>
      <c r="L23" s="84"/>
      <c r="M23" s="84"/>
      <c r="N23" s="84"/>
      <c r="O23" s="19">
        <f>SUM(D23:N23)</f>
        <v>596.20000000000005</v>
      </c>
    </row>
    <row r="24" spans="2:19" x14ac:dyDescent="0.25">
      <c r="B24" s="14"/>
      <c r="C24" s="16" t="s">
        <v>60</v>
      </c>
      <c r="D24" s="24">
        <f>IF(D8&gt;0,$R$24*D8+(D9*2*$R$24),IF(D9&gt;0,$R$24*D8+(D9*2*$R$24),0))</f>
        <v>87.5</v>
      </c>
      <c r="E24" s="24">
        <f>IF(E8&gt;0,$R$24*E8+(E9*2*$R$24),IF(E9&gt;0,$R$24*E8+(E9*2*$R$24),0))</f>
        <v>8.75</v>
      </c>
      <c r="F24" s="24">
        <f>IF(F8&gt;0,$R$24*F8+(F9*2*$R$24),IF(F9&gt;0,$R$24*F8+(F9*2*$R$24),0))</f>
        <v>0</v>
      </c>
      <c r="G24" s="24">
        <f>IF(G8&gt;0,$R$24*G8+(G9*2*$R$24),IF(G9&gt;0,$R$24*G8+(G9*2*$R$24),0))</f>
        <v>0</v>
      </c>
      <c r="H24" s="24">
        <f>IF(H8&gt;0,$R$24*H8+(H9*2*$R$24),IF(H9&gt;0,$R$24*H8+(H9*2*$R$24),0))</f>
        <v>0</v>
      </c>
      <c r="I24" s="24"/>
      <c r="J24" s="24"/>
      <c r="K24" s="24"/>
      <c r="L24" s="24"/>
      <c r="M24" s="24"/>
      <c r="N24" s="24"/>
      <c r="O24" s="19">
        <f t="shared" ref="O24:O27" si="3">SUM(D24:N24)</f>
        <v>96.25</v>
      </c>
      <c r="Q24" s="9" t="s">
        <v>198</v>
      </c>
      <c r="R24" s="229">
        <f>'PARAMENTOS '!B8/'ESTIMATIVA ANUAL'!D10</f>
        <v>4.375</v>
      </c>
    </row>
    <row r="25" spans="2:19" x14ac:dyDescent="0.25">
      <c r="B25" s="85" t="s">
        <v>53</v>
      </c>
      <c r="C25" s="86" t="s">
        <v>96</v>
      </c>
      <c r="D25" s="83"/>
      <c r="E25" s="146">
        <f>$R$26*E10</f>
        <v>2952.7300000000005</v>
      </c>
      <c r="F25" s="146">
        <f>$R$26*F10</f>
        <v>2952.7300000000005</v>
      </c>
      <c r="G25" s="146">
        <f>$R$26*G10</f>
        <v>2952.7300000000005</v>
      </c>
      <c r="H25" s="146">
        <f>$R$26*H10</f>
        <v>2952.7300000000005</v>
      </c>
      <c r="I25" s="146"/>
      <c r="J25" s="32"/>
      <c r="K25" s="32"/>
      <c r="L25" s="32"/>
      <c r="M25" s="32"/>
      <c r="N25" s="32"/>
      <c r="O25" s="19">
        <f t="shared" si="3"/>
        <v>11810.920000000002</v>
      </c>
      <c r="Q25" s="9" t="s">
        <v>199</v>
      </c>
      <c r="R25" s="230">
        <f>'PARAMENTOS '!B6/'ESTIMATIVA ANUAL'!D10</f>
        <v>120</v>
      </c>
    </row>
    <row r="26" spans="2:19" x14ac:dyDescent="0.25">
      <c r="B26" s="151"/>
      <c r="C26" s="147" t="s">
        <v>58</v>
      </c>
      <c r="D26" s="148"/>
      <c r="E26" s="148">
        <f>'FORMAÇÃO DOS VALORES'!F39</f>
        <v>600</v>
      </c>
      <c r="F26" s="148">
        <f>'FORMAÇÃO DOS VALORES'!F40</f>
        <v>600</v>
      </c>
      <c r="G26" s="148">
        <f>'FORMAÇÃO DOS VALORES'!F41</f>
        <v>600</v>
      </c>
      <c r="H26" s="148">
        <f>'FORMAÇÃO DOS VALORES'!F42</f>
        <v>600</v>
      </c>
      <c r="I26" s="148">
        <f>H26</f>
        <v>600</v>
      </c>
      <c r="J26" s="149"/>
      <c r="K26" s="149"/>
      <c r="L26" s="149"/>
      <c r="M26" s="149"/>
      <c r="N26" s="149"/>
      <c r="O26" s="19">
        <f t="shared" si="3"/>
        <v>3000</v>
      </c>
      <c r="Q26" s="9" t="s">
        <v>200</v>
      </c>
      <c r="R26" s="231">
        <f>'FORMAÇÃO DOS VALORES'!G61</f>
        <v>134.21500000000003</v>
      </c>
    </row>
    <row r="27" spans="2:19" x14ac:dyDescent="0.25">
      <c r="B27" s="152"/>
      <c r="C27" s="150" t="s">
        <v>130</v>
      </c>
      <c r="D27" s="148">
        <f t="shared" ref="D27:G27" si="4">$R$27</f>
        <v>206</v>
      </c>
      <c r="E27" s="148">
        <f t="shared" si="4"/>
        <v>206</v>
      </c>
      <c r="F27" s="148">
        <f t="shared" si="4"/>
        <v>206</v>
      </c>
      <c r="G27" s="148">
        <f t="shared" si="4"/>
        <v>206</v>
      </c>
      <c r="H27" s="148">
        <f>$R$28</f>
        <v>30</v>
      </c>
      <c r="I27" s="148">
        <f t="shared" ref="I27:M27" si="5">$R$28</f>
        <v>30</v>
      </c>
      <c r="J27" s="148">
        <f t="shared" si="5"/>
        <v>30</v>
      </c>
      <c r="K27" s="148">
        <f t="shared" si="5"/>
        <v>30</v>
      </c>
      <c r="L27" s="148">
        <f t="shared" si="5"/>
        <v>30</v>
      </c>
      <c r="M27" s="148">
        <f t="shared" si="5"/>
        <v>30</v>
      </c>
      <c r="N27" s="268"/>
      <c r="O27" s="19">
        <f t="shared" si="3"/>
        <v>1004</v>
      </c>
      <c r="Q27" s="9" t="s">
        <v>220</v>
      </c>
      <c r="R27" s="230">
        <f>'PARAMENTOS '!B10/10+'FORMAÇÃO DOS VALORES'!F34</f>
        <v>206</v>
      </c>
    </row>
    <row r="28" spans="2:19" ht="15.75" x14ac:dyDescent="0.3">
      <c r="B28" s="153"/>
      <c r="C28" s="155" t="s">
        <v>134</v>
      </c>
      <c r="D28" s="156">
        <f t="shared" ref="D28:N28" si="6">SUM(D23:D27)</f>
        <v>835.5</v>
      </c>
      <c r="E28" s="156">
        <f t="shared" si="6"/>
        <v>3821.6800000000003</v>
      </c>
      <c r="F28" s="156">
        <f t="shared" si="6"/>
        <v>3758.7300000000005</v>
      </c>
      <c r="G28" s="156">
        <f t="shared" si="6"/>
        <v>3758.7300000000005</v>
      </c>
      <c r="H28" s="156">
        <f t="shared" si="6"/>
        <v>3582.7300000000005</v>
      </c>
      <c r="I28" s="156">
        <f t="shared" si="6"/>
        <v>630</v>
      </c>
      <c r="J28" s="156">
        <f t="shared" si="6"/>
        <v>30</v>
      </c>
      <c r="K28" s="156">
        <f t="shared" si="6"/>
        <v>30</v>
      </c>
      <c r="L28" s="156">
        <f t="shared" si="6"/>
        <v>30</v>
      </c>
      <c r="M28" s="156">
        <f t="shared" si="6"/>
        <v>30</v>
      </c>
      <c r="N28" s="156">
        <f t="shared" si="6"/>
        <v>0</v>
      </c>
      <c r="O28" s="156">
        <f>SUM(D28:H28)</f>
        <v>15757.369999999999</v>
      </c>
      <c r="Q28" s="9" t="s">
        <v>221</v>
      </c>
      <c r="R28" s="230">
        <f>R27-'FORMAÇÃO DOS VALORES'!F34</f>
        <v>30</v>
      </c>
    </row>
    <row r="30" spans="2:19" ht="18.75" x14ac:dyDescent="0.3">
      <c r="B30" s="353" t="s">
        <v>131</v>
      </c>
      <c r="C30" s="354"/>
      <c r="D30" s="354"/>
      <c r="E30" s="354"/>
      <c r="F30" s="354"/>
      <c r="G30" s="354"/>
      <c r="H30" s="354"/>
      <c r="I30" s="354"/>
      <c r="J30" s="354"/>
      <c r="K30" s="354"/>
      <c r="L30" s="354"/>
      <c r="M30" s="354"/>
      <c r="N30" s="354"/>
      <c r="O30" s="355"/>
      <c r="P30" s="118" t="s">
        <v>115</v>
      </c>
      <c r="Q30" s="119"/>
      <c r="R30" s="119"/>
    </row>
    <row r="31" spans="2:19" ht="18.75" x14ac:dyDescent="0.3">
      <c r="B31" s="340"/>
      <c r="C31" s="341"/>
      <c r="D31" s="342" t="s">
        <v>16</v>
      </c>
      <c r="E31" s="342"/>
      <c r="F31" s="342"/>
      <c r="G31" s="342"/>
      <c r="H31" s="342"/>
      <c r="I31" s="342" t="s">
        <v>17</v>
      </c>
      <c r="J31" s="342"/>
      <c r="K31" s="342"/>
      <c r="L31" s="342"/>
      <c r="M31" s="342"/>
      <c r="N31" s="342"/>
      <c r="O31" s="11"/>
      <c r="P31" s="66">
        <f>'PARAMENTOS '!E45</f>
        <v>907.5</v>
      </c>
      <c r="Q31" s="333" t="s">
        <v>62</v>
      </c>
      <c r="R31" s="333"/>
      <c r="S31" s="232"/>
    </row>
    <row r="32" spans="2:19" x14ac:dyDescent="0.25">
      <c r="B32" s="13"/>
      <c r="C32" s="25" t="s">
        <v>4</v>
      </c>
      <c r="D32" s="26" t="s">
        <v>114</v>
      </c>
      <c r="E32" s="26" t="s">
        <v>22</v>
      </c>
      <c r="F32" s="26" t="s">
        <v>23</v>
      </c>
      <c r="G32" s="26" t="s">
        <v>24</v>
      </c>
      <c r="H32" s="26" t="s">
        <v>25</v>
      </c>
      <c r="I32" s="26" t="s">
        <v>26</v>
      </c>
      <c r="J32" s="26" t="s">
        <v>27</v>
      </c>
      <c r="K32" s="26" t="s">
        <v>216</v>
      </c>
      <c r="L32" s="26" t="s">
        <v>217</v>
      </c>
      <c r="M32" s="26" t="s">
        <v>218</v>
      </c>
      <c r="N32" s="26" t="s">
        <v>219</v>
      </c>
      <c r="O32" s="29" t="s">
        <v>2</v>
      </c>
      <c r="P32" s="70">
        <f>P31/E18*100</f>
        <v>3.8307302659349936</v>
      </c>
      <c r="Q32" s="72" t="s">
        <v>63</v>
      </c>
      <c r="S32" s="65"/>
    </row>
    <row r="33" spans="2:19" x14ac:dyDescent="0.25">
      <c r="B33" s="13"/>
      <c r="C33" s="200" t="s">
        <v>15</v>
      </c>
      <c r="D33" s="27"/>
      <c r="E33" s="28">
        <f>IF(E12&gt;0,(E18-E12-E14)/100*$P$32,IF(E14&gt;0,(E18-E12-E14)/100*$P$32,E18/100*$P$32))</f>
        <v>884.51561840439001</v>
      </c>
      <c r="F33" s="28">
        <f>IF(F12&gt;0,(F18-F12-F14)/100*$P$32,IF(F14&gt;0,(F18-F12-F14)/100*$P$32,F18/100*$P$32))</f>
        <v>970.70704938792744</v>
      </c>
      <c r="G33" s="28">
        <f>IF(G12&gt;0,(G18-G12-G14)/100*$P$32,IF(G14&gt;0,(G18-G12-G14)/100*$P$32,G18/100*$P$32))</f>
        <v>969.94090333474037</v>
      </c>
      <c r="H33" s="28">
        <f>IF(H12&gt;0,(H18-H12-H14)/100*$P$32,IF(H14&gt;0,(H18-H12-H14)/100*$P$32,H18/100*$P$32))</f>
        <v>969.94090333474037</v>
      </c>
      <c r="I33" s="28">
        <f t="shared" ref="I33:N33" si="7">IF(I12&gt;0,(I18-I12-I14)/100*$P$32,IF(I14&gt;0,(I18-I12-I14)/100*$P$32,I18/100*$P$32))</f>
        <v>30.645842127479948</v>
      </c>
      <c r="J33" s="28">
        <f t="shared" si="7"/>
        <v>30.645842127479948</v>
      </c>
      <c r="K33" s="28">
        <f t="shared" si="7"/>
        <v>30.645842127479948</v>
      </c>
      <c r="L33" s="28">
        <f t="shared" si="7"/>
        <v>30.645842127479948</v>
      </c>
      <c r="M33" s="28">
        <f t="shared" si="7"/>
        <v>30.645842127479948</v>
      </c>
      <c r="N33" s="28">
        <f t="shared" si="7"/>
        <v>30.645842127479948</v>
      </c>
      <c r="O33" s="75">
        <f>SUM(D33:N33)</f>
        <v>3978.9795272266792</v>
      </c>
      <c r="P33" s="65"/>
      <c r="Q33" s="30"/>
      <c r="S33" s="65"/>
    </row>
    <row r="34" spans="2:19" x14ac:dyDescent="0.25">
      <c r="B34" s="14"/>
      <c r="C34" s="200" t="s">
        <v>112</v>
      </c>
      <c r="D34" s="27"/>
      <c r="E34" s="27">
        <f>(E18-E12-E14)/100*$Q$39</f>
        <v>9236</v>
      </c>
      <c r="F34" s="27">
        <f>(F18-F12-F14)/100*$Q$39</f>
        <v>10136</v>
      </c>
      <c r="G34" s="27">
        <f>(G18-G12-G14)/100*$Q$39</f>
        <v>10128</v>
      </c>
      <c r="H34" s="27">
        <f>(H18-H12-H14)/100*$Q$39</f>
        <v>10128</v>
      </c>
      <c r="I34" s="27">
        <f t="shared" ref="I34:N34" si="8">(I18-I12-I14)/100*$Q$39</f>
        <v>320</v>
      </c>
      <c r="J34" s="27">
        <f t="shared" si="8"/>
        <v>320</v>
      </c>
      <c r="K34" s="27">
        <f t="shared" si="8"/>
        <v>320</v>
      </c>
      <c r="L34" s="27">
        <f t="shared" si="8"/>
        <v>320</v>
      </c>
      <c r="M34" s="27">
        <f t="shared" si="8"/>
        <v>320</v>
      </c>
      <c r="N34" s="27">
        <f t="shared" si="8"/>
        <v>320</v>
      </c>
      <c r="O34" s="75">
        <f t="shared" ref="O34:O42" si="9">SUM(D34:N34)</f>
        <v>41548</v>
      </c>
      <c r="P34" s="120" t="s">
        <v>116</v>
      </c>
      <c r="Q34" s="121"/>
      <c r="R34" s="121"/>
    </row>
    <row r="35" spans="2:19" ht="18" customHeight="1" x14ac:dyDescent="0.25">
      <c r="B35" s="199" t="s">
        <v>132</v>
      </c>
      <c r="C35" s="227" t="s">
        <v>208</v>
      </c>
      <c r="D35" s="28">
        <f>D18/100*40</f>
        <v>2292</v>
      </c>
      <c r="E35" s="28">
        <f>E18/100*10</f>
        <v>2369</v>
      </c>
      <c r="F35" s="28">
        <f>F18/100*5</f>
        <v>1267</v>
      </c>
      <c r="G35" s="28">
        <f t="shared" ref="G35:N35" si="10">G18/100*5</f>
        <v>1266</v>
      </c>
      <c r="H35" s="28">
        <f t="shared" si="10"/>
        <v>1266</v>
      </c>
      <c r="I35" s="28">
        <f t="shared" si="10"/>
        <v>40</v>
      </c>
      <c r="J35" s="28">
        <f t="shared" si="10"/>
        <v>40</v>
      </c>
      <c r="K35" s="28">
        <f t="shared" si="10"/>
        <v>40</v>
      </c>
      <c r="L35" s="28">
        <f t="shared" si="10"/>
        <v>40</v>
      </c>
      <c r="M35" s="28">
        <f t="shared" si="10"/>
        <v>40</v>
      </c>
      <c r="N35" s="28">
        <f t="shared" si="10"/>
        <v>40</v>
      </c>
      <c r="O35" s="75">
        <f t="shared" si="9"/>
        <v>8700</v>
      </c>
      <c r="P35" s="120"/>
      <c r="Q35" s="121"/>
      <c r="R35" s="121"/>
    </row>
    <row r="36" spans="2:19" ht="18" customHeight="1" x14ac:dyDescent="0.25">
      <c r="B36" s="152"/>
      <c r="C36" s="228" t="s">
        <v>205</v>
      </c>
      <c r="D36" s="28"/>
      <c r="E36" s="28">
        <f>E18/100*10</f>
        <v>2369</v>
      </c>
      <c r="F36" s="28">
        <f t="shared" ref="F36:N36" si="11">F18/100*10</f>
        <v>2534</v>
      </c>
      <c r="G36" s="28">
        <f t="shared" si="11"/>
        <v>2532</v>
      </c>
      <c r="H36" s="28">
        <f t="shared" si="11"/>
        <v>2532</v>
      </c>
      <c r="I36" s="28">
        <f t="shared" si="11"/>
        <v>80</v>
      </c>
      <c r="J36" s="28">
        <f t="shared" si="11"/>
        <v>80</v>
      </c>
      <c r="K36" s="28">
        <f t="shared" si="11"/>
        <v>80</v>
      </c>
      <c r="L36" s="28">
        <f t="shared" si="11"/>
        <v>80</v>
      </c>
      <c r="M36" s="28">
        <f t="shared" si="11"/>
        <v>80</v>
      </c>
      <c r="N36" s="28">
        <f t="shared" si="11"/>
        <v>80</v>
      </c>
      <c r="O36" s="75">
        <f t="shared" si="9"/>
        <v>10447</v>
      </c>
      <c r="P36" s="71">
        <f>'PARAMENTOS '!E46</f>
        <v>200</v>
      </c>
      <c r="Q36" s="122" t="s">
        <v>62</v>
      </c>
    </row>
    <row r="37" spans="2:19" x14ac:dyDescent="0.25">
      <c r="B37" s="152"/>
      <c r="C37" s="197" t="s">
        <v>139</v>
      </c>
      <c r="D37" s="28"/>
      <c r="E37" s="28">
        <f>'FORMAÇÃO DOS VALORES'!$E$74</f>
        <v>208</v>
      </c>
      <c r="F37" s="28">
        <f>'FORMAÇÃO DOS VALORES'!$E$74</f>
        <v>208</v>
      </c>
      <c r="G37" s="28">
        <f>'FORMAÇÃO DOS VALORES'!$E$74</f>
        <v>208</v>
      </c>
      <c r="H37" s="28">
        <f>'FORMAÇÃO DOS VALORES'!$E$74</f>
        <v>208</v>
      </c>
      <c r="I37" s="28"/>
      <c r="J37" s="28"/>
      <c r="K37" s="28"/>
      <c r="L37" s="28"/>
      <c r="M37" s="28"/>
      <c r="N37" s="28"/>
      <c r="O37" s="75">
        <f t="shared" si="9"/>
        <v>832</v>
      </c>
      <c r="P37" s="74">
        <f>P36/I18*100</f>
        <v>25</v>
      </c>
      <c r="Q37" s="73" t="s">
        <v>63</v>
      </c>
    </row>
    <row r="38" spans="2:19" x14ac:dyDescent="0.25">
      <c r="B38" s="152"/>
      <c r="C38" s="197" t="s">
        <v>140</v>
      </c>
      <c r="D38" s="28"/>
      <c r="E38" s="28">
        <f>'FORMAÇÃO DOS VALORES'!$E$75</f>
        <v>312</v>
      </c>
      <c r="F38" s="28">
        <f>'FORMAÇÃO DOS VALORES'!$E$75</f>
        <v>312</v>
      </c>
      <c r="G38" s="28">
        <f>'FORMAÇÃO DOS VALORES'!$E$75</f>
        <v>312</v>
      </c>
      <c r="H38" s="28">
        <f>'FORMAÇÃO DOS VALORES'!$E$75</f>
        <v>312</v>
      </c>
      <c r="I38" s="28"/>
      <c r="J38" s="28"/>
      <c r="K38" s="28"/>
      <c r="L38" s="28"/>
      <c r="M38" s="28"/>
      <c r="N38" s="28"/>
      <c r="O38" s="75">
        <f t="shared" si="9"/>
        <v>1248</v>
      </c>
      <c r="P38" s="130" t="s">
        <v>113</v>
      </c>
      <c r="Q38" s="130"/>
      <c r="R38" s="131"/>
    </row>
    <row r="39" spans="2:19" x14ac:dyDescent="0.25">
      <c r="B39" s="152"/>
      <c r="C39" s="197" t="s">
        <v>141</v>
      </c>
      <c r="D39" s="28"/>
      <c r="E39" s="28">
        <f>'FORMAÇÃO DOS VALORES'!$E$76</f>
        <v>72.8</v>
      </c>
      <c r="F39" s="28">
        <f>'FORMAÇÃO DOS VALORES'!$E$76</f>
        <v>72.8</v>
      </c>
      <c r="G39" s="28">
        <f>'FORMAÇÃO DOS VALORES'!$E$76</f>
        <v>72.8</v>
      </c>
      <c r="H39" s="28">
        <f>'FORMAÇÃO DOS VALORES'!$E$76</f>
        <v>72.8</v>
      </c>
      <c r="I39" s="28"/>
      <c r="J39" s="28"/>
      <c r="K39" s="28"/>
      <c r="L39" s="28"/>
      <c r="M39" s="28"/>
      <c r="N39" s="28"/>
      <c r="O39" s="75">
        <f t="shared" si="9"/>
        <v>291.2</v>
      </c>
      <c r="P39" s="132" t="s">
        <v>16</v>
      </c>
      <c r="Q39" s="134">
        <f>'PARAMENTOS '!D51</f>
        <v>40</v>
      </c>
    </row>
    <row r="40" spans="2:19" x14ac:dyDescent="0.25">
      <c r="B40" s="154"/>
      <c r="C40" s="34" t="s">
        <v>143</v>
      </c>
      <c r="D40" s="28"/>
      <c r="E40" s="28">
        <f>'FORMAÇÃO DOS VALORES'!$E$77</f>
        <v>62.4</v>
      </c>
      <c r="F40" s="28">
        <f>'FORMAÇÃO DOS VALORES'!$E$77</f>
        <v>62.4</v>
      </c>
      <c r="G40" s="28">
        <f>'FORMAÇÃO DOS VALORES'!$E$77</f>
        <v>62.4</v>
      </c>
      <c r="H40" s="28">
        <f>'FORMAÇÃO DOS VALORES'!$E$77</f>
        <v>62.4</v>
      </c>
      <c r="I40" s="28"/>
      <c r="J40" s="28"/>
      <c r="K40" s="28"/>
      <c r="L40" s="28"/>
      <c r="M40" s="28"/>
      <c r="N40" s="28"/>
      <c r="O40" s="75">
        <f t="shared" si="9"/>
        <v>249.6</v>
      </c>
      <c r="P40" s="133" t="s">
        <v>17</v>
      </c>
      <c r="Q40" s="134">
        <f>'PARAMENTOS '!D52</f>
        <v>40</v>
      </c>
    </row>
    <row r="41" spans="2:19" x14ac:dyDescent="0.25">
      <c r="B41" s="154"/>
      <c r="C41" s="34" t="s">
        <v>148</v>
      </c>
      <c r="D41" s="28"/>
      <c r="E41" s="28">
        <f>'FORMAÇÃO DOS VALORES'!$E$78</f>
        <v>208</v>
      </c>
      <c r="F41" s="28">
        <f>'FORMAÇÃO DOS VALORES'!$E$78</f>
        <v>208</v>
      </c>
      <c r="G41" s="28">
        <f>'FORMAÇÃO DOS VALORES'!$E$78</f>
        <v>208</v>
      </c>
      <c r="H41" s="28">
        <f>'FORMAÇÃO DOS VALORES'!$E$78</f>
        <v>208</v>
      </c>
      <c r="I41" s="28"/>
      <c r="J41" s="28"/>
      <c r="K41" s="28"/>
      <c r="L41" s="28"/>
      <c r="M41" s="28"/>
      <c r="N41" s="28"/>
      <c r="O41" s="75">
        <f t="shared" si="9"/>
        <v>832</v>
      </c>
    </row>
    <row r="42" spans="2:19" x14ac:dyDescent="0.25">
      <c r="B42" s="154"/>
      <c r="C42" s="34" t="s">
        <v>149</v>
      </c>
      <c r="D42" s="28"/>
      <c r="E42" s="28">
        <f>'FORMAÇÃO DOS VALORES'!$E$79</f>
        <v>156</v>
      </c>
      <c r="F42" s="28">
        <f>'FORMAÇÃO DOS VALORES'!$E$79</f>
        <v>156</v>
      </c>
      <c r="G42" s="28">
        <f>'FORMAÇÃO DOS VALORES'!$E$79</f>
        <v>156</v>
      </c>
      <c r="H42" s="28">
        <f>'FORMAÇÃO DOS VALORES'!$E$79</f>
        <v>156</v>
      </c>
      <c r="I42" s="28"/>
      <c r="J42" s="28"/>
      <c r="K42" s="28"/>
      <c r="L42" s="28"/>
      <c r="M42" s="28"/>
      <c r="N42" s="28"/>
      <c r="O42" s="75">
        <f t="shared" si="9"/>
        <v>624</v>
      </c>
    </row>
    <row r="43" spans="2:19" x14ac:dyDescent="0.25">
      <c r="B43" s="154"/>
      <c r="C43" s="34" t="s">
        <v>184</v>
      </c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7"/>
      <c r="O43" s="75"/>
    </row>
    <row r="44" spans="2:19" ht="15.75" x14ac:dyDescent="0.3">
      <c r="B44" s="153"/>
      <c r="C44" s="176" t="s">
        <v>135</v>
      </c>
      <c r="D44" s="177">
        <f t="shared" ref="D44:O44" si="12">SUM(D33:D42)</f>
        <v>2292</v>
      </c>
      <c r="E44" s="177">
        <f t="shared" si="12"/>
        <v>15877.715618404389</v>
      </c>
      <c r="F44" s="177">
        <f t="shared" si="12"/>
        <v>15926.907049387926</v>
      </c>
      <c r="G44" s="177">
        <f t="shared" si="12"/>
        <v>15915.140903334739</v>
      </c>
      <c r="H44" s="177">
        <f t="shared" si="12"/>
        <v>15915.140903334739</v>
      </c>
      <c r="I44" s="177">
        <f t="shared" si="12"/>
        <v>470.64584212747997</v>
      </c>
      <c r="J44" s="177">
        <f t="shared" si="12"/>
        <v>470.64584212747997</v>
      </c>
      <c r="K44" s="177">
        <f t="shared" si="12"/>
        <v>470.64584212747997</v>
      </c>
      <c r="L44" s="177">
        <f t="shared" si="12"/>
        <v>470.64584212747997</v>
      </c>
      <c r="M44" s="177">
        <f t="shared" si="12"/>
        <v>470.64584212747997</v>
      </c>
      <c r="N44" s="177">
        <f t="shared" si="12"/>
        <v>470.64584212747997</v>
      </c>
      <c r="O44" s="177">
        <f t="shared" si="12"/>
        <v>68750.779527226681</v>
      </c>
    </row>
    <row r="45" spans="2:19" s="245" customFormat="1" ht="15.75" x14ac:dyDescent="0.3">
      <c r="B45" s="244"/>
      <c r="C45" s="246"/>
      <c r="D45" s="247"/>
      <c r="E45" s="247"/>
      <c r="F45" s="247"/>
      <c r="G45" s="247"/>
      <c r="H45" s="247"/>
      <c r="I45" s="247"/>
      <c r="J45" s="247"/>
      <c r="K45" s="247"/>
      <c r="L45" s="247"/>
      <c r="M45" s="247"/>
      <c r="N45" s="247"/>
      <c r="O45" s="247"/>
    </row>
    <row r="46" spans="2:19" s="245" customFormat="1" ht="15.75" x14ac:dyDescent="0.3">
      <c r="B46" s="244"/>
      <c r="C46" s="248" t="s">
        <v>211</v>
      </c>
      <c r="D46" s="249">
        <f>D18</f>
        <v>5730</v>
      </c>
      <c r="E46" s="249">
        <f t="shared" ref="E46:I46" si="13">E18</f>
        <v>23690</v>
      </c>
      <c r="F46" s="249">
        <f t="shared" si="13"/>
        <v>25340</v>
      </c>
      <c r="G46" s="249">
        <f t="shared" si="13"/>
        <v>25320</v>
      </c>
      <c r="H46" s="249">
        <f t="shared" si="13"/>
        <v>25320</v>
      </c>
      <c r="I46" s="249">
        <f t="shared" si="13"/>
        <v>800</v>
      </c>
      <c r="J46" s="249">
        <f t="shared" ref="J46:O46" si="14">J18</f>
        <v>800</v>
      </c>
      <c r="K46" s="249">
        <f t="shared" si="14"/>
        <v>800</v>
      </c>
      <c r="L46" s="249">
        <f t="shared" si="14"/>
        <v>800</v>
      </c>
      <c r="M46" s="249">
        <f t="shared" si="14"/>
        <v>800</v>
      </c>
      <c r="N46" s="249">
        <f t="shared" si="14"/>
        <v>800</v>
      </c>
      <c r="O46" s="249">
        <f t="shared" si="14"/>
        <v>110200</v>
      </c>
    </row>
    <row r="47" spans="2:19" s="245" customFormat="1" ht="15.75" x14ac:dyDescent="0.3">
      <c r="B47" s="244"/>
      <c r="C47" s="252" t="s">
        <v>212</v>
      </c>
      <c r="D47" s="253">
        <f>D28+D44</f>
        <v>3127.5</v>
      </c>
      <c r="E47" s="253">
        <f t="shared" ref="E47:I47" si="15">E28+E44</f>
        <v>19699.395618404389</v>
      </c>
      <c r="F47" s="253">
        <f t="shared" si="15"/>
        <v>19685.637049387926</v>
      </c>
      <c r="G47" s="253">
        <f t="shared" si="15"/>
        <v>19673.87090333474</v>
      </c>
      <c r="H47" s="253">
        <f t="shared" si="15"/>
        <v>19497.87090333474</v>
      </c>
      <c r="I47" s="253">
        <f t="shared" si="15"/>
        <v>1100.6458421274799</v>
      </c>
      <c r="J47" s="253">
        <f t="shared" ref="J47:O47" si="16">J28+J44</f>
        <v>500.64584212747997</v>
      </c>
      <c r="K47" s="253">
        <f t="shared" si="16"/>
        <v>500.64584212747997</v>
      </c>
      <c r="L47" s="253">
        <f t="shared" si="16"/>
        <v>500.64584212747997</v>
      </c>
      <c r="M47" s="253">
        <f t="shared" si="16"/>
        <v>500.64584212747997</v>
      </c>
      <c r="N47" s="253">
        <f t="shared" si="16"/>
        <v>470.64584212747997</v>
      </c>
      <c r="O47" s="253">
        <f t="shared" si="16"/>
        <v>84508.149527226677</v>
      </c>
    </row>
    <row r="48" spans="2:19" s="245" customFormat="1" x14ac:dyDescent="0.25">
      <c r="B48" s="244"/>
      <c r="C48" s="251" t="s">
        <v>213</v>
      </c>
      <c r="D48" s="250">
        <f>D47/D46*1</f>
        <v>0.54581151832460728</v>
      </c>
      <c r="E48" s="250">
        <f t="shared" ref="E48:I48" si="17">E47/E46*1</f>
        <v>0.83154899191238452</v>
      </c>
      <c r="F48" s="250">
        <f t="shared" si="17"/>
        <v>0.77686018348018648</v>
      </c>
      <c r="G48" s="250">
        <f t="shared" si="17"/>
        <v>0.7770091194050055</v>
      </c>
      <c r="H48" s="250">
        <f t="shared" si="17"/>
        <v>0.77005809254876545</v>
      </c>
      <c r="I48" s="250">
        <f t="shared" si="17"/>
        <v>1.3758073026593498</v>
      </c>
      <c r="J48" s="250">
        <f t="shared" ref="J48:O48" si="18">J47/J46*1</f>
        <v>0.62580730265934992</v>
      </c>
      <c r="K48" s="250">
        <f t="shared" si="18"/>
        <v>0.62580730265934992</v>
      </c>
      <c r="L48" s="250">
        <f t="shared" si="18"/>
        <v>0.62580730265934992</v>
      </c>
      <c r="M48" s="250">
        <f t="shared" si="18"/>
        <v>0.62580730265934992</v>
      </c>
      <c r="N48" s="250">
        <f t="shared" si="18"/>
        <v>0.58830730265934994</v>
      </c>
      <c r="O48" s="250">
        <f t="shared" si="18"/>
        <v>0.76686161095487004</v>
      </c>
    </row>
    <row r="49" spans="2:19" x14ac:dyDescent="0.25">
      <c r="D49" s="65"/>
      <c r="E49" s="65"/>
    </row>
    <row r="50" spans="2:19" ht="18.75" x14ac:dyDescent="0.3">
      <c r="B50" s="350" t="s">
        <v>202</v>
      </c>
      <c r="C50" s="351"/>
      <c r="D50" s="351"/>
      <c r="E50" s="351"/>
      <c r="F50" s="351"/>
      <c r="G50" s="351"/>
      <c r="H50" s="351"/>
      <c r="I50" s="351"/>
      <c r="J50" s="351"/>
      <c r="K50" s="351"/>
      <c r="L50" s="351"/>
      <c r="M50" s="351"/>
      <c r="N50" s="351"/>
      <c r="O50" s="352"/>
    </row>
    <row r="51" spans="2:19" x14ac:dyDescent="0.25">
      <c r="D51" s="172" t="s">
        <v>114</v>
      </c>
      <c r="E51" s="172" t="s">
        <v>22</v>
      </c>
      <c r="F51" s="172" t="s">
        <v>23</v>
      </c>
      <c r="G51" s="172" t="s">
        <v>24</v>
      </c>
      <c r="H51" s="172" t="s">
        <v>25</v>
      </c>
      <c r="I51" s="172" t="s">
        <v>26</v>
      </c>
      <c r="J51" s="172" t="s">
        <v>27</v>
      </c>
      <c r="K51" s="172" t="s">
        <v>216</v>
      </c>
      <c r="L51" s="172" t="s">
        <v>217</v>
      </c>
      <c r="M51" s="172" t="s">
        <v>218</v>
      </c>
      <c r="N51" s="172" t="s">
        <v>219</v>
      </c>
      <c r="O51" s="173" t="s">
        <v>2</v>
      </c>
    </row>
    <row r="52" spans="2:19" ht="15.75" x14ac:dyDescent="0.25">
      <c r="C52" s="234" t="s">
        <v>204</v>
      </c>
      <c r="D52" s="233">
        <f>D46-D47</f>
        <v>2602.5</v>
      </c>
      <c r="E52" s="233">
        <f t="shared" ref="E52:O52" si="19">E46-E47</f>
        <v>3990.6043815956109</v>
      </c>
      <c r="F52" s="233">
        <f t="shared" si="19"/>
        <v>5654.3629506120742</v>
      </c>
      <c r="G52" s="233">
        <f t="shared" si="19"/>
        <v>5646.1290966652596</v>
      </c>
      <c r="H52" s="233">
        <f t="shared" si="19"/>
        <v>5822.1290966652596</v>
      </c>
      <c r="I52" s="233">
        <f t="shared" si="19"/>
        <v>-300.64584212747991</v>
      </c>
      <c r="J52" s="233">
        <f t="shared" ref="J52:N52" si="20">J46-J47</f>
        <v>299.35415787252003</v>
      </c>
      <c r="K52" s="233">
        <f t="shared" si="20"/>
        <v>299.35415787252003</v>
      </c>
      <c r="L52" s="233">
        <f t="shared" si="20"/>
        <v>299.35415787252003</v>
      </c>
      <c r="M52" s="233">
        <f t="shared" si="20"/>
        <v>299.35415787252003</v>
      </c>
      <c r="N52" s="233">
        <f t="shared" si="20"/>
        <v>329.35415787252003</v>
      </c>
      <c r="O52" s="175">
        <f t="shared" si="19"/>
        <v>25691.850472773323</v>
      </c>
    </row>
    <row r="53" spans="2:19" ht="15.75" x14ac:dyDescent="0.25">
      <c r="C53" s="235" t="s">
        <v>203</v>
      </c>
      <c r="D53" s="76">
        <f>IF(D52&lt;0,"",D52/100*30)</f>
        <v>780.75</v>
      </c>
      <c r="E53" s="76">
        <f t="shared" ref="E53:O53" si="21">IF(E52&lt;0,"",E52/100*30)</f>
        <v>1197.1813144786834</v>
      </c>
      <c r="F53" s="76">
        <f t="shared" si="21"/>
        <v>1696.3088851836224</v>
      </c>
      <c r="G53" s="76">
        <f t="shared" si="21"/>
        <v>1693.8387289995781</v>
      </c>
      <c r="H53" s="76">
        <f t="shared" si="21"/>
        <v>1746.6387289995778</v>
      </c>
      <c r="I53" s="76" t="str">
        <f t="shared" si="21"/>
        <v/>
      </c>
      <c r="J53" s="76">
        <f t="shared" ref="J53:N53" si="22">IF(J52&lt;0,"",J52/100*30)</f>
        <v>89.806247361756007</v>
      </c>
      <c r="K53" s="76">
        <f t="shared" si="22"/>
        <v>89.806247361756007</v>
      </c>
      <c r="L53" s="76">
        <f t="shared" si="22"/>
        <v>89.806247361756007</v>
      </c>
      <c r="M53" s="76">
        <f t="shared" si="22"/>
        <v>89.806247361756007</v>
      </c>
      <c r="N53" s="76">
        <f t="shared" si="22"/>
        <v>98.806247361756022</v>
      </c>
      <c r="O53" s="236">
        <f t="shared" si="21"/>
        <v>7707.5551418319974</v>
      </c>
      <c r="P53" s="65"/>
    </row>
    <row r="54" spans="2:19" x14ac:dyDescent="0.25">
      <c r="C54" s="235" t="s">
        <v>235</v>
      </c>
      <c r="D54" s="76">
        <f>IF(D52&lt;0,"",D52/100*5)</f>
        <v>130.125</v>
      </c>
      <c r="E54" s="76">
        <f t="shared" ref="E54:O54" si="23">IF(E52&lt;0,"",E52/100*5)</f>
        <v>199.53021907978055</v>
      </c>
      <c r="F54" s="76">
        <f t="shared" si="23"/>
        <v>282.71814753060374</v>
      </c>
      <c r="G54" s="76">
        <f t="shared" si="23"/>
        <v>282.30645483326299</v>
      </c>
      <c r="H54" s="76">
        <f t="shared" si="23"/>
        <v>291.106454833263</v>
      </c>
      <c r="I54" s="76" t="str">
        <f t="shared" si="23"/>
        <v/>
      </c>
      <c r="J54" s="76">
        <f t="shared" si="23"/>
        <v>14.967707893626001</v>
      </c>
      <c r="K54" s="76">
        <f t="shared" si="23"/>
        <v>14.967707893626001</v>
      </c>
      <c r="L54" s="76">
        <f t="shared" si="23"/>
        <v>14.967707893626001</v>
      </c>
      <c r="M54" s="76">
        <f t="shared" si="23"/>
        <v>14.967707893626001</v>
      </c>
      <c r="N54" s="76">
        <f t="shared" si="23"/>
        <v>16.467707893626002</v>
      </c>
      <c r="O54" s="76">
        <f t="shared" si="23"/>
        <v>1284.5925236386663</v>
      </c>
      <c r="P54" s="65"/>
    </row>
    <row r="55" spans="2:19" x14ac:dyDescent="0.25">
      <c r="C55" s="237" t="s">
        <v>234</v>
      </c>
      <c r="D55" s="233">
        <f>IF(D52&lt;0,"",D52-D53-D54)</f>
        <v>1691.625</v>
      </c>
      <c r="E55" s="233">
        <f t="shared" ref="E55:O55" si="24">IF(E52&lt;0,"",E52-E53-E54)</f>
        <v>2593.8928480371469</v>
      </c>
      <c r="F55" s="233">
        <f t="shared" si="24"/>
        <v>3675.335917897848</v>
      </c>
      <c r="G55" s="233">
        <f t="shared" si="24"/>
        <v>3669.9839128324184</v>
      </c>
      <c r="H55" s="233">
        <f t="shared" si="24"/>
        <v>3784.3839128324189</v>
      </c>
      <c r="I55" s="233" t="str">
        <f t="shared" si="24"/>
        <v/>
      </c>
      <c r="J55" s="233">
        <f t="shared" si="24"/>
        <v>194.58020261713804</v>
      </c>
      <c r="K55" s="233">
        <f t="shared" si="24"/>
        <v>194.58020261713804</v>
      </c>
      <c r="L55" s="233">
        <f t="shared" si="24"/>
        <v>194.58020261713804</v>
      </c>
      <c r="M55" s="233">
        <f t="shared" si="24"/>
        <v>194.58020261713804</v>
      </c>
      <c r="N55" s="233">
        <f t="shared" si="24"/>
        <v>214.08020261713801</v>
      </c>
      <c r="O55" s="233">
        <f t="shared" si="24"/>
        <v>16699.702807302663</v>
      </c>
    </row>
    <row r="56" spans="2:19" x14ac:dyDescent="0.25">
      <c r="C56" s="212" t="s">
        <v>213</v>
      </c>
      <c r="D56" s="254">
        <f>IF(D55="","",D55/D18*1)</f>
        <v>0.29522251308900521</v>
      </c>
      <c r="E56" s="254">
        <f t="shared" ref="E56:O56" si="25">IF(E55="","",E55/E18*1)</f>
        <v>0.10949315525695005</v>
      </c>
      <c r="F56" s="254">
        <f t="shared" si="25"/>
        <v>0.14504088073787877</v>
      </c>
      <c r="G56" s="254">
        <f t="shared" si="25"/>
        <v>0.14494407238674639</v>
      </c>
      <c r="H56" s="254">
        <f t="shared" si="25"/>
        <v>0.14946223984330248</v>
      </c>
      <c r="I56" s="254" t="str">
        <f t="shared" si="25"/>
        <v/>
      </c>
      <c r="J56" s="254">
        <f t="shared" ref="J56:N56" si="26">IF(J55="","",J55/J18*1)</f>
        <v>0.24322525327142255</v>
      </c>
      <c r="K56" s="254">
        <f t="shared" si="26"/>
        <v>0.24322525327142255</v>
      </c>
      <c r="L56" s="254">
        <f t="shared" si="26"/>
        <v>0.24322525327142255</v>
      </c>
      <c r="M56" s="254">
        <f t="shared" si="26"/>
        <v>0.24322525327142255</v>
      </c>
      <c r="N56" s="254">
        <f t="shared" si="26"/>
        <v>0.26760025327142251</v>
      </c>
      <c r="O56" s="254">
        <f t="shared" si="25"/>
        <v>0.1515399528793345</v>
      </c>
      <c r="P56" s="174"/>
      <c r="Q56" s="174"/>
      <c r="R56" s="174"/>
      <c r="S56" s="174"/>
    </row>
    <row r="57" spans="2:19" ht="15.75" x14ac:dyDescent="0.25">
      <c r="D57" s="174"/>
      <c r="M57" s="255" t="s">
        <v>154</v>
      </c>
      <c r="N57" s="271"/>
      <c r="O57" s="256">
        <f>SUM(D56:N56)/7</f>
        <v>0.29780916109585653</v>
      </c>
    </row>
  </sheetData>
  <mergeCells count="18">
    <mergeCell ref="B50:O50"/>
    <mergeCell ref="B30:O30"/>
    <mergeCell ref="B31:C31"/>
    <mergeCell ref="D31:H31"/>
    <mergeCell ref="I31:N31"/>
    <mergeCell ref="Q31:R31"/>
    <mergeCell ref="I5:N5"/>
    <mergeCell ref="D11:G11"/>
    <mergeCell ref="B2:O2"/>
    <mergeCell ref="B20:O20"/>
    <mergeCell ref="B21:C21"/>
    <mergeCell ref="D21:H21"/>
    <mergeCell ref="I21:N21"/>
    <mergeCell ref="B4:O4"/>
    <mergeCell ref="B5:C5"/>
    <mergeCell ref="B9:B10"/>
    <mergeCell ref="B6:B7"/>
    <mergeCell ref="D5:H5"/>
  </mergeCells>
  <conditionalFormatting sqref="O33:O34 E33:N33">
    <cfRule type="cellIs" dxfId="380" priority="10" operator="greaterThan">
      <formula>0</formula>
    </cfRule>
  </conditionalFormatting>
  <conditionalFormatting sqref="E34:N34">
    <cfRule type="cellIs" dxfId="379" priority="6" operator="greaterThan">
      <formula>0</formula>
    </cfRule>
  </conditionalFormatting>
  <conditionalFormatting sqref="D55:O55">
    <cfRule type="cellIs" dxfId="378" priority="2" operator="greaterThan">
      <formula>0</formula>
    </cfRule>
  </conditionalFormatting>
  <conditionalFormatting sqref="D52:O52">
    <cfRule type="cellIs" dxfId="377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O13:O14 E18 F35" formula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2"/>
  <sheetViews>
    <sheetView topLeftCell="A10" zoomScale="110" zoomScaleNormal="110" workbookViewId="0">
      <selection activeCell="I9" sqref="I9"/>
    </sheetView>
  </sheetViews>
  <sheetFormatPr defaultRowHeight="15" x14ac:dyDescent="0.25"/>
  <cols>
    <col min="1" max="1" width="45.5703125" style="178" customWidth="1"/>
    <col min="2" max="3" width="14.42578125" style="178" bestFit="1" customWidth="1"/>
    <col min="4" max="5" width="13.140625" style="178" customWidth="1"/>
    <col min="6" max="6" width="47.42578125" style="178" bestFit="1" customWidth="1"/>
    <col min="7" max="7" width="15.7109375" style="178" bestFit="1" customWidth="1"/>
    <col min="8" max="8" width="14.42578125" style="178" bestFit="1" customWidth="1"/>
    <col min="9" max="9" width="14.7109375" style="178" bestFit="1" customWidth="1"/>
    <col min="10" max="10" width="13.140625" style="178" customWidth="1"/>
    <col min="11" max="11" width="47.42578125" style="178" bestFit="1" customWidth="1"/>
    <col min="12" max="12" width="14.42578125" style="178" bestFit="1" customWidth="1"/>
    <col min="13" max="13" width="13.140625" style="178" customWidth="1"/>
    <col min="14" max="14" width="14.7109375" style="178" bestFit="1" customWidth="1"/>
    <col min="15" max="15" width="13.140625" style="178" customWidth="1"/>
    <col min="16" max="16" width="47.42578125" style="178" bestFit="1" customWidth="1"/>
    <col min="17" max="17" width="14.7109375" style="178" customWidth="1"/>
    <col min="18" max="18" width="13.140625" style="178" customWidth="1"/>
    <col min="19" max="19" width="14.7109375" style="178" bestFit="1" customWidth="1"/>
    <col min="20" max="20" width="13.140625" style="178" customWidth="1"/>
    <col min="21" max="21" width="47.42578125" style="178" bestFit="1" customWidth="1"/>
    <col min="22" max="22" width="14.7109375" style="178" bestFit="1" customWidth="1"/>
    <col min="23" max="23" width="13.140625" style="178" customWidth="1"/>
    <col min="24" max="24" width="14.7109375" style="178" bestFit="1" customWidth="1"/>
    <col min="25" max="25" width="13.140625" style="178" customWidth="1"/>
    <col min="26" max="26" width="47.42578125" style="178" bestFit="1" customWidth="1"/>
    <col min="27" max="30" width="13.140625" style="178" customWidth="1"/>
    <col min="31" max="31" width="47.42578125" style="178" bestFit="1" customWidth="1"/>
    <col min="32" max="35" width="13.140625" style="178" customWidth="1"/>
    <col min="36" max="36" width="15.85546875" style="178" bestFit="1" customWidth="1"/>
    <col min="37" max="37" width="16.42578125" style="178" bestFit="1" customWidth="1"/>
    <col min="38" max="38" width="15.85546875" style="178" bestFit="1" customWidth="1"/>
    <col min="39" max="39" width="16.42578125" style="178" customWidth="1"/>
    <col min="40" max="40" width="16.42578125" style="178" bestFit="1" customWidth="1"/>
    <col min="41" max="16384" width="9.140625" style="178"/>
  </cols>
  <sheetData>
    <row r="1" spans="1:40" ht="26.25" customHeight="1" thickBot="1" x14ac:dyDescent="0.3">
      <c r="A1" s="369" t="s">
        <v>155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0"/>
      <c r="X1" s="370"/>
      <c r="Y1" s="370"/>
      <c r="Z1" s="370"/>
      <c r="AA1" s="370"/>
      <c r="AB1" s="370"/>
      <c r="AC1" s="370"/>
      <c r="AD1" s="371"/>
      <c r="AE1" s="210"/>
    </row>
    <row r="2" spans="1:40" s="179" customFormat="1" ht="15" customHeight="1" x14ac:dyDescent="0.25">
      <c r="A2" s="372" t="s">
        <v>165</v>
      </c>
      <c r="B2" s="363" t="s">
        <v>177</v>
      </c>
      <c r="C2" s="364"/>
      <c r="D2" s="364"/>
      <c r="E2" s="365"/>
      <c r="F2" s="356" t="s">
        <v>178</v>
      </c>
      <c r="G2" s="357"/>
      <c r="H2" s="357"/>
      <c r="I2" s="357"/>
      <c r="J2" s="358"/>
      <c r="K2" s="356" t="s">
        <v>179</v>
      </c>
      <c r="L2" s="357"/>
      <c r="M2" s="357"/>
      <c r="N2" s="357"/>
      <c r="O2" s="358"/>
      <c r="P2" s="356" t="s">
        <v>180</v>
      </c>
      <c r="Q2" s="357"/>
      <c r="R2" s="357"/>
      <c r="S2" s="357"/>
      <c r="T2" s="358"/>
      <c r="U2" s="356" t="s">
        <v>181</v>
      </c>
      <c r="V2" s="357"/>
      <c r="W2" s="357"/>
      <c r="X2" s="357"/>
      <c r="Y2" s="358"/>
      <c r="Z2" s="356" t="s">
        <v>182</v>
      </c>
      <c r="AA2" s="357"/>
      <c r="AB2" s="357"/>
      <c r="AC2" s="357"/>
      <c r="AD2" s="358"/>
      <c r="AE2" s="356" t="s">
        <v>183</v>
      </c>
      <c r="AF2" s="357"/>
      <c r="AG2" s="357"/>
      <c r="AH2" s="357"/>
      <c r="AI2" s="358"/>
    </row>
    <row r="3" spans="1:40" ht="15" customHeight="1" thickBot="1" x14ac:dyDescent="0.3">
      <c r="A3" s="373"/>
      <c r="B3" s="366"/>
      <c r="C3" s="367"/>
      <c r="D3" s="367"/>
      <c r="E3" s="368"/>
      <c r="F3" s="359"/>
      <c r="G3" s="360"/>
      <c r="H3" s="360"/>
      <c r="I3" s="360"/>
      <c r="J3" s="361"/>
      <c r="K3" s="359"/>
      <c r="L3" s="360"/>
      <c r="M3" s="360"/>
      <c r="N3" s="360"/>
      <c r="O3" s="361"/>
      <c r="P3" s="359"/>
      <c r="Q3" s="360"/>
      <c r="R3" s="360"/>
      <c r="S3" s="360"/>
      <c r="T3" s="361"/>
      <c r="U3" s="359"/>
      <c r="V3" s="360"/>
      <c r="W3" s="360"/>
      <c r="X3" s="360"/>
      <c r="Y3" s="361"/>
      <c r="Z3" s="359"/>
      <c r="AA3" s="360"/>
      <c r="AB3" s="360"/>
      <c r="AC3" s="360"/>
      <c r="AD3" s="361"/>
      <c r="AE3" s="359"/>
      <c r="AF3" s="360"/>
      <c r="AG3" s="360"/>
      <c r="AH3" s="360"/>
      <c r="AI3" s="361"/>
    </row>
    <row r="4" spans="1:40" ht="18.75" x14ac:dyDescent="0.4">
      <c r="A4" s="193" t="s">
        <v>158</v>
      </c>
      <c r="B4" s="190" t="s">
        <v>156</v>
      </c>
      <c r="C4" s="191" t="s">
        <v>157</v>
      </c>
      <c r="D4" s="192" t="s">
        <v>166</v>
      </c>
      <c r="E4" s="188" t="s">
        <v>167</v>
      </c>
      <c r="F4" s="193" t="s">
        <v>158</v>
      </c>
      <c r="G4" s="190" t="s">
        <v>156</v>
      </c>
      <c r="H4" s="191" t="s">
        <v>157</v>
      </c>
      <c r="I4" s="192" t="s">
        <v>166</v>
      </c>
      <c r="J4" s="188" t="s">
        <v>167</v>
      </c>
      <c r="K4" s="193" t="s">
        <v>158</v>
      </c>
      <c r="L4" s="190" t="s">
        <v>156</v>
      </c>
      <c r="M4" s="191" t="s">
        <v>157</v>
      </c>
      <c r="N4" s="192" t="s">
        <v>166</v>
      </c>
      <c r="O4" s="188" t="s">
        <v>167</v>
      </c>
      <c r="P4" s="193" t="s">
        <v>158</v>
      </c>
      <c r="Q4" s="190" t="s">
        <v>156</v>
      </c>
      <c r="R4" s="191" t="s">
        <v>157</v>
      </c>
      <c r="S4" s="192" t="s">
        <v>166</v>
      </c>
      <c r="T4" s="188" t="s">
        <v>167</v>
      </c>
      <c r="U4" s="193" t="s">
        <v>158</v>
      </c>
      <c r="V4" s="190" t="s">
        <v>156</v>
      </c>
      <c r="W4" s="191" t="s">
        <v>157</v>
      </c>
      <c r="X4" s="192" t="s">
        <v>166</v>
      </c>
      <c r="Y4" s="188" t="s">
        <v>167</v>
      </c>
      <c r="Z4" s="193" t="s">
        <v>158</v>
      </c>
      <c r="AA4" s="190" t="s">
        <v>156</v>
      </c>
      <c r="AB4" s="191" t="s">
        <v>157</v>
      </c>
      <c r="AC4" s="192" t="s">
        <v>166</v>
      </c>
      <c r="AD4" s="188" t="s">
        <v>167</v>
      </c>
      <c r="AE4" s="193" t="s">
        <v>158</v>
      </c>
      <c r="AF4" s="190" t="s">
        <v>156</v>
      </c>
      <c r="AG4" s="191" t="s">
        <v>157</v>
      </c>
      <c r="AH4" s="192" t="s">
        <v>166</v>
      </c>
      <c r="AI4" s="188" t="s">
        <v>167</v>
      </c>
    </row>
    <row r="5" spans="1:40" s="180" customFormat="1" x14ac:dyDescent="0.25">
      <c r="A5" s="194" t="s">
        <v>9</v>
      </c>
      <c r="B5" s="208">
        <f>'ESTIMATIVA ANUAL'!D12</f>
        <v>4200</v>
      </c>
      <c r="C5" s="208">
        <v>5000</v>
      </c>
      <c r="D5" s="204">
        <f>C5-B5</f>
        <v>800</v>
      </c>
      <c r="E5" s="205">
        <f>IF(D5=C5,"",IF(D5="","",D5/B5*1))</f>
        <v>0.19047619047619047</v>
      </c>
      <c r="F5" s="194" t="s">
        <v>9</v>
      </c>
      <c r="G5" s="208">
        <f>'ESTIMATIVA ANUAL'!E12</f>
        <v>600</v>
      </c>
      <c r="H5" s="208">
        <v>3000</v>
      </c>
      <c r="I5" s="204">
        <f>H5-G5</f>
        <v>2400</v>
      </c>
      <c r="J5" s="205">
        <f>IF(I5=H5,"",IF(H5=0,"",I5/G5*1))</f>
        <v>4</v>
      </c>
      <c r="K5" s="194" t="s">
        <v>9</v>
      </c>
      <c r="L5" s="208">
        <f>'ESTIMATIVA ANUAL'!F12</f>
        <v>0</v>
      </c>
      <c r="M5" s="208">
        <v>3000</v>
      </c>
      <c r="N5" s="204">
        <f>M5-L5</f>
        <v>3000</v>
      </c>
      <c r="O5" s="205" t="str">
        <f>IF(N5=M5,"",IF(M5="","",N5/L5*1))</f>
        <v/>
      </c>
      <c r="P5" s="194" t="s">
        <v>9</v>
      </c>
      <c r="Q5" s="208">
        <f>'ESTIMATIVA ANUAL'!G12</f>
        <v>0</v>
      </c>
      <c r="R5" s="208"/>
      <c r="S5" s="204">
        <f>R5-Q5</f>
        <v>0</v>
      </c>
      <c r="T5" s="205" t="str">
        <f>IF(S5=R5,"",IF(Q5="","",S5/Q5*1))</f>
        <v/>
      </c>
      <c r="U5" s="194" t="s">
        <v>9</v>
      </c>
      <c r="V5" s="208">
        <f>'ESTIMATIVA ANUAL'!H12</f>
        <v>0</v>
      </c>
      <c r="W5" s="208">
        <v>3000</v>
      </c>
      <c r="X5" s="204">
        <f>W5-V5</f>
        <v>3000</v>
      </c>
      <c r="Y5" s="205" t="str">
        <f>IF(X5=W5,"",IF(V5="","",X5/V5*1))</f>
        <v/>
      </c>
      <c r="Z5" s="194" t="s">
        <v>9</v>
      </c>
      <c r="AA5" s="208">
        <f>'ESTIMATIVA ANUAL'!I12</f>
        <v>0</v>
      </c>
      <c r="AB5" s="208">
        <v>3000</v>
      </c>
      <c r="AC5" s="204">
        <f>AB5-AA5</f>
        <v>3000</v>
      </c>
      <c r="AD5" s="205" t="str">
        <f>IF(AC5=AB5,"",IF(AA5="","",AC5/AA5*1))</f>
        <v/>
      </c>
      <c r="AE5" s="194" t="s">
        <v>9</v>
      </c>
      <c r="AF5" s="208">
        <f>'ESTIMATIVA ANUAL'!N12</f>
        <v>0</v>
      </c>
      <c r="AG5" s="208">
        <v>3000</v>
      </c>
      <c r="AH5" s="204">
        <f>AG5-AF5</f>
        <v>3000</v>
      </c>
      <c r="AI5" s="205" t="str">
        <f>IF(AH5=AG5,"",IF(AF5="","",AH5/AF5*1))</f>
        <v/>
      </c>
    </row>
    <row r="6" spans="1:40" s="180" customFormat="1" x14ac:dyDescent="0.25">
      <c r="A6" s="194" t="s">
        <v>10</v>
      </c>
      <c r="B6" s="208">
        <f>'ESTIMATIVA ANUAL'!D13</f>
        <v>0</v>
      </c>
      <c r="C6" s="208">
        <v>100</v>
      </c>
      <c r="D6" s="204">
        <f t="shared" ref="D6:D13" si="0">C6-B6</f>
        <v>100</v>
      </c>
      <c r="E6" s="205" t="str">
        <f t="shared" ref="E6:E21" si="1">IF(D6=C6,"",IF(D6="","",D6/B6*1))</f>
        <v/>
      </c>
      <c r="F6" s="194" t="s">
        <v>10</v>
      </c>
      <c r="G6" s="208">
        <f>'ESTIMATIVA ANUAL'!E13</f>
        <v>16800</v>
      </c>
      <c r="H6" s="208"/>
      <c r="I6" s="204">
        <f t="shared" ref="I6:I13" si="2">H6-G6</f>
        <v>-16800</v>
      </c>
      <c r="J6" s="205" t="str">
        <f t="shared" ref="J6:J13" si="3">IF(I6=H6,"",IF(H6=0,"",I6/G6*1))</f>
        <v/>
      </c>
      <c r="K6" s="194" t="s">
        <v>10</v>
      </c>
      <c r="L6" s="208">
        <f>'ESTIMATIVA ANUAL'!F13</f>
        <v>19200</v>
      </c>
      <c r="M6" s="208"/>
      <c r="N6" s="204">
        <f t="shared" ref="N6:N13" si="4">M6-L6</f>
        <v>-19200</v>
      </c>
      <c r="O6" s="205" t="str">
        <f t="shared" ref="O6:O13" si="5">IF(N6=M6,"",IF(M6="","",N6/L6*1))</f>
        <v/>
      </c>
      <c r="P6" s="194" t="s">
        <v>10</v>
      </c>
      <c r="Q6" s="208">
        <f>'ESTIMATIVA ANUAL'!G13</f>
        <v>19200</v>
      </c>
      <c r="R6" s="208"/>
      <c r="S6" s="204">
        <f t="shared" ref="S6:S13" si="6">R6-Q6</f>
        <v>-19200</v>
      </c>
      <c r="T6" s="205">
        <f t="shared" ref="T6:T13" si="7">IF(S6=R6,"",IF(Q6="","",S6/Q6*1))</f>
        <v>-1</v>
      </c>
      <c r="U6" s="194" t="s">
        <v>10</v>
      </c>
      <c r="V6" s="208">
        <f>'ESTIMATIVA ANUAL'!H13</f>
        <v>19200</v>
      </c>
      <c r="W6" s="208"/>
      <c r="X6" s="204">
        <f t="shared" ref="X6:X13" si="8">W6-V6</f>
        <v>-19200</v>
      </c>
      <c r="Y6" s="205">
        <f t="shared" ref="Y6:Y13" si="9">IF(X6=W6,"",IF(V6="","",X6/V6*1))</f>
        <v>-1</v>
      </c>
      <c r="Z6" s="194" t="s">
        <v>10</v>
      </c>
      <c r="AA6" s="208">
        <f>'ESTIMATIVA ANUAL'!I13</f>
        <v>800</v>
      </c>
      <c r="AB6" s="208"/>
      <c r="AC6" s="204">
        <f t="shared" ref="AC6:AC13" si="10">AB6-AA6</f>
        <v>-800</v>
      </c>
      <c r="AD6" s="205">
        <f t="shared" ref="AD6:AD13" si="11">IF(AC6=AB6,"",IF(AA6="","",AC6/AA6*1))</f>
        <v>-1</v>
      </c>
      <c r="AE6" s="194" t="s">
        <v>10</v>
      </c>
      <c r="AF6" s="208">
        <f>'ESTIMATIVA ANUAL'!N13</f>
        <v>800</v>
      </c>
      <c r="AG6" s="208"/>
      <c r="AH6" s="204">
        <f t="shared" ref="AH6:AH13" si="12">AG6-AF6</f>
        <v>-800</v>
      </c>
      <c r="AI6" s="205">
        <f t="shared" ref="AI6:AI12" si="13">IF(AH6=AG6,"",IF(AF6="","",AH6/AF6*1))</f>
        <v>-1</v>
      </c>
    </row>
    <row r="7" spans="1:40" s="180" customFormat="1" x14ac:dyDescent="0.25">
      <c r="A7" s="194" t="s">
        <v>11</v>
      </c>
      <c r="B7" s="208">
        <f>'ESTIMATIVA ANUAL'!D14</f>
        <v>1530</v>
      </c>
      <c r="C7" s="208"/>
      <c r="D7" s="204">
        <f t="shared" si="0"/>
        <v>-1530</v>
      </c>
      <c r="E7" s="205">
        <f t="shared" si="1"/>
        <v>-1</v>
      </c>
      <c r="F7" s="194" t="s">
        <v>11</v>
      </c>
      <c r="G7" s="208">
        <f>'ESTIMATIVA ANUAL'!E14</f>
        <v>0</v>
      </c>
      <c r="H7" s="208"/>
      <c r="I7" s="204">
        <f t="shared" si="2"/>
        <v>0</v>
      </c>
      <c r="J7" s="205" t="str">
        <f t="shared" si="3"/>
        <v/>
      </c>
      <c r="K7" s="194" t="s">
        <v>11</v>
      </c>
      <c r="L7" s="208">
        <f>'ESTIMATIVA ANUAL'!F14</f>
        <v>0</v>
      </c>
      <c r="M7" s="208"/>
      <c r="N7" s="204">
        <f t="shared" si="4"/>
        <v>0</v>
      </c>
      <c r="O7" s="205" t="str">
        <f t="shared" si="5"/>
        <v/>
      </c>
      <c r="P7" s="194" t="s">
        <v>11</v>
      </c>
      <c r="Q7" s="208">
        <f>'ESTIMATIVA ANUAL'!G14</f>
        <v>0</v>
      </c>
      <c r="R7" s="208"/>
      <c r="S7" s="204">
        <f t="shared" si="6"/>
        <v>0</v>
      </c>
      <c r="T7" s="205" t="str">
        <f t="shared" si="7"/>
        <v/>
      </c>
      <c r="U7" s="194" t="s">
        <v>11</v>
      </c>
      <c r="V7" s="208">
        <f>'ESTIMATIVA ANUAL'!H14</f>
        <v>0</v>
      </c>
      <c r="W7" s="208"/>
      <c r="X7" s="204">
        <f t="shared" si="8"/>
        <v>0</v>
      </c>
      <c r="Y7" s="205" t="str">
        <f t="shared" si="9"/>
        <v/>
      </c>
      <c r="Z7" s="194" t="s">
        <v>11</v>
      </c>
      <c r="AA7" s="208">
        <f>'ESTIMATIVA ANUAL'!I14</f>
        <v>0</v>
      </c>
      <c r="AB7" s="208"/>
      <c r="AC7" s="204">
        <f t="shared" si="10"/>
        <v>0</v>
      </c>
      <c r="AD7" s="205" t="str">
        <f t="shared" si="11"/>
        <v/>
      </c>
      <c r="AE7" s="194" t="s">
        <v>11</v>
      </c>
      <c r="AF7" s="208">
        <f>'ESTIMATIVA ANUAL'!N14</f>
        <v>0</v>
      </c>
      <c r="AG7" s="208"/>
      <c r="AH7" s="204">
        <f t="shared" si="12"/>
        <v>0</v>
      </c>
      <c r="AI7" s="205" t="str">
        <f t="shared" si="13"/>
        <v/>
      </c>
    </row>
    <row r="8" spans="1:40" s="180" customFormat="1" x14ac:dyDescent="0.25">
      <c r="A8" s="194" t="s">
        <v>8</v>
      </c>
      <c r="B8" s="208">
        <f>'ESTIMATIVA ANUAL'!D15</f>
        <v>0</v>
      </c>
      <c r="C8" s="208"/>
      <c r="D8" s="204">
        <f t="shared" si="0"/>
        <v>0</v>
      </c>
      <c r="E8" s="205" t="str">
        <f t="shared" si="1"/>
        <v/>
      </c>
      <c r="F8" s="194" t="s">
        <v>8</v>
      </c>
      <c r="G8" s="208">
        <f>'ESTIMATIVA ANUAL'!E15</f>
        <v>6120</v>
      </c>
      <c r="H8" s="208"/>
      <c r="I8" s="204">
        <f t="shared" si="2"/>
        <v>-6120</v>
      </c>
      <c r="J8" s="205" t="str">
        <f t="shared" si="3"/>
        <v/>
      </c>
      <c r="K8" s="194" t="s">
        <v>8</v>
      </c>
      <c r="L8" s="208">
        <f>'ESTIMATIVA ANUAL'!F15</f>
        <v>6120</v>
      </c>
      <c r="M8" s="208"/>
      <c r="N8" s="204">
        <f t="shared" si="4"/>
        <v>-6120</v>
      </c>
      <c r="O8" s="205" t="str">
        <f t="shared" si="5"/>
        <v/>
      </c>
      <c r="P8" s="194" t="s">
        <v>8</v>
      </c>
      <c r="Q8" s="208">
        <f>'ESTIMATIVA ANUAL'!G15</f>
        <v>6120</v>
      </c>
      <c r="R8" s="208"/>
      <c r="S8" s="204">
        <f t="shared" si="6"/>
        <v>-6120</v>
      </c>
      <c r="T8" s="205">
        <f t="shared" si="7"/>
        <v>-1</v>
      </c>
      <c r="U8" s="194" t="s">
        <v>8</v>
      </c>
      <c r="V8" s="208">
        <f>'ESTIMATIVA ANUAL'!H15</f>
        <v>6120</v>
      </c>
      <c r="W8" s="208"/>
      <c r="X8" s="204">
        <f t="shared" si="8"/>
        <v>-6120</v>
      </c>
      <c r="Y8" s="205">
        <f t="shared" si="9"/>
        <v>-1</v>
      </c>
      <c r="Z8" s="194" t="s">
        <v>8</v>
      </c>
      <c r="AA8" s="208">
        <f>'ESTIMATIVA ANUAL'!I15</f>
        <v>0</v>
      </c>
      <c r="AB8" s="208"/>
      <c r="AC8" s="204">
        <f t="shared" si="10"/>
        <v>0</v>
      </c>
      <c r="AD8" s="205" t="str">
        <f t="shared" si="11"/>
        <v/>
      </c>
      <c r="AE8" s="194" t="s">
        <v>8</v>
      </c>
      <c r="AF8" s="208">
        <f>'ESTIMATIVA ANUAL'!N15</f>
        <v>0</v>
      </c>
      <c r="AG8" s="208"/>
      <c r="AH8" s="204">
        <f t="shared" si="12"/>
        <v>0</v>
      </c>
      <c r="AI8" s="205" t="str">
        <f t="shared" si="13"/>
        <v/>
      </c>
    </row>
    <row r="9" spans="1:40" s="180" customFormat="1" x14ac:dyDescent="0.25">
      <c r="A9" s="194" t="s">
        <v>118</v>
      </c>
      <c r="B9" s="208">
        <f>'ESTIMATIVA ANUAL'!D16</f>
        <v>0</v>
      </c>
      <c r="C9" s="208"/>
      <c r="D9" s="204">
        <f t="shared" si="0"/>
        <v>0</v>
      </c>
      <c r="E9" s="205" t="str">
        <f t="shared" si="1"/>
        <v/>
      </c>
      <c r="F9" s="194" t="s">
        <v>118</v>
      </c>
      <c r="G9" s="208">
        <f>'ESTIMATIVA ANUAL'!E16</f>
        <v>140</v>
      </c>
      <c r="H9" s="208">
        <v>90</v>
      </c>
      <c r="I9" s="204">
        <f t="shared" si="2"/>
        <v>-50</v>
      </c>
      <c r="J9" s="205">
        <f t="shared" si="3"/>
        <v>-0.35714285714285715</v>
      </c>
      <c r="K9" s="194" t="s">
        <v>118</v>
      </c>
      <c r="L9" s="208">
        <f>'ESTIMATIVA ANUAL'!F16</f>
        <v>20</v>
      </c>
      <c r="M9" s="208">
        <v>90</v>
      </c>
      <c r="N9" s="204">
        <f t="shared" si="4"/>
        <v>70</v>
      </c>
      <c r="O9" s="205">
        <f t="shared" si="5"/>
        <v>3.5</v>
      </c>
      <c r="P9" s="194" t="s">
        <v>118</v>
      </c>
      <c r="Q9" s="208">
        <f>'ESTIMATIVA ANUAL'!G16</f>
        <v>0</v>
      </c>
      <c r="R9" s="208"/>
      <c r="S9" s="204">
        <f t="shared" si="6"/>
        <v>0</v>
      </c>
      <c r="T9" s="205" t="str">
        <f t="shared" si="7"/>
        <v/>
      </c>
      <c r="U9" s="194" t="s">
        <v>118</v>
      </c>
      <c r="V9" s="208">
        <f>'ESTIMATIVA ANUAL'!H16</f>
        <v>0</v>
      </c>
      <c r="W9" s="208">
        <v>90</v>
      </c>
      <c r="X9" s="204">
        <f t="shared" si="8"/>
        <v>90</v>
      </c>
      <c r="Y9" s="205" t="str">
        <f t="shared" si="9"/>
        <v/>
      </c>
      <c r="Z9" s="194" t="s">
        <v>118</v>
      </c>
      <c r="AA9" s="208">
        <f>'ESTIMATIVA ANUAL'!I16</f>
        <v>0</v>
      </c>
      <c r="AB9" s="208">
        <v>90</v>
      </c>
      <c r="AC9" s="204">
        <f t="shared" si="10"/>
        <v>90</v>
      </c>
      <c r="AD9" s="205" t="str">
        <f t="shared" si="11"/>
        <v/>
      </c>
      <c r="AE9" s="194" t="s">
        <v>118</v>
      </c>
      <c r="AF9" s="208">
        <f>'ESTIMATIVA ANUAL'!N16</f>
        <v>0</v>
      </c>
      <c r="AG9" s="208">
        <v>90</v>
      </c>
      <c r="AH9" s="204">
        <f t="shared" si="12"/>
        <v>90</v>
      </c>
      <c r="AI9" s="205" t="str">
        <f t="shared" si="13"/>
        <v/>
      </c>
    </row>
    <row r="10" spans="1:40" s="180" customFormat="1" x14ac:dyDescent="0.25">
      <c r="A10" s="194" t="s">
        <v>119</v>
      </c>
      <c r="B10" s="208">
        <f>'ESTIMATIVA ANUAL'!D17</f>
        <v>0</v>
      </c>
      <c r="C10" s="209"/>
      <c r="D10" s="204">
        <f t="shared" si="0"/>
        <v>0</v>
      </c>
      <c r="E10" s="205" t="str">
        <f t="shared" si="1"/>
        <v/>
      </c>
      <c r="F10" s="194" t="s">
        <v>119</v>
      </c>
      <c r="G10" s="208">
        <f>'ESTIMATIVA ANUAL'!E17</f>
        <v>30</v>
      </c>
      <c r="H10" s="209"/>
      <c r="I10" s="204">
        <f t="shared" si="2"/>
        <v>-30</v>
      </c>
      <c r="J10" s="205" t="str">
        <f t="shared" si="3"/>
        <v/>
      </c>
      <c r="K10" s="194" t="s">
        <v>119</v>
      </c>
      <c r="L10" s="208">
        <f>'ESTIMATIVA ANUAL'!F17</f>
        <v>0</v>
      </c>
      <c r="M10" s="209"/>
      <c r="N10" s="204">
        <f t="shared" si="4"/>
        <v>0</v>
      </c>
      <c r="O10" s="205" t="str">
        <f t="shared" si="5"/>
        <v/>
      </c>
      <c r="P10" s="194" t="s">
        <v>119</v>
      </c>
      <c r="Q10" s="208">
        <f>'ESTIMATIVA ANUAL'!G17</f>
        <v>0</v>
      </c>
      <c r="R10" s="209"/>
      <c r="S10" s="204">
        <f t="shared" si="6"/>
        <v>0</v>
      </c>
      <c r="T10" s="205" t="str">
        <f t="shared" si="7"/>
        <v/>
      </c>
      <c r="U10" s="194" t="s">
        <v>119</v>
      </c>
      <c r="V10" s="208">
        <f>'ESTIMATIVA ANUAL'!H17</f>
        <v>0</v>
      </c>
      <c r="W10" s="209"/>
      <c r="X10" s="204">
        <f t="shared" si="8"/>
        <v>0</v>
      </c>
      <c r="Y10" s="205" t="str">
        <f t="shared" si="9"/>
        <v/>
      </c>
      <c r="Z10" s="194" t="s">
        <v>119</v>
      </c>
      <c r="AA10" s="208">
        <f>'ESTIMATIVA ANUAL'!I17</f>
        <v>0</v>
      </c>
      <c r="AB10" s="209"/>
      <c r="AC10" s="204">
        <f t="shared" si="10"/>
        <v>0</v>
      </c>
      <c r="AD10" s="205" t="str">
        <f t="shared" si="11"/>
        <v/>
      </c>
      <c r="AE10" s="194" t="s">
        <v>119</v>
      </c>
      <c r="AF10" s="208">
        <f>'ESTIMATIVA ANUAL'!N17</f>
        <v>0</v>
      </c>
      <c r="AG10" s="209"/>
      <c r="AH10" s="204">
        <f t="shared" si="12"/>
        <v>0</v>
      </c>
      <c r="AI10" s="205" t="str">
        <f t="shared" si="13"/>
        <v/>
      </c>
    </row>
    <row r="11" spans="1:40" s="180" customFormat="1" x14ac:dyDescent="0.25">
      <c r="A11" s="194" t="s">
        <v>169</v>
      </c>
      <c r="B11" s="209"/>
      <c r="C11" s="209"/>
      <c r="D11" s="204">
        <f t="shared" si="0"/>
        <v>0</v>
      </c>
      <c r="E11" s="205" t="str">
        <f t="shared" si="1"/>
        <v/>
      </c>
      <c r="F11" s="194" t="s">
        <v>169</v>
      </c>
      <c r="G11" s="208"/>
      <c r="H11" s="209"/>
      <c r="I11" s="204">
        <f t="shared" si="2"/>
        <v>0</v>
      </c>
      <c r="J11" s="205" t="str">
        <f t="shared" si="3"/>
        <v/>
      </c>
      <c r="K11" s="194" t="s">
        <v>169</v>
      </c>
      <c r="L11" s="209"/>
      <c r="M11" s="209"/>
      <c r="N11" s="204">
        <f t="shared" si="4"/>
        <v>0</v>
      </c>
      <c r="O11" s="205" t="str">
        <f t="shared" si="5"/>
        <v/>
      </c>
      <c r="P11" s="194" t="s">
        <v>169</v>
      </c>
      <c r="Q11" s="209"/>
      <c r="R11" s="209"/>
      <c r="S11" s="204">
        <f t="shared" si="6"/>
        <v>0</v>
      </c>
      <c r="T11" s="205" t="str">
        <f t="shared" si="7"/>
        <v/>
      </c>
      <c r="U11" s="194" t="s">
        <v>169</v>
      </c>
      <c r="V11" s="209"/>
      <c r="W11" s="209"/>
      <c r="X11" s="204">
        <f t="shared" si="8"/>
        <v>0</v>
      </c>
      <c r="Y11" s="205" t="str">
        <f t="shared" si="9"/>
        <v/>
      </c>
      <c r="Z11" s="194" t="s">
        <v>169</v>
      </c>
      <c r="AA11" s="209"/>
      <c r="AB11" s="209"/>
      <c r="AC11" s="204">
        <f t="shared" si="10"/>
        <v>0</v>
      </c>
      <c r="AD11" s="205" t="str">
        <f t="shared" si="11"/>
        <v/>
      </c>
      <c r="AE11" s="194" t="s">
        <v>169</v>
      </c>
      <c r="AF11" s="209"/>
      <c r="AG11" s="209"/>
      <c r="AH11" s="204">
        <f t="shared" si="12"/>
        <v>0</v>
      </c>
      <c r="AI11" s="205" t="str">
        <f t="shared" si="13"/>
        <v/>
      </c>
    </row>
    <row r="12" spans="1:40" s="180" customFormat="1" ht="15.75" thickBot="1" x14ac:dyDescent="0.3">
      <c r="A12" s="194" t="s">
        <v>170</v>
      </c>
      <c r="B12" s="209"/>
      <c r="C12" s="209"/>
      <c r="D12" s="204">
        <f t="shared" si="0"/>
        <v>0</v>
      </c>
      <c r="E12" s="205" t="str">
        <f t="shared" si="1"/>
        <v/>
      </c>
      <c r="F12" s="194" t="s">
        <v>170</v>
      </c>
      <c r="G12" s="208"/>
      <c r="H12" s="209"/>
      <c r="I12" s="204">
        <f t="shared" si="2"/>
        <v>0</v>
      </c>
      <c r="J12" s="205" t="str">
        <f t="shared" si="3"/>
        <v/>
      </c>
      <c r="K12" s="194" t="s">
        <v>170</v>
      </c>
      <c r="L12" s="209"/>
      <c r="M12" s="209"/>
      <c r="N12" s="204">
        <f t="shared" si="4"/>
        <v>0</v>
      </c>
      <c r="O12" s="205" t="str">
        <f t="shared" si="5"/>
        <v/>
      </c>
      <c r="P12" s="194" t="s">
        <v>170</v>
      </c>
      <c r="Q12" s="209"/>
      <c r="R12" s="209"/>
      <c r="S12" s="204">
        <f t="shared" si="6"/>
        <v>0</v>
      </c>
      <c r="T12" s="205" t="str">
        <f t="shared" si="7"/>
        <v/>
      </c>
      <c r="U12" s="194" t="s">
        <v>170</v>
      </c>
      <c r="V12" s="209"/>
      <c r="W12" s="209"/>
      <c r="X12" s="204">
        <f t="shared" si="8"/>
        <v>0</v>
      </c>
      <c r="Y12" s="205" t="str">
        <f t="shared" si="9"/>
        <v/>
      </c>
      <c r="Z12" s="194" t="s">
        <v>170</v>
      </c>
      <c r="AA12" s="209"/>
      <c r="AB12" s="209"/>
      <c r="AC12" s="204">
        <f t="shared" si="10"/>
        <v>0</v>
      </c>
      <c r="AD12" s="205" t="str">
        <f t="shared" si="11"/>
        <v/>
      </c>
      <c r="AE12" s="194" t="s">
        <v>170</v>
      </c>
      <c r="AF12" s="209"/>
      <c r="AG12" s="209"/>
      <c r="AH12" s="204">
        <f t="shared" si="12"/>
        <v>0</v>
      </c>
      <c r="AI12" s="205" t="str">
        <f t="shared" si="13"/>
        <v/>
      </c>
      <c r="AJ12" s="223"/>
      <c r="AK12" s="223"/>
    </row>
    <row r="13" spans="1:40" ht="16.5" thickBot="1" x14ac:dyDescent="0.3">
      <c r="A13" s="189" t="s">
        <v>159</v>
      </c>
      <c r="B13" s="202">
        <f>SUM(B5:B12)</f>
        <v>5730</v>
      </c>
      <c r="C13" s="203">
        <f>SUM(C5:C12)</f>
        <v>5100</v>
      </c>
      <c r="D13" s="204">
        <f t="shared" si="0"/>
        <v>-630</v>
      </c>
      <c r="E13" s="205">
        <f t="shared" si="1"/>
        <v>-0.1099476439790576</v>
      </c>
      <c r="F13" s="189" t="s">
        <v>159</v>
      </c>
      <c r="G13" s="202">
        <f>SUM(G5:G12)</f>
        <v>23690</v>
      </c>
      <c r="H13" s="203">
        <f>SUM(H5:H12)</f>
        <v>3090</v>
      </c>
      <c r="I13" s="204">
        <f t="shared" si="2"/>
        <v>-20600</v>
      </c>
      <c r="J13" s="205">
        <f t="shared" si="3"/>
        <v>-0.86956521739130432</v>
      </c>
      <c r="K13" s="189" t="s">
        <v>159</v>
      </c>
      <c r="L13" s="202">
        <f>SUM(L5:L12)</f>
        <v>25340</v>
      </c>
      <c r="M13" s="203">
        <f>SUM(M5:M12)</f>
        <v>3090</v>
      </c>
      <c r="N13" s="206">
        <f t="shared" si="4"/>
        <v>-22250</v>
      </c>
      <c r="O13" s="207">
        <f t="shared" si="5"/>
        <v>-0.87805840568271509</v>
      </c>
      <c r="P13" s="189" t="s">
        <v>159</v>
      </c>
      <c r="Q13" s="202">
        <f>SUM(Q5:Q12)</f>
        <v>25320</v>
      </c>
      <c r="R13" s="203">
        <f>SUM(R5:R12)</f>
        <v>0</v>
      </c>
      <c r="S13" s="206">
        <f t="shared" si="6"/>
        <v>-25320</v>
      </c>
      <c r="T13" s="207">
        <f t="shared" si="7"/>
        <v>-1</v>
      </c>
      <c r="U13" s="189" t="s">
        <v>159</v>
      </c>
      <c r="V13" s="202">
        <f>SUM(V5:V12)</f>
        <v>25320</v>
      </c>
      <c r="W13" s="203">
        <f>SUM(W5:W12)</f>
        <v>3090</v>
      </c>
      <c r="X13" s="206">
        <f t="shared" si="8"/>
        <v>-22230</v>
      </c>
      <c r="Y13" s="205">
        <f t="shared" si="9"/>
        <v>-0.87796208530805686</v>
      </c>
      <c r="Z13" s="189" t="s">
        <v>159</v>
      </c>
      <c r="AA13" s="202">
        <f>SUM(AA5:AA12)</f>
        <v>800</v>
      </c>
      <c r="AB13" s="203">
        <f>SUM(AB5:AB12)</f>
        <v>3090</v>
      </c>
      <c r="AC13" s="204">
        <f t="shared" si="10"/>
        <v>2290</v>
      </c>
      <c r="AD13" s="205">
        <f t="shared" si="11"/>
        <v>2.8624999999999998</v>
      </c>
      <c r="AE13" s="189" t="s">
        <v>159</v>
      </c>
      <c r="AF13" s="202">
        <f>SUM(AF5:AF12)</f>
        <v>800</v>
      </c>
      <c r="AG13" s="203">
        <f>SUM(AG5:AG12)</f>
        <v>3090</v>
      </c>
      <c r="AH13" s="206">
        <f t="shared" si="12"/>
        <v>2290</v>
      </c>
      <c r="AI13" s="207">
        <f>IF(AH13=AG13,"",IF(AF13="","",AH13/AF13*1))</f>
        <v>2.8624999999999998</v>
      </c>
    </row>
    <row r="14" spans="1:40" s="183" customFormat="1" ht="20.25" x14ac:dyDescent="0.4">
      <c r="A14" s="198" t="s">
        <v>168</v>
      </c>
      <c r="B14" s="190" t="s">
        <v>156</v>
      </c>
      <c r="C14" s="191" t="s">
        <v>157</v>
      </c>
      <c r="D14" s="192" t="s">
        <v>166</v>
      </c>
      <c r="E14" s="188" t="s">
        <v>167</v>
      </c>
      <c r="F14" s="198" t="s">
        <v>168</v>
      </c>
      <c r="G14" s="190" t="s">
        <v>156</v>
      </c>
      <c r="H14" s="191" t="s">
        <v>157</v>
      </c>
      <c r="I14" s="192" t="s">
        <v>166</v>
      </c>
      <c r="J14" s="188" t="s">
        <v>167</v>
      </c>
      <c r="K14" s="198" t="s">
        <v>168</v>
      </c>
      <c r="L14" s="190" t="s">
        <v>156</v>
      </c>
      <c r="M14" s="191" t="s">
        <v>157</v>
      </c>
      <c r="N14" s="192" t="s">
        <v>166</v>
      </c>
      <c r="O14" s="188" t="s">
        <v>167</v>
      </c>
      <c r="P14" s="198" t="s">
        <v>168</v>
      </c>
      <c r="Q14" s="190" t="s">
        <v>156</v>
      </c>
      <c r="R14" s="191" t="s">
        <v>157</v>
      </c>
      <c r="S14" s="192" t="s">
        <v>166</v>
      </c>
      <c r="T14" s="188" t="s">
        <v>167</v>
      </c>
      <c r="U14" s="198" t="s">
        <v>168</v>
      </c>
      <c r="V14" s="190" t="s">
        <v>156</v>
      </c>
      <c r="W14" s="191" t="s">
        <v>157</v>
      </c>
      <c r="X14" s="192" t="s">
        <v>166</v>
      </c>
      <c r="Y14" s="188" t="s">
        <v>167</v>
      </c>
      <c r="Z14" s="198" t="s">
        <v>168</v>
      </c>
      <c r="AA14" s="190" t="s">
        <v>156</v>
      </c>
      <c r="AB14" s="191" t="s">
        <v>157</v>
      </c>
      <c r="AC14" s="192" t="s">
        <v>166</v>
      </c>
      <c r="AD14" s="188" t="s">
        <v>167</v>
      </c>
      <c r="AE14" s="198" t="s">
        <v>168</v>
      </c>
      <c r="AF14" s="190" t="s">
        <v>156</v>
      </c>
      <c r="AG14" s="191" t="s">
        <v>157</v>
      </c>
      <c r="AH14" s="192" t="s">
        <v>166</v>
      </c>
      <c r="AI14" s="188" t="s">
        <v>167</v>
      </c>
      <c r="AK14" s="362" t="s">
        <v>194</v>
      </c>
      <c r="AL14" s="362"/>
      <c r="AM14" s="362"/>
      <c r="AN14" s="362"/>
    </row>
    <row r="15" spans="1:40" s="180" customFormat="1" x14ac:dyDescent="0.25">
      <c r="A15" s="195" t="s">
        <v>35</v>
      </c>
      <c r="B15" s="208">
        <f>'ESTIMATIVA ANUAL'!D23</f>
        <v>542</v>
      </c>
      <c r="C15" s="208">
        <v>40</v>
      </c>
      <c r="D15" s="211">
        <f>C15-B15</f>
        <v>-502</v>
      </c>
      <c r="E15" s="205">
        <f t="shared" si="1"/>
        <v>-0.92619926199261993</v>
      </c>
      <c r="F15" s="195" t="s">
        <v>35</v>
      </c>
      <c r="G15" s="208">
        <f>'ESTIMATIVA ANUAL'!E23</f>
        <v>54.2</v>
      </c>
      <c r="H15" s="208">
        <v>40</v>
      </c>
      <c r="I15" s="211">
        <f>H15-G15</f>
        <v>-14.200000000000003</v>
      </c>
      <c r="J15" s="205">
        <f t="shared" ref="J15:J21" si="14">IF(I15=H15,"",IF(I15="","",I15/G15*1))</f>
        <v>-0.26199261992619932</v>
      </c>
      <c r="K15" s="195" t="s">
        <v>35</v>
      </c>
      <c r="L15" s="208">
        <f>'ESTIMATIVA ANUAL'!F23</f>
        <v>0</v>
      </c>
      <c r="M15" s="208">
        <v>40</v>
      </c>
      <c r="N15" s="211">
        <f>M15-L15</f>
        <v>40</v>
      </c>
      <c r="O15" s="205" t="str">
        <f t="shared" ref="O15:O21" si="15">IF(N15=M15,"",IF(N15="","",N15/L15*1))</f>
        <v/>
      </c>
      <c r="P15" s="195" t="s">
        <v>35</v>
      </c>
      <c r="Q15" s="208">
        <f>'ESTIMATIVA ANUAL'!G23</f>
        <v>0</v>
      </c>
      <c r="R15" s="208">
        <v>40</v>
      </c>
      <c r="S15" s="211">
        <f>R15-Q15</f>
        <v>40</v>
      </c>
      <c r="T15" s="205" t="str">
        <f t="shared" ref="T15" si="16">IF(S15=R15,"",IF(S15="","",S15/Q15*1))</f>
        <v/>
      </c>
      <c r="U15" s="195" t="s">
        <v>35</v>
      </c>
      <c r="V15" s="208">
        <f>'ESTIMATIVA ANUAL'!H23</f>
        <v>0</v>
      </c>
      <c r="W15" s="208">
        <v>40</v>
      </c>
      <c r="X15" s="211">
        <f>W15-V15</f>
        <v>40</v>
      </c>
      <c r="Y15" s="205" t="str">
        <f t="shared" ref="Y15" si="17">IF(X15=W15,"",IF(X15="","",X15/V15*1))</f>
        <v/>
      </c>
      <c r="Z15" s="195" t="s">
        <v>35</v>
      </c>
      <c r="AA15" s="208">
        <f>'ESTIMATIVA ANUAL'!I23</f>
        <v>0</v>
      </c>
      <c r="AB15" s="208">
        <v>40</v>
      </c>
      <c r="AC15" s="211">
        <f>AB15-AA15</f>
        <v>40</v>
      </c>
      <c r="AD15" s="205" t="str">
        <f t="shared" ref="AD15:AD21" si="18">IF(AC15=AB15,"",IF(AC15="","",AC15/AA15*1))</f>
        <v/>
      </c>
      <c r="AE15" s="195" t="s">
        <v>35</v>
      </c>
      <c r="AF15" s="208">
        <f>'ESTIMATIVA ANUAL'!N23</f>
        <v>0</v>
      </c>
      <c r="AG15" s="208">
        <v>40</v>
      </c>
      <c r="AH15" s="211">
        <f>AG15-AF15</f>
        <v>40</v>
      </c>
      <c r="AI15" s="205" t="str">
        <f t="shared" ref="AI15:AI21" si="19">IF(AH15=AG15,"",IF(AH15="","",AH15/AF15*1))</f>
        <v/>
      </c>
      <c r="AK15" s="224"/>
      <c r="AL15" s="226" t="s">
        <v>190</v>
      </c>
      <c r="AM15" s="226" t="s">
        <v>192</v>
      </c>
      <c r="AN15" s="226" t="s">
        <v>193</v>
      </c>
    </row>
    <row r="16" spans="1:40" s="180" customFormat="1" x14ac:dyDescent="0.25">
      <c r="A16" s="195" t="s">
        <v>60</v>
      </c>
      <c r="B16" s="208">
        <f>'ESTIMATIVA ANUAL'!D24</f>
        <v>87.5</v>
      </c>
      <c r="C16" s="208">
        <v>40</v>
      </c>
      <c r="D16" s="211">
        <f t="shared" ref="D16:D21" si="20">C16-B16</f>
        <v>-47.5</v>
      </c>
      <c r="E16" s="205">
        <f t="shared" si="1"/>
        <v>-0.54285714285714282</v>
      </c>
      <c r="F16" s="195" t="s">
        <v>60</v>
      </c>
      <c r="G16" s="208">
        <f>'ESTIMATIVA ANUAL'!E24</f>
        <v>8.75</v>
      </c>
      <c r="H16" s="208">
        <v>40</v>
      </c>
      <c r="I16" s="211">
        <f t="shared" ref="I16:I21" si="21">H16-G16</f>
        <v>31.25</v>
      </c>
      <c r="J16" s="205">
        <f t="shared" si="14"/>
        <v>3.5714285714285716</v>
      </c>
      <c r="K16" s="195" t="s">
        <v>60</v>
      </c>
      <c r="L16" s="208">
        <f>'ESTIMATIVA ANUAL'!F24</f>
        <v>0</v>
      </c>
      <c r="M16" s="208">
        <v>40</v>
      </c>
      <c r="N16" s="211">
        <f t="shared" ref="N16:N21" si="22">M16-L16</f>
        <v>40</v>
      </c>
      <c r="O16" s="205" t="str">
        <f t="shared" si="15"/>
        <v/>
      </c>
      <c r="P16" s="195" t="s">
        <v>60</v>
      </c>
      <c r="Q16" s="208">
        <f>'ESTIMATIVA ANUAL'!G24</f>
        <v>0</v>
      </c>
      <c r="R16" s="208">
        <v>40</v>
      </c>
      <c r="S16" s="211">
        <f t="shared" ref="S16:S21" si="23">R16-Q16</f>
        <v>40</v>
      </c>
      <c r="T16" s="205" t="str">
        <f t="shared" ref="T16:T21" si="24">IF(S16=R16,"",IF(R16="","",S16/Q16*1))</f>
        <v/>
      </c>
      <c r="U16" s="195" t="s">
        <v>60</v>
      </c>
      <c r="V16" s="208">
        <f>'ESTIMATIVA ANUAL'!H24</f>
        <v>0</v>
      </c>
      <c r="W16" s="208">
        <v>40</v>
      </c>
      <c r="X16" s="211">
        <f t="shared" ref="X16:X21" si="25">W16-V16</f>
        <v>40</v>
      </c>
      <c r="Y16" s="205" t="str">
        <f t="shared" ref="Y16:Y21" si="26">IF(X16=W16,"",IF(W16="","",X16/V16*1))</f>
        <v/>
      </c>
      <c r="Z16" s="195" t="s">
        <v>60</v>
      </c>
      <c r="AA16" s="208">
        <f>'ESTIMATIVA ANUAL'!I24</f>
        <v>0</v>
      </c>
      <c r="AB16" s="208">
        <v>40</v>
      </c>
      <c r="AC16" s="211">
        <f t="shared" ref="AC16:AC21" si="27">AB16-AA16</f>
        <v>40</v>
      </c>
      <c r="AD16" s="205" t="str">
        <f t="shared" si="18"/>
        <v/>
      </c>
      <c r="AE16" s="195" t="s">
        <v>60</v>
      </c>
      <c r="AF16" s="208">
        <f>'ESTIMATIVA ANUAL'!N24</f>
        <v>0</v>
      </c>
      <c r="AG16" s="208">
        <v>40</v>
      </c>
      <c r="AH16" s="211">
        <f t="shared" ref="AH16:AH21" si="28">AG16-AF16</f>
        <v>40</v>
      </c>
      <c r="AI16" s="205" t="str">
        <f t="shared" si="19"/>
        <v/>
      </c>
      <c r="AK16" s="224" t="s">
        <v>158</v>
      </c>
      <c r="AL16" s="71">
        <f>SUM(B13,G13,L13,Q13,V13,AA13,AF13)</f>
        <v>107000</v>
      </c>
      <c r="AM16" s="71">
        <f>SUM(C13,H13,M13,R13,W13,AB13,AG13)</f>
        <v>20550</v>
      </c>
      <c r="AN16" s="225">
        <f>AM16-AL16</f>
        <v>-86450</v>
      </c>
    </row>
    <row r="17" spans="1:40" s="180" customFormat="1" x14ac:dyDescent="0.25">
      <c r="A17" s="196" t="s">
        <v>96</v>
      </c>
      <c r="B17" s="208">
        <f>'ESTIMATIVA ANUAL'!D25</f>
        <v>0</v>
      </c>
      <c r="C17" s="208">
        <v>40</v>
      </c>
      <c r="D17" s="211">
        <f t="shared" si="20"/>
        <v>40</v>
      </c>
      <c r="E17" s="205" t="str">
        <f t="shared" si="1"/>
        <v/>
      </c>
      <c r="F17" s="196" t="s">
        <v>96</v>
      </c>
      <c r="G17" s="208">
        <f>'ESTIMATIVA ANUAL'!E25</f>
        <v>2952.7300000000005</v>
      </c>
      <c r="H17" s="208">
        <v>40</v>
      </c>
      <c r="I17" s="211">
        <f t="shared" si="21"/>
        <v>-2912.7300000000005</v>
      </c>
      <c r="J17" s="205">
        <f t="shared" si="14"/>
        <v>-0.98645321448286838</v>
      </c>
      <c r="K17" s="196" t="s">
        <v>96</v>
      </c>
      <c r="L17" s="208">
        <f>'ESTIMATIVA ANUAL'!F25</f>
        <v>2952.7300000000005</v>
      </c>
      <c r="M17" s="208">
        <v>40</v>
      </c>
      <c r="N17" s="211">
        <f t="shared" si="22"/>
        <v>-2912.7300000000005</v>
      </c>
      <c r="O17" s="205">
        <f t="shared" si="15"/>
        <v>-0.98645321448286838</v>
      </c>
      <c r="P17" s="196" t="s">
        <v>96</v>
      </c>
      <c r="Q17" s="208">
        <f>'ESTIMATIVA ANUAL'!G25</f>
        <v>2952.7300000000005</v>
      </c>
      <c r="R17" s="208">
        <v>40</v>
      </c>
      <c r="S17" s="211">
        <f t="shared" si="23"/>
        <v>-2912.7300000000005</v>
      </c>
      <c r="T17" s="205">
        <f t="shared" si="24"/>
        <v>-0.98645321448286838</v>
      </c>
      <c r="U17" s="196" t="s">
        <v>96</v>
      </c>
      <c r="V17" s="208">
        <f>'ESTIMATIVA ANUAL'!H25</f>
        <v>2952.7300000000005</v>
      </c>
      <c r="W17" s="208">
        <v>40</v>
      </c>
      <c r="X17" s="211">
        <f t="shared" si="25"/>
        <v>-2912.7300000000005</v>
      </c>
      <c r="Y17" s="205">
        <f t="shared" si="26"/>
        <v>-0.98645321448286838</v>
      </c>
      <c r="Z17" s="196" t="s">
        <v>96</v>
      </c>
      <c r="AA17" s="208">
        <f>'ESTIMATIVA ANUAL'!I25</f>
        <v>0</v>
      </c>
      <c r="AB17" s="208">
        <v>40</v>
      </c>
      <c r="AC17" s="211">
        <f t="shared" si="27"/>
        <v>40</v>
      </c>
      <c r="AD17" s="205" t="str">
        <f t="shared" si="18"/>
        <v/>
      </c>
      <c r="AE17" s="196" t="s">
        <v>96</v>
      </c>
      <c r="AF17" s="208">
        <f>'ESTIMATIVA ANUAL'!N25</f>
        <v>0</v>
      </c>
      <c r="AG17" s="208">
        <v>40</v>
      </c>
      <c r="AH17" s="211">
        <f t="shared" si="28"/>
        <v>40</v>
      </c>
      <c r="AI17" s="205" t="str">
        <f t="shared" si="19"/>
        <v/>
      </c>
      <c r="AK17" s="224" t="s">
        <v>191</v>
      </c>
      <c r="AL17" s="71" t="e">
        <f>SUM(B36,G36,L36,Q36,V36,AA36,AF36)</f>
        <v>#REF!</v>
      </c>
      <c r="AM17" s="71">
        <f>SUM(C36,H36,M36,R36,W36,AB36,AG36)</f>
        <v>5147</v>
      </c>
      <c r="AN17" s="225" t="e">
        <f>AM17-AL17</f>
        <v>#REF!</v>
      </c>
    </row>
    <row r="18" spans="1:40" s="180" customFormat="1" x14ac:dyDescent="0.25">
      <c r="A18" s="195" t="s">
        <v>58</v>
      </c>
      <c r="B18" s="208">
        <f>'ESTIMATIVA ANUAL'!D26</f>
        <v>0</v>
      </c>
      <c r="C18" s="208">
        <v>40</v>
      </c>
      <c r="D18" s="211">
        <f t="shared" si="20"/>
        <v>40</v>
      </c>
      <c r="E18" s="205" t="str">
        <f t="shared" si="1"/>
        <v/>
      </c>
      <c r="F18" s="195" t="s">
        <v>58</v>
      </c>
      <c r="G18" s="208">
        <f>'ESTIMATIVA ANUAL'!E26</f>
        <v>600</v>
      </c>
      <c r="H18" s="208">
        <v>40</v>
      </c>
      <c r="I18" s="211">
        <f t="shared" si="21"/>
        <v>-560</v>
      </c>
      <c r="J18" s="205">
        <f t="shared" si="14"/>
        <v>-0.93333333333333335</v>
      </c>
      <c r="K18" s="195" t="s">
        <v>58</v>
      </c>
      <c r="L18" s="208">
        <f>'ESTIMATIVA ANUAL'!F26</f>
        <v>600</v>
      </c>
      <c r="M18" s="208">
        <v>40</v>
      </c>
      <c r="N18" s="211">
        <f t="shared" si="22"/>
        <v>-560</v>
      </c>
      <c r="O18" s="205">
        <f t="shared" si="15"/>
        <v>-0.93333333333333335</v>
      </c>
      <c r="P18" s="195" t="s">
        <v>58</v>
      </c>
      <c r="Q18" s="208">
        <f>'ESTIMATIVA ANUAL'!G26</f>
        <v>600</v>
      </c>
      <c r="R18" s="208">
        <v>40</v>
      </c>
      <c r="S18" s="211">
        <f t="shared" si="23"/>
        <v>-560</v>
      </c>
      <c r="T18" s="205">
        <f t="shared" si="24"/>
        <v>-0.93333333333333335</v>
      </c>
      <c r="U18" s="195" t="s">
        <v>58</v>
      </c>
      <c r="V18" s="208">
        <f>'ESTIMATIVA ANUAL'!H26</f>
        <v>600</v>
      </c>
      <c r="W18" s="208">
        <v>40</v>
      </c>
      <c r="X18" s="211">
        <f t="shared" si="25"/>
        <v>-560</v>
      </c>
      <c r="Y18" s="205">
        <f t="shared" si="26"/>
        <v>-0.93333333333333335</v>
      </c>
      <c r="Z18" s="195" t="s">
        <v>58</v>
      </c>
      <c r="AA18" s="208">
        <f>'ESTIMATIVA ANUAL'!I26</f>
        <v>600</v>
      </c>
      <c r="AB18" s="208">
        <v>40</v>
      </c>
      <c r="AC18" s="211">
        <f t="shared" si="27"/>
        <v>-560</v>
      </c>
      <c r="AD18" s="205">
        <f t="shared" si="18"/>
        <v>-0.93333333333333335</v>
      </c>
      <c r="AE18" s="195" t="s">
        <v>58</v>
      </c>
      <c r="AF18" s="208">
        <f>'ESTIMATIVA ANUAL'!N26</f>
        <v>0</v>
      </c>
      <c r="AG18" s="208">
        <v>40</v>
      </c>
      <c r="AH18" s="211">
        <f t="shared" si="28"/>
        <v>40</v>
      </c>
      <c r="AI18" s="205" t="str">
        <f t="shared" si="19"/>
        <v/>
      </c>
    </row>
    <row r="19" spans="1:40" s="180" customFormat="1" x14ac:dyDescent="0.25">
      <c r="A19" s="196" t="s">
        <v>130</v>
      </c>
      <c r="B19" s="208">
        <f>'ESTIMATIVA ANUAL'!D27</f>
        <v>206</v>
      </c>
      <c r="C19" s="208">
        <v>40</v>
      </c>
      <c r="D19" s="211">
        <f t="shared" si="20"/>
        <v>-166</v>
      </c>
      <c r="E19" s="205">
        <f t="shared" si="1"/>
        <v>-0.80582524271844658</v>
      </c>
      <c r="F19" s="196" t="s">
        <v>130</v>
      </c>
      <c r="G19" s="208">
        <f>'ESTIMATIVA ANUAL'!E27</f>
        <v>206</v>
      </c>
      <c r="H19" s="208">
        <v>40</v>
      </c>
      <c r="I19" s="211">
        <f t="shared" si="21"/>
        <v>-166</v>
      </c>
      <c r="J19" s="205">
        <f t="shared" si="14"/>
        <v>-0.80582524271844658</v>
      </c>
      <c r="K19" s="196" t="s">
        <v>130</v>
      </c>
      <c r="L19" s="208">
        <f>'ESTIMATIVA ANUAL'!F27</f>
        <v>206</v>
      </c>
      <c r="M19" s="208">
        <v>40</v>
      </c>
      <c r="N19" s="211">
        <f t="shared" si="22"/>
        <v>-166</v>
      </c>
      <c r="O19" s="205">
        <f t="shared" si="15"/>
        <v>-0.80582524271844658</v>
      </c>
      <c r="P19" s="196" t="s">
        <v>130</v>
      </c>
      <c r="Q19" s="208">
        <f>'ESTIMATIVA ANUAL'!G27</f>
        <v>206</v>
      </c>
      <c r="R19" s="208">
        <v>40</v>
      </c>
      <c r="S19" s="211">
        <f t="shared" si="23"/>
        <v>-166</v>
      </c>
      <c r="T19" s="205">
        <f t="shared" si="24"/>
        <v>-0.80582524271844658</v>
      </c>
      <c r="U19" s="196" t="s">
        <v>130</v>
      </c>
      <c r="V19" s="208">
        <f>'ESTIMATIVA ANUAL'!H27</f>
        <v>30</v>
      </c>
      <c r="W19" s="208">
        <v>40</v>
      </c>
      <c r="X19" s="211">
        <f t="shared" si="25"/>
        <v>10</v>
      </c>
      <c r="Y19" s="205">
        <f t="shared" si="26"/>
        <v>0.33333333333333331</v>
      </c>
      <c r="Z19" s="196" t="s">
        <v>130</v>
      </c>
      <c r="AA19" s="208">
        <f>'ESTIMATIVA ANUAL'!I27</f>
        <v>30</v>
      </c>
      <c r="AB19" s="208">
        <v>40</v>
      </c>
      <c r="AC19" s="211">
        <f t="shared" si="27"/>
        <v>10</v>
      </c>
      <c r="AD19" s="205">
        <f t="shared" si="18"/>
        <v>0.33333333333333331</v>
      </c>
      <c r="AE19" s="196" t="s">
        <v>130</v>
      </c>
      <c r="AF19" s="208">
        <f>'ESTIMATIVA ANUAL'!N27</f>
        <v>0</v>
      </c>
      <c r="AG19" s="208">
        <v>40</v>
      </c>
      <c r="AH19" s="211">
        <f t="shared" si="28"/>
        <v>40</v>
      </c>
      <c r="AI19" s="205" t="str">
        <f t="shared" si="19"/>
        <v/>
      </c>
      <c r="AK19" s="178" t="s">
        <v>188</v>
      </c>
      <c r="AL19" s="178" t="s">
        <v>189</v>
      </c>
    </row>
    <row r="20" spans="1:40" s="180" customFormat="1" ht="15.75" thickBot="1" x14ac:dyDescent="0.3">
      <c r="A20" s="196" t="s">
        <v>172</v>
      </c>
      <c r="B20" s="208" t="e">
        <f>'ESTIMATIVA ANUAL'!#REF!</f>
        <v>#REF!</v>
      </c>
      <c r="C20" s="208">
        <v>40</v>
      </c>
      <c r="D20" s="211" t="e">
        <f t="shared" si="20"/>
        <v>#REF!</v>
      </c>
      <c r="E20" s="205" t="e">
        <f t="shared" si="1"/>
        <v>#REF!</v>
      </c>
      <c r="F20" s="196" t="s">
        <v>172</v>
      </c>
      <c r="G20" s="208" t="e">
        <f>'ESTIMATIVA ANUAL'!#REF!</f>
        <v>#REF!</v>
      </c>
      <c r="H20" s="208">
        <v>40</v>
      </c>
      <c r="I20" s="211" t="e">
        <f t="shared" si="21"/>
        <v>#REF!</v>
      </c>
      <c r="J20" s="205" t="e">
        <f t="shared" si="14"/>
        <v>#REF!</v>
      </c>
      <c r="K20" s="196" t="s">
        <v>172</v>
      </c>
      <c r="L20" s="208" t="e">
        <f>'ESTIMATIVA ANUAL'!#REF!</f>
        <v>#REF!</v>
      </c>
      <c r="M20" s="208">
        <v>40</v>
      </c>
      <c r="N20" s="211" t="e">
        <f t="shared" si="22"/>
        <v>#REF!</v>
      </c>
      <c r="O20" s="205" t="e">
        <f t="shared" si="15"/>
        <v>#REF!</v>
      </c>
      <c r="P20" s="196" t="s">
        <v>172</v>
      </c>
      <c r="Q20" s="208" t="e">
        <f>'ESTIMATIVA ANUAL'!#REF!</f>
        <v>#REF!</v>
      </c>
      <c r="R20" s="208">
        <v>40</v>
      </c>
      <c r="S20" s="211" t="e">
        <f t="shared" si="23"/>
        <v>#REF!</v>
      </c>
      <c r="T20" s="205" t="e">
        <f t="shared" si="24"/>
        <v>#REF!</v>
      </c>
      <c r="U20" s="196" t="s">
        <v>172</v>
      </c>
      <c r="V20" s="208" t="e">
        <f>'ESTIMATIVA ANUAL'!#REF!</f>
        <v>#REF!</v>
      </c>
      <c r="W20" s="208">
        <v>40</v>
      </c>
      <c r="X20" s="211" t="e">
        <f t="shared" si="25"/>
        <v>#REF!</v>
      </c>
      <c r="Y20" s="205" t="e">
        <f t="shared" si="26"/>
        <v>#REF!</v>
      </c>
      <c r="Z20" s="196" t="s">
        <v>172</v>
      </c>
      <c r="AA20" s="208" t="e">
        <f>'ESTIMATIVA ANUAL'!#REF!</f>
        <v>#REF!</v>
      </c>
      <c r="AB20" s="208">
        <v>40</v>
      </c>
      <c r="AC20" s="211" t="e">
        <f t="shared" si="27"/>
        <v>#REF!</v>
      </c>
      <c r="AD20" s="205" t="e">
        <f t="shared" si="18"/>
        <v>#REF!</v>
      </c>
      <c r="AE20" s="196" t="s">
        <v>172</v>
      </c>
      <c r="AF20" s="208" t="e">
        <f>'ESTIMATIVA ANUAL'!#REF!</f>
        <v>#REF!</v>
      </c>
      <c r="AG20" s="208">
        <v>40</v>
      </c>
      <c r="AH20" s="211" t="e">
        <f t="shared" si="28"/>
        <v>#REF!</v>
      </c>
      <c r="AI20" s="205" t="e">
        <f t="shared" si="19"/>
        <v>#REF!</v>
      </c>
      <c r="AK20" s="222" t="e">
        <f>SUM(B42,G42,L42,Q42,V42,AA42,AF42)</f>
        <v>#REF!</v>
      </c>
      <c r="AL20" s="221">
        <f>SUM(C42,H42,M42,R42,W42,AB42,AG42)</f>
        <v>67762</v>
      </c>
    </row>
    <row r="21" spans="1:40" s="180" customFormat="1" ht="19.5" thickBot="1" x14ac:dyDescent="0.45">
      <c r="A21" s="198" t="s">
        <v>176</v>
      </c>
      <c r="B21" s="202" t="e">
        <f>SUM(B15:B20)</f>
        <v>#REF!</v>
      </c>
      <c r="C21" s="203">
        <f t="shared" ref="C21" si="29">SUM(C15:C20)</f>
        <v>240</v>
      </c>
      <c r="D21" s="204" t="e">
        <f t="shared" si="20"/>
        <v>#REF!</v>
      </c>
      <c r="E21" s="205" t="e">
        <f t="shared" si="1"/>
        <v>#REF!</v>
      </c>
      <c r="F21" s="198" t="s">
        <v>176</v>
      </c>
      <c r="G21" s="202" t="e">
        <f>SUM(G15:G20)</f>
        <v>#REF!</v>
      </c>
      <c r="H21" s="203">
        <f t="shared" ref="H21" si="30">SUM(H15:H20)</f>
        <v>240</v>
      </c>
      <c r="I21" s="204" t="e">
        <f t="shared" si="21"/>
        <v>#REF!</v>
      </c>
      <c r="J21" s="205" t="e">
        <f t="shared" si="14"/>
        <v>#REF!</v>
      </c>
      <c r="K21" s="198" t="s">
        <v>176</v>
      </c>
      <c r="L21" s="202" t="e">
        <f>SUM(L15:L20)</f>
        <v>#REF!</v>
      </c>
      <c r="M21" s="203">
        <f t="shared" ref="M21" si="31">SUM(M15:M20)</f>
        <v>240</v>
      </c>
      <c r="N21" s="204" t="e">
        <f t="shared" si="22"/>
        <v>#REF!</v>
      </c>
      <c r="O21" s="205" t="e">
        <f t="shared" si="15"/>
        <v>#REF!</v>
      </c>
      <c r="P21" s="198" t="s">
        <v>176</v>
      </c>
      <c r="Q21" s="202" t="e">
        <f>SUM(Q15:Q20)</f>
        <v>#REF!</v>
      </c>
      <c r="R21" s="203">
        <f t="shared" ref="R21" si="32">SUM(R15:R20)</f>
        <v>240</v>
      </c>
      <c r="S21" s="204" t="e">
        <f t="shared" si="23"/>
        <v>#REF!</v>
      </c>
      <c r="T21" s="205" t="e">
        <f t="shared" si="24"/>
        <v>#REF!</v>
      </c>
      <c r="U21" s="198" t="s">
        <v>176</v>
      </c>
      <c r="V21" s="202" t="e">
        <f>SUM(V15:V20)</f>
        <v>#REF!</v>
      </c>
      <c r="W21" s="203">
        <f t="shared" ref="W21" si="33">SUM(W15:W20)</f>
        <v>240</v>
      </c>
      <c r="X21" s="204" t="e">
        <f t="shared" si="25"/>
        <v>#REF!</v>
      </c>
      <c r="Y21" s="205" t="e">
        <f t="shared" si="26"/>
        <v>#REF!</v>
      </c>
      <c r="Z21" s="198" t="s">
        <v>176</v>
      </c>
      <c r="AA21" s="202" t="e">
        <f>SUM(AA15:AA20)</f>
        <v>#REF!</v>
      </c>
      <c r="AB21" s="203">
        <f t="shared" ref="AB21" si="34">SUM(AB15:AB20)</f>
        <v>240</v>
      </c>
      <c r="AC21" s="204" t="e">
        <f t="shared" si="27"/>
        <v>#REF!</v>
      </c>
      <c r="AD21" s="205" t="e">
        <f t="shared" si="18"/>
        <v>#REF!</v>
      </c>
      <c r="AE21" s="198" t="s">
        <v>176</v>
      </c>
      <c r="AF21" s="202" t="e">
        <f>SUM(AF15:AF20)</f>
        <v>#REF!</v>
      </c>
      <c r="AG21" s="203">
        <f t="shared" ref="AG21" si="35">SUM(AG15:AG20)</f>
        <v>240</v>
      </c>
      <c r="AH21" s="204" t="e">
        <f t="shared" si="28"/>
        <v>#REF!</v>
      </c>
      <c r="AI21" s="205" t="e">
        <f t="shared" si="19"/>
        <v>#REF!</v>
      </c>
    </row>
    <row r="22" spans="1:40" s="180" customFormat="1" ht="18.75" x14ac:dyDescent="0.4">
      <c r="A22" s="201" t="s">
        <v>175</v>
      </c>
      <c r="B22" s="190" t="s">
        <v>156</v>
      </c>
      <c r="C22" s="191" t="s">
        <v>157</v>
      </c>
      <c r="D22" s="192" t="s">
        <v>166</v>
      </c>
      <c r="E22" s="188" t="s">
        <v>167</v>
      </c>
      <c r="F22" s="201" t="s">
        <v>175</v>
      </c>
      <c r="G22" s="190" t="s">
        <v>156</v>
      </c>
      <c r="H22" s="191" t="s">
        <v>157</v>
      </c>
      <c r="I22" s="192" t="s">
        <v>166</v>
      </c>
      <c r="J22" s="188" t="s">
        <v>167</v>
      </c>
      <c r="K22" s="201" t="s">
        <v>175</v>
      </c>
      <c r="L22" s="190" t="s">
        <v>156</v>
      </c>
      <c r="M22" s="191" t="s">
        <v>157</v>
      </c>
      <c r="N22" s="192" t="s">
        <v>166</v>
      </c>
      <c r="O22" s="188" t="s">
        <v>167</v>
      </c>
      <c r="P22" s="201" t="s">
        <v>175</v>
      </c>
      <c r="Q22" s="190" t="s">
        <v>156</v>
      </c>
      <c r="R22" s="191" t="s">
        <v>157</v>
      </c>
      <c r="S22" s="192" t="s">
        <v>166</v>
      </c>
      <c r="T22" s="188" t="s">
        <v>167</v>
      </c>
      <c r="U22" s="201" t="s">
        <v>175</v>
      </c>
      <c r="V22" s="190" t="s">
        <v>156</v>
      </c>
      <c r="W22" s="191" t="s">
        <v>157</v>
      </c>
      <c r="X22" s="192" t="s">
        <v>166</v>
      </c>
      <c r="Y22" s="188" t="s">
        <v>167</v>
      </c>
      <c r="Z22" s="201" t="s">
        <v>175</v>
      </c>
      <c r="AA22" s="190" t="s">
        <v>156</v>
      </c>
      <c r="AB22" s="191" t="s">
        <v>157</v>
      </c>
      <c r="AC22" s="192" t="s">
        <v>166</v>
      </c>
      <c r="AD22" s="188" t="s">
        <v>167</v>
      </c>
      <c r="AE22" s="201" t="s">
        <v>175</v>
      </c>
      <c r="AF22" s="190" t="s">
        <v>156</v>
      </c>
      <c r="AG22" s="191" t="s">
        <v>157</v>
      </c>
      <c r="AH22" s="192" t="s">
        <v>166</v>
      </c>
      <c r="AI22" s="188" t="s">
        <v>167</v>
      </c>
    </row>
    <row r="23" spans="1:40" s="180" customFormat="1" x14ac:dyDescent="0.25">
      <c r="A23" s="212" t="s">
        <v>15</v>
      </c>
      <c r="B23" s="208">
        <f>'ESTIMATIVA ANUAL'!D33</f>
        <v>0</v>
      </c>
      <c r="C23" s="208"/>
      <c r="D23" s="211">
        <f t="shared" ref="D23:D35" si="36">C23-B23</f>
        <v>0</v>
      </c>
      <c r="E23" s="205" t="str">
        <f t="shared" ref="E23:E35" si="37">IF(D23=C23,"",IF(D23="","",D23/B23*1))</f>
        <v/>
      </c>
      <c r="F23" s="212" t="s">
        <v>15</v>
      </c>
      <c r="G23" s="208">
        <f>'ESTIMATIVA ANUAL'!E33</f>
        <v>884.51561840439001</v>
      </c>
      <c r="H23" s="208">
        <v>40</v>
      </c>
      <c r="I23" s="211">
        <f t="shared" ref="I23:I35" si="38">H23-G23</f>
        <v>-844.51561840439001</v>
      </c>
      <c r="J23" s="205">
        <f t="shared" ref="J23:J35" si="39">IF(I23=H23,"",IF(I23="","",I23/G23*1))</f>
        <v>-0.95477750853946763</v>
      </c>
      <c r="K23" s="212" t="s">
        <v>15</v>
      </c>
      <c r="L23" s="208">
        <f>'ESTIMATIVA ANUAL'!F33</f>
        <v>970.70704938792744</v>
      </c>
      <c r="M23" s="208">
        <v>40</v>
      </c>
      <c r="N23" s="211">
        <f t="shared" ref="N23:N35" si="40">M23-L23</f>
        <v>-930.70704938792744</v>
      </c>
      <c r="O23" s="205">
        <f t="shared" ref="O23" si="41">IF(N23=M23,"",IF(N23="","",N23/L23*1))</f>
        <v>-0.95879292313245101</v>
      </c>
      <c r="P23" s="212" t="s">
        <v>15</v>
      </c>
      <c r="Q23" s="208">
        <f>'ESTIMATIVA ANUAL'!G33</f>
        <v>969.94090333474037</v>
      </c>
      <c r="R23" s="208">
        <v>40</v>
      </c>
      <c r="S23" s="211">
        <f t="shared" ref="S23:S35" si="42">R23-Q23</f>
        <v>-929.94090333474037</v>
      </c>
      <c r="T23" s="205">
        <f t="shared" ref="T23:T35" si="43">IF(S23=R23,"",IF(S23="","",S23/Q23*1))</f>
        <v>-0.95876037409859038</v>
      </c>
      <c r="U23" s="212" t="s">
        <v>15</v>
      </c>
      <c r="V23" s="208">
        <f>'ESTIMATIVA ANUAL'!H33</f>
        <v>969.94090333474037</v>
      </c>
      <c r="W23" s="208">
        <v>40</v>
      </c>
      <c r="X23" s="211">
        <f t="shared" ref="X23:X35" si="44">W23-V23</f>
        <v>-929.94090333474037</v>
      </c>
      <c r="Y23" s="205">
        <f t="shared" ref="Y23:Y35" si="45">IF(X23=W23,"",IF(X23="","",X23/V23*1))</f>
        <v>-0.95876037409859038</v>
      </c>
      <c r="Z23" s="212" t="s">
        <v>15</v>
      </c>
      <c r="AA23" s="208">
        <f>'ESTIMATIVA ANUAL'!I33</f>
        <v>30.645842127479948</v>
      </c>
      <c r="AB23" s="208">
        <v>40</v>
      </c>
      <c r="AC23" s="211">
        <f t="shared" ref="AC23:AC35" si="46">AB23-AA23</f>
        <v>9.3541578725200516</v>
      </c>
      <c r="AD23" s="205">
        <f t="shared" ref="AD23:AD35" si="47">IF(AC23=AB23,"",IF(AC23="","",AC23/AA23*1))</f>
        <v>0.30523415977961438</v>
      </c>
      <c r="AE23" s="212" t="s">
        <v>15</v>
      </c>
      <c r="AF23" s="208">
        <f>'ESTIMATIVA ANUAL'!N33</f>
        <v>30.645842127479948</v>
      </c>
      <c r="AG23" s="208">
        <v>40</v>
      </c>
      <c r="AH23" s="211">
        <f t="shared" ref="AH23:AH35" si="48">AG23-AF23</f>
        <v>9.3541578725200516</v>
      </c>
      <c r="AI23" s="205">
        <f t="shared" ref="AI23:AI35" si="49">IF(AH23=AG23,"",IF(AH23="","",AH23/AF23*1))</f>
        <v>0.30523415977961438</v>
      </c>
    </row>
    <row r="24" spans="1:40" s="180" customFormat="1" x14ac:dyDescent="0.25">
      <c r="A24" s="212" t="s">
        <v>112</v>
      </c>
      <c r="B24" s="208">
        <f>'ESTIMATIVA ANUAL'!D34</f>
        <v>0</v>
      </c>
      <c r="C24" s="208">
        <v>40</v>
      </c>
      <c r="D24" s="211">
        <f t="shared" si="36"/>
        <v>40</v>
      </c>
      <c r="E24" s="205" t="str">
        <f t="shared" si="37"/>
        <v/>
      </c>
      <c r="F24" s="212" t="s">
        <v>112</v>
      </c>
      <c r="G24" s="208">
        <f>'ESTIMATIVA ANUAL'!E34</f>
        <v>9236</v>
      </c>
      <c r="H24" s="208">
        <v>40</v>
      </c>
      <c r="I24" s="211">
        <f t="shared" si="38"/>
        <v>-9196</v>
      </c>
      <c r="J24" s="205">
        <f t="shared" si="39"/>
        <v>-0.99566912083152881</v>
      </c>
      <c r="K24" s="212" t="s">
        <v>112</v>
      </c>
      <c r="L24" s="208">
        <f>'ESTIMATIVA ANUAL'!F34</f>
        <v>10136</v>
      </c>
      <c r="M24" s="208">
        <v>40</v>
      </c>
      <c r="N24" s="211">
        <f t="shared" si="40"/>
        <v>-10096</v>
      </c>
      <c r="O24" s="205">
        <f t="shared" ref="O24:O35" si="50">IF(N24=M24,"",IF(N24="","",N24/L24*1))</f>
        <v>-0.99605367008681922</v>
      </c>
      <c r="P24" s="212" t="s">
        <v>112</v>
      </c>
      <c r="Q24" s="208">
        <f>'ESTIMATIVA ANUAL'!G34</f>
        <v>10128</v>
      </c>
      <c r="R24" s="208">
        <v>40</v>
      </c>
      <c r="S24" s="211">
        <f t="shared" si="42"/>
        <v>-10088</v>
      </c>
      <c r="T24" s="205">
        <f t="shared" si="43"/>
        <v>-0.99605055292259082</v>
      </c>
      <c r="U24" s="212" t="s">
        <v>112</v>
      </c>
      <c r="V24" s="208">
        <f>'ESTIMATIVA ANUAL'!H34</f>
        <v>10128</v>
      </c>
      <c r="W24" s="208">
        <v>40</v>
      </c>
      <c r="X24" s="211">
        <f t="shared" si="44"/>
        <v>-10088</v>
      </c>
      <c r="Y24" s="205">
        <f t="shared" si="45"/>
        <v>-0.99605055292259082</v>
      </c>
      <c r="Z24" s="212" t="s">
        <v>112</v>
      </c>
      <c r="AA24" s="208">
        <f>'ESTIMATIVA ANUAL'!I34</f>
        <v>320</v>
      </c>
      <c r="AB24" s="208">
        <v>40</v>
      </c>
      <c r="AC24" s="211">
        <f t="shared" si="46"/>
        <v>-280</v>
      </c>
      <c r="AD24" s="205">
        <f t="shared" si="47"/>
        <v>-0.875</v>
      </c>
      <c r="AE24" s="212" t="s">
        <v>112</v>
      </c>
      <c r="AF24" s="208">
        <f>'ESTIMATIVA ANUAL'!N34</f>
        <v>320</v>
      </c>
      <c r="AG24" s="208">
        <v>40</v>
      </c>
      <c r="AH24" s="211">
        <f t="shared" si="48"/>
        <v>-280</v>
      </c>
      <c r="AI24" s="205">
        <f t="shared" si="49"/>
        <v>-0.875</v>
      </c>
    </row>
    <row r="25" spans="1:40" s="180" customFormat="1" x14ac:dyDescent="0.25">
      <c r="A25" s="212" t="s">
        <v>153</v>
      </c>
      <c r="B25" s="208">
        <f>'ESTIMATIVA ANUAL'!D35</f>
        <v>2292</v>
      </c>
      <c r="C25" s="208">
        <v>40</v>
      </c>
      <c r="D25" s="211">
        <f t="shared" si="36"/>
        <v>-2252</v>
      </c>
      <c r="E25" s="205">
        <f t="shared" si="37"/>
        <v>-0.98254799301919715</v>
      </c>
      <c r="F25" s="212" t="s">
        <v>153</v>
      </c>
      <c r="G25" s="208">
        <f>'ESTIMATIVA ANUAL'!E35</f>
        <v>2369</v>
      </c>
      <c r="H25" s="208">
        <v>40</v>
      </c>
      <c r="I25" s="211">
        <f t="shared" si="38"/>
        <v>-2329</v>
      </c>
      <c r="J25" s="205">
        <f t="shared" si="39"/>
        <v>-0.98311523849725624</v>
      </c>
      <c r="K25" s="212" t="s">
        <v>153</v>
      </c>
      <c r="L25" s="208">
        <f>'ESTIMATIVA ANUAL'!F35</f>
        <v>1267</v>
      </c>
      <c r="M25" s="208">
        <v>40</v>
      </c>
      <c r="N25" s="211">
        <f t="shared" si="40"/>
        <v>-1227</v>
      </c>
      <c r="O25" s="205">
        <f t="shared" si="50"/>
        <v>-0.9684293606945541</v>
      </c>
      <c r="P25" s="212" t="s">
        <v>153</v>
      </c>
      <c r="Q25" s="208">
        <f>'ESTIMATIVA ANUAL'!G35</f>
        <v>1266</v>
      </c>
      <c r="R25" s="208">
        <v>40</v>
      </c>
      <c r="S25" s="211">
        <f t="shared" si="42"/>
        <v>-1226</v>
      </c>
      <c r="T25" s="205">
        <f t="shared" si="43"/>
        <v>-0.96840442338072674</v>
      </c>
      <c r="U25" s="212" t="s">
        <v>153</v>
      </c>
      <c r="V25" s="208">
        <f>'ESTIMATIVA ANUAL'!H35</f>
        <v>1266</v>
      </c>
      <c r="W25" s="208">
        <v>40</v>
      </c>
      <c r="X25" s="211">
        <f t="shared" si="44"/>
        <v>-1226</v>
      </c>
      <c r="Y25" s="205">
        <f t="shared" si="45"/>
        <v>-0.96840442338072674</v>
      </c>
      <c r="Z25" s="212" t="s">
        <v>153</v>
      </c>
      <c r="AA25" s="208">
        <f>'ESTIMATIVA ANUAL'!I35</f>
        <v>40</v>
      </c>
      <c r="AB25" s="208">
        <v>40</v>
      </c>
      <c r="AC25" s="211">
        <f t="shared" si="46"/>
        <v>0</v>
      </c>
      <c r="AD25" s="205">
        <f t="shared" si="47"/>
        <v>0</v>
      </c>
      <c r="AE25" s="212" t="s">
        <v>153</v>
      </c>
      <c r="AF25" s="208">
        <f>'ESTIMATIVA ANUAL'!N35</f>
        <v>40</v>
      </c>
      <c r="AG25" s="208">
        <v>40</v>
      </c>
      <c r="AH25" s="211">
        <f t="shared" si="48"/>
        <v>0</v>
      </c>
      <c r="AI25" s="205">
        <f t="shared" si="49"/>
        <v>0</v>
      </c>
    </row>
    <row r="26" spans="1:40" s="180" customFormat="1" x14ac:dyDescent="0.25">
      <c r="A26" s="213" t="s">
        <v>171</v>
      </c>
      <c r="B26" s="208">
        <f>'ESTIMATIVA ANUAL'!D36</f>
        <v>0</v>
      </c>
      <c r="C26" s="208">
        <v>40</v>
      </c>
      <c r="D26" s="211">
        <f t="shared" si="36"/>
        <v>40</v>
      </c>
      <c r="E26" s="205" t="str">
        <f t="shared" si="37"/>
        <v/>
      </c>
      <c r="F26" s="213" t="s">
        <v>171</v>
      </c>
      <c r="G26" s="208">
        <f>'ESTIMATIVA ANUAL'!E36</f>
        <v>2369</v>
      </c>
      <c r="H26" s="208">
        <v>40</v>
      </c>
      <c r="I26" s="211">
        <f t="shared" si="38"/>
        <v>-2329</v>
      </c>
      <c r="J26" s="205">
        <f t="shared" si="39"/>
        <v>-0.98311523849725624</v>
      </c>
      <c r="K26" s="213" t="s">
        <v>171</v>
      </c>
      <c r="L26" s="208">
        <f>'ESTIMATIVA ANUAL'!F36</f>
        <v>2534</v>
      </c>
      <c r="M26" s="208">
        <v>40</v>
      </c>
      <c r="N26" s="211">
        <f t="shared" si="40"/>
        <v>-2494</v>
      </c>
      <c r="O26" s="205">
        <f t="shared" si="50"/>
        <v>-0.98421468034727699</v>
      </c>
      <c r="P26" s="213" t="s">
        <v>171</v>
      </c>
      <c r="Q26" s="208">
        <f>'ESTIMATIVA ANUAL'!G36</f>
        <v>2532</v>
      </c>
      <c r="R26" s="208">
        <v>40</v>
      </c>
      <c r="S26" s="211">
        <f t="shared" si="42"/>
        <v>-2492</v>
      </c>
      <c r="T26" s="205">
        <f t="shared" si="43"/>
        <v>-0.98420221169036337</v>
      </c>
      <c r="U26" s="213" t="s">
        <v>171</v>
      </c>
      <c r="V26" s="208">
        <f>'ESTIMATIVA ANUAL'!H36</f>
        <v>2532</v>
      </c>
      <c r="W26" s="208">
        <v>40</v>
      </c>
      <c r="X26" s="211">
        <f t="shared" si="44"/>
        <v>-2492</v>
      </c>
      <c r="Y26" s="205">
        <f t="shared" si="45"/>
        <v>-0.98420221169036337</v>
      </c>
      <c r="Z26" s="213" t="s">
        <v>171</v>
      </c>
      <c r="AA26" s="208">
        <f>'ESTIMATIVA ANUAL'!I36</f>
        <v>80</v>
      </c>
      <c r="AB26" s="208">
        <v>40</v>
      </c>
      <c r="AC26" s="211">
        <f t="shared" si="46"/>
        <v>-40</v>
      </c>
      <c r="AD26" s="205">
        <f t="shared" si="47"/>
        <v>-0.5</v>
      </c>
      <c r="AE26" s="213" t="s">
        <v>171</v>
      </c>
      <c r="AF26" s="208">
        <f>'ESTIMATIVA ANUAL'!N36</f>
        <v>80</v>
      </c>
      <c r="AG26" s="208">
        <v>40</v>
      </c>
      <c r="AH26" s="211">
        <f t="shared" si="48"/>
        <v>-40</v>
      </c>
      <c r="AI26" s="205">
        <f t="shared" si="49"/>
        <v>-0.5</v>
      </c>
    </row>
    <row r="27" spans="1:40" s="180" customFormat="1" x14ac:dyDescent="0.25">
      <c r="A27" s="213" t="s">
        <v>173</v>
      </c>
      <c r="B27" s="208" t="e">
        <f>'ESTIMATIVA ANUAL'!#REF!</f>
        <v>#REF!</v>
      </c>
      <c r="C27" s="208">
        <v>40</v>
      </c>
      <c r="D27" s="211" t="e">
        <f t="shared" si="36"/>
        <v>#REF!</v>
      </c>
      <c r="E27" s="205" t="e">
        <f t="shared" si="37"/>
        <v>#REF!</v>
      </c>
      <c r="F27" s="213" t="s">
        <v>173</v>
      </c>
      <c r="G27" s="208" t="e">
        <f>'ESTIMATIVA ANUAL'!#REF!</f>
        <v>#REF!</v>
      </c>
      <c r="H27" s="208">
        <v>40</v>
      </c>
      <c r="I27" s="211" t="e">
        <f t="shared" si="38"/>
        <v>#REF!</v>
      </c>
      <c r="J27" s="205" t="e">
        <f t="shared" si="39"/>
        <v>#REF!</v>
      </c>
      <c r="K27" s="213" t="s">
        <v>173</v>
      </c>
      <c r="L27" s="208" t="e">
        <f>'ESTIMATIVA ANUAL'!#REF!</f>
        <v>#REF!</v>
      </c>
      <c r="M27" s="208">
        <v>40</v>
      </c>
      <c r="N27" s="211" t="e">
        <f t="shared" si="40"/>
        <v>#REF!</v>
      </c>
      <c r="O27" s="205" t="e">
        <f t="shared" si="50"/>
        <v>#REF!</v>
      </c>
      <c r="P27" s="213" t="s">
        <v>173</v>
      </c>
      <c r="Q27" s="208" t="e">
        <f>'ESTIMATIVA ANUAL'!#REF!</f>
        <v>#REF!</v>
      </c>
      <c r="R27" s="208">
        <v>40</v>
      </c>
      <c r="S27" s="211" t="e">
        <f t="shared" si="42"/>
        <v>#REF!</v>
      </c>
      <c r="T27" s="205" t="e">
        <f t="shared" si="43"/>
        <v>#REF!</v>
      </c>
      <c r="U27" s="213" t="s">
        <v>173</v>
      </c>
      <c r="V27" s="208" t="e">
        <f>'ESTIMATIVA ANUAL'!#REF!</f>
        <v>#REF!</v>
      </c>
      <c r="W27" s="208">
        <v>40</v>
      </c>
      <c r="X27" s="211" t="e">
        <f t="shared" si="44"/>
        <v>#REF!</v>
      </c>
      <c r="Y27" s="205" t="e">
        <f t="shared" si="45"/>
        <v>#REF!</v>
      </c>
      <c r="Z27" s="213" t="s">
        <v>173</v>
      </c>
      <c r="AA27" s="208" t="e">
        <f>'ESTIMATIVA ANUAL'!#REF!</f>
        <v>#REF!</v>
      </c>
      <c r="AB27" s="208">
        <v>40</v>
      </c>
      <c r="AC27" s="211" t="e">
        <f t="shared" si="46"/>
        <v>#REF!</v>
      </c>
      <c r="AD27" s="205" t="e">
        <f t="shared" si="47"/>
        <v>#REF!</v>
      </c>
      <c r="AE27" s="213" t="s">
        <v>173</v>
      </c>
      <c r="AF27" s="208" t="e">
        <f>'ESTIMATIVA ANUAL'!#REF!</f>
        <v>#REF!</v>
      </c>
      <c r="AG27" s="208">
        <v>40</v>
      </c>
      <c r="AH27" s="211" t="e">
        <f t="shared" si="48"/>
        <v>#REF!</v>
      </c>
      <c r="AI27" s="205" t="e">
        <f t="shared" si="49"/>
        <v>#REF!</v>
      </c>
    </row>
    <row r="28" spans="1:40" s="180" customFormat="1" x14ac:dyDescent="0.25">
      <c r="A28" s="213" t="s">
        <v>139</v>
      </c>
      <c r="B28" s="208">
        <f>'ESTIMATIVA ANUAL'!D37</f>
        <v>0</v>
      </c>
      <c r="C28" s="208">
        <v>40</v>
      </c>
      <c r="D28" s="211">
        <f t="shared" si="36"/>
        <v>40</v>
      </c>
      <c r="E28" s="205" t="str">
        <f t="shared" si="37"/>
        <v/>
      </c>
      <c r="F28" s="213" t="s">
        <v>139</v>
      </c>
      <c r="G28" s="208">
        <f>'ESTIMATIVA ANUAL'!E37</f>
        <v>208</v>
      </c>
      <c r="H28" s="208">
        <v>40</v>
      </c>
      <c r="I28" s="211">
        <f t="shared" si="38"/>
        <v>-168</v>
      </c>
      <c r="J28" s="205">
        <f t="shared" si="39"/>
        <v>-0.80769230769230771</v>
      </c>
      <c r="K28" s="213" t="s">
        <v>139</v>
      </c>
      <c r="L28" s="208">
        <f>'ESTIMATIVA ANUAL'!F37</f>
        <v>208</v>
      </c>
      <c r="M28" s="208">
        <v>40</v>
      </c>
      <c r="N28" s="211">
        <f t="shared" si="40"/>
        <v>-168</v>
      </c>
      <c r="O28" s="205">
        <f t="shared" si="50"/>
        <v>-0.80769230769230771</v>
      </c>
      <c r="P28" s="213" t="s">
        <v>139</v>
      </c>
      <c r="Q28" s="208">
        <f>'ESTIMATIVA ANUAL'!G37</f>
        <v>208</v>
      </c>
      <c r="R28" s="208">
        <v>40</v>
      </c>
      <c r="S28" s="211">
        <f t="shared" si="42"/>
        <v>-168</v>
      </c>
      <c r="T28" s="205">
        <f t="shared" si="43"/>
        <v>-0.80769230769230771</v>
      </c>
      <c r="U28" s="213" t="s">
        <v>139</v>
      </c>
      <c r="V28" s="208">
        <f>'ESTIMATIVA ANUAL'!H37</f>
        <v>208</v>
      </c>
      <c r="W28" s="208">
        <v>40</v>
      </c>
      <c r="X28" s="211">
        <f t="shared" si="44"/>
        <v>-168</v>
      </c>
      <c r="Y28" s="205">
        <f t="shared" si="45"/>
        <v>-0.80769230769230771</v>
      </c>
      <c r="Z28" s="213" t="s">
        <v>139</v>
      </c>
      <c r="AA28" s="208">
        <f>'ESTIMATIVA ANUAL'!I37</f>
        <v>0</v>
      </c>
      <c r="AB28" s="208">
        <v>40</v>
      </c>
      <c r="AC28" s="211">
        <f t="shared" si="46"/>
        <v>40</v>
      </c>
      <c r="AD28" s="205" t="str">
        <f t="shared" si="47"/>
        <v/>
      </c>
      <c r="AE28" s="213" t="s">
        <v>139</v>
      </c>
      <c r="AF28" s="208">
        <f>'ESTIMATIVA ANUAL'!N37</f>
        <v>0</v>
      </c>
      <c r="AG28" s="208">
        <v>40</v>
      </c>
      <c r="AH28" s="211">
        <f t="shared" si="48"/>
        <v>40</v>
      </c>
      <c r="AI28" s="205" t="str">
        <f t="shared" si="49"/>
        <v/>
      </c>
    </row>
    <row r="29" spans="1:40" s="180" customFormat="1" x14ac:dyDescent="0.25">
      <c r="A29" s="213" t="s">
        <v>140</v>
      </c>
      <c r="B29" s="208">
        <f>'ESTIMATIVA ANUAL'!D38</f>
        <v>0</v>
      </c>
      <c r="C29" s="208">
        <v>41</v>
      </c>
      <c r="D29" s="211">
        <f t="shared" si="36"/>
        <v>41</v>
      </c>
      <c r="E29" s="205" t="str">
        <f t="shared" si="37"/>
        <v/>
      </c>
      <c r="F29" s="213" t="s">
        <v>140</v>
      </c>
      <c r="G29" s="208">
        <f>'ESTIMATIVA ANUAL'!E38</f>
        <v>312</v>
      </c>
      <c r="H29" s="208">
        <v>41</v>
      </c>
      <c r="I29" s="211">
        <f t="shared" si="38"/>
        <v>-271</v>
      </c>
      <c r="J29" s="205">
        <f t="shared" si="39"/>
        <v>-0.86858974358974361</v>
      </c>
      <c r="K29" s="213" t="s">
        <v>140</v>
      </c>
      <c r="L29" s="208">
        <f>'ESTIMATIVA ANUAL'!F38</f>
        <v>312</v>
      </c>
      <c r="M29" s="208">
        <v>41</v>
      </c>
      <c r="N29" s="211">
        <f t="shared" si="40"/>
        <v>-271</v>
      </c>
      <c r="O29" s="205">
        <f t="shared" si="50"/>
        <v>-0.86858974358974361</v>
      </c>
      <c r="P29" s="213" t="s">
        <v>140</v>
      </c>
      <c r="Q29" s="208">
        <f>'ESTIMATIVA ANUAL'!G38</f>
        <v>312</v>
      </c>
      <c r="R29" s="208">
        <v>41</v>
      </c>
      <c r="S29" s="211">
        <f t="shared" si="42"/>
        <v>-271</v>
      </c>
      <c r="T29" s="205">
        <f t="shared" si="43"/>
        <v>-0.86858974358974361</v>
      </c>
      <c r="U29" s="213" t="s">
        <v>140</v>
      </c>
      <c r="V29" s="208">
        <f>'ESTIMATIVA ANUAL'!H38</f>
        <v>312</v>
      </c>
      <c r="W29" s="208">
        <v>41</v>
      </c>
      <c r="X29" s="211">
        <f t="shared" si="44"/>
        <v>-271</v>
      </c>
      <c r="Y29" s="205">
        <f t="shared" si="45"/>
        <v>-0.86858974358974361</v>
      </c>
      <c r="Z29" s="213" t="s">
        <v>140</v>
      </c>
      <c r="AA29" s="208">
        <f>'ESTIMATIVA ANUAL'!I38</f>
        <v>0</v>
      </c>
      <c r="AB29" s="208">
        <v>41</v>
      </c>
      <c r="AC29" s="211">
        <f t="shared" si="46"/>
        <v>41</v>
      </c>
      <c r="AD29" s="205" t="str">
        <f t="shared" si="47"/>
        <v/>
      </c>
      <c r="AE29" s="213" t="s">
        <v>140</v>
      </c>
      <c r="AF29" s="208">
        <f>'ESTIMATIVA ANUAL'!N38</f>
        <v>0</v>
      </c>
      <c r="AG29" s="208">
        <v>41</v>
      </c>
      <c r="AH29" s="211">
        <f t="shared" si="48"/>
        <v>41</v>
      </c>
      <c r="AI29" s="205" t="str">
        <f t="shared" si="49"/>
        <v/>
      </c>
    </row>
    <row r="30" spans="1:40" s="180" customFormat="1" x14ac:dyDescent="0.25">
      <c r="A30" s="213" t="s">
        <v>141</v>
      </c>
      <c r="B30" s="208">
        <f>'ESTIMATIVA ANUAL'!D39</f>
        <v>0</v>
      </c>
      <c r="C30" s="208">
        <v>42</v>
      </c>
      <c r="D30" s="211">
        <f t="shared" si="36"/>
        <v>42</v>
      </c>
      <c r="E30" s="205" t="str">
        <f t="shared" si="37"/>
        <v/>
      </c>
      <c r="F30" s="213" t="s">
        <v>141</v>
      </c>
      <c r="G30" s="208">
        <f>'ESTIMATIVA ANUAL'!E39</f>
        <v>72.8</v>
      </c>
      <c r="H30" s="208">
        <v>42</v>
      </c>
      <c r="I30" s="211">
        <f t="shared" si="38"/>
        <v>-30.799999999999997</v>
      </c>
      <c r="J30" s="205">
        <f t="shared" si="39"/>
        <v>-0.42307692307692307</v>
      </c>
      <c r="K30" s="213" t="s">
        <v>141</v>
      </c>
      <c r="L30" s="208">
        <f>'ESTIMATIVA ANUAL'!F39</f>
        <v>72.8</v>
      </c>
      <c r="M30" s="208">
        <v>42</v>
      </c>
      <c r="N30" s="211">
        <f t="shared" si="40"/>
        <v>-30.799999999999997</v>
      </c>
      <c r="O30" s="205">
        <f t="shared" si="50"/>
        <v>-0.42307692307692307</v>
      </c>
      <c r="P30" s="213" t="s">
        <v>141</v>
      </c>
      <c r="Q30" s="208">
        <f>'ESTIMATIVA ANUAL'!G39</f>
        <v>72.8</v>
      </c>
      <c r="R30" s="208">
        <v>42</v>
      </c>
      <c r="S30" s="211">
        <f t="shared" si="42"/>
        <v>-30.799999999999997</v>
      </c>
      <c r="T30" s="205">
        <f t="shared" si="43"/>
        <v>-0.42307692307692307</v>
      </c>
      <c r="U30" s="213" t="s">
        <v>141</v>
      </c>
      <c r="V30" s="208">
        <f>'ESTIMATIVA ANUAL'!H39</f>
        <v>72.8</v>
      </c>
      <c r="W30" s="208">
        <v>42</v>
      </c>
      <c r="X30" s="211">
        <f t="shared" si="44"/>
        <v>-30.799999999999997</v>
      </c>
      <c r="Y30" s="205">
        <f t="shared" si="45"/>
        <v>-0.42307692307692307</v>
      </c>
      <c r="Z30" s="213" t="s">
        <v>141</v>
      </c>
      <c r="AA30" s="208">
        <f>'ESTIMATIVA ANUAL'!I39</f>
        <v>0</v>
      </c>
      <c r="AB30" s="208">
        <v>42</v>
      </c>
      <c r="AC30" s="211">
        <f t="shared" si="46"/>
        <v>42</v>
      </c>
      <c r="AD30" s="205" t="str">
        <f t="shared" si="47"/>
        <v/>
      </c>
      <c r="AE30" s="213" t="s">
        <v>141</v>
      </c>
      <c r="AF30" s="208">
        <f>'ESTIMATIVA ANUAL'!N39</f>
        <v>0</v>
      </c>
      <c r="AG30" s="208">
        <v>42</v>
      </c>
      <c r="AH30" s="211">
        <f t="shared" si="48"/>
        <v>42</v>
      </c>
      <c r="AI30" s="205" t="str">
        <f t="shared" si="49"/>
        <v/>
      </c>
    </row>
    <row r="31" spans="1:40" s="180" customFormat="1" x14ac:dyDescent="0.25">
      <c r="A31" s="212" t="s">
        <v>143</v>
      </c>
      <c r="B31" s="208">
        <f>'ESTIMATIVA ANUAL'!D40</f>
        <v>0</v>
      </c>
      <c r="C31" s="208">
        <v>43</v>
      </c>
      <c r="D31" s="211">
        <f t="shared" si="36"/>
        <v>43</v>
      </c>
      <c r="E31" s="205" t="str">
        <f t="shared" si="37"/>
        <v/>
      </c>
      <c r="F31" s="212" t="s">
        <v>143</v>
      </c>
      <c r="G31" s="208">
        <f>'ESTIMATIVA ANUAL'!E40</f>
        <v>62.4</v>
      </c>
      <c r="H31" s="208">
        <v>43</v>
      </c>
      <c r="I31" s="211">
        <f t="shared" si="38"/>
        <v>-19.399999999999999</v>
      </c>
      <c r="J31" s="205">
        <f t="shared" si="39"/>
        <v>-0.3108974358974359</v>
      </c>
      <c r="K31" s="212" t="s">
        <v>143</v>
      </c>
      <c r="L31" s="208">
        <f>'ESTIMATIVA ANUAL'!F40</f>
        <v>62.4</v>
      </c>
      <c r="M31" s="208">
        <v>43</v>
      </c>
      <c r="N31" s="211">
        <f t="shared" si="40"/>
        <v>-19.399999999999999</v>
      </c>
      <c r="O31" s="205">
        <f t="shared" si="50"/>
        <v>-0.3108974358974359</v>
      </c>
      <c r="P31" s="212" t="s">
        <v>143</v>
      </c>
      <c r="Q31" s="208">
        <f>'ESTIMATIVA ANUAL'!G40</f>
        <v>62.4</v>
      </c>
      <c r="R31" s="208">
        <v>43</v>
      </c>
      <c r="S31" s="211">
        <f t="shared" si="42"/>
        <v>-19.399999999999999</v>
      </c>
      <c r="T31" s="205">
        <f t="shared" si="43"/>
        <v>-0.3108974358974359</v>
      </c>
      <c r="U31" s="212" t="s">
        <v>143</v>
      </c>
      <c r="V31" s="208">
        <f>'ESTIMATIVA ANUAL'!H40</f>
        <v>62.4</v>
      </c>
      <c r="W31" s="208">
        <v>43</v>
      </c>
      <c r="X31" s="211">
        <f t="shared" si="44"/>
        <v>-19.399999999999999</v>
      </c>
      <c r="Y31" s="205">
        <f t="shared" si="45"/>
        <v>-0.3108974358974359</v>
      </c>
      <c r="Z31" s="212" t="s">
        <v>143</v>
      </c>
      <c r="AA31" s="208">
        <f>'ESTIMATIVA ANUAL'!I40</f>
        <v>0</v>
      </c>
      <c r="AB31" s="208">
        <v>43</v>
      </c>
      <c r="AC31" s="211">
        <f t="shared" si="46"/>
        <v>43</v>
      </c>
      <c r="AD31" s="205" t="str">
        <f t="shared" si="47"/>
        <v/>
      </c>
      <c r="AE31" s="212" t="s">
        <v>143</v>
      </c>
      <c r="AF31" s="208">
        <f>'ESTIMATIVA ANUAL'!N40</f>
        <v>0</v>
      </c>
      <c r="AG31" s="208">
        <v>43</v>
      </c>
      <c r="AH31" s="211">
        <f t="shared" si="48"/>
        <v>43</v>
      </c>
      <c r="AI31" s="205" t="str">
        <f t="shared" si="49"/>
        <v/>
      </c>
    </row>
    <row r="32" spans="1:40" s="180" customFormat="1" x14ac:dyDescent="0.25">
      <c r="A32" s="212" t="s">
        <v>148</v>
      </c>
      <c r="B32" s="208">
        <f>'ESTIMATIVA ANUAL'!D41</f>
        <v>0</v>
      </c>
      <c r="C32" s="208">
        <v>44</v>
      </c>
      <c r="D32" s="211">
        <f t="shared" si="36"/>
        <v>44</v>
      </c>
      <c r="E32" s="205" t="str">
        <f t="shared" si="37"/>
        <v/>
      </c>
      <c r="F32" s="212" t="s">
        <v>148</v>
      </c>
      <c r="G32" s="208">
        <f>'ESTIMATIVA ANUAL'!E41</f>
        <v>208</v>
      </c>
      <c r="H32" s="208">
        <v>44</v>
      </c>
      <c r="I32" s="211">
        <f t="shared" si="38"/>
        <v>-164</v>
      </c>
      <c r="J32" s="205">
        <f t="shared" si="39"/>
        <v>-0.78846153846153844</v>
      </c>
      <c r="K32" s="212" t="s">
        <v>148</v>
      </c>
      <c r="L32" s="208">
        <f>'ESTIMATIVA ANUAL'!F41</f>
        <v>208</v>
      </c>
      <c r="M32" s="208">
        <v>44</v>
      </c>
      <c r="N32" s="211">
        <f t="shared" si="40"/>
        <v>-164</v>
      </c>
      <c r="O32" s="205">
        <f t="shared" si="50"/>
        <v>-0.78846153846153844</v>
      </c>
      <c r="P32" s="212" t="s">
        <v>148</v>
      </c>
      <c r="Q32" s="208">
        <f>'ESTIMATIVA ANUAL'!G41</f>
        <v>208</v>
      </c>
      <c r="R32" s="208">
        <v>44</v>
      </c>
      <c r="S32" s="211">
        <f t="shared" si="42"/>
        <v>-164</v>
      </c>
      <c r="T32" s="205">
        <f t="shared" si="43"/>
        <v>-0.78846153846153844</v>
      </c>
      <c r="U32" s="212" t="s">
        <v>148</v>
      </c>
      <c r="V32" s="208">
        <f>'ESTIMATIVA ANUAL'!H41</f>
        <v>208</v>
      </c>
      <c r="W32" s="208">
        <v>44</v>
      </c>
      <c r="X32" s="211">
        <f t="shared" si="44"/>
        <v>-164</v>
      </c>
      <c r="Y32" s="205">
        <f t="shared" si="45"/>
        <v>-0.78846153846153844</v>
      </c>
      <c r="Z32" s="212" t="s">
        <v>148</v>
      </c>
      <c r="AA32" s="208">
        <f>'ESTIMATIVA ANUAL'!I41</f>
        <v>0</v>
      </c>
      <c r="AB32" s="208">
        <v>44</v>
      </c>
      <c r="AC32" s="211">
        <f t="shared" si="46"/>
        <v>44</v>
      </c>
      <c r="AD32" s="205" t="str">
        <f t="shared" si="47"/>
        <v/>
      </c>
      <c r="AE32" s="212" t="s">
        <v>148</v>
      </c>
      <c r="AF32" s="208">
        <f>'ESTIMATIVA ANUAL'!N41</f>
        <v>0</v>
      </c>
      <c r="AG32" s="208">
        <v>44</v>
      </c>
      <c r="AH32" s="211">
        <f t="shared" si="48"/>
        <v>44</v>
      </c>
      <c r="AI32" s="205" t="str">
        <f t="shared" si="49"/>
        <v/>
      </c>
    </row>
    <row r="33" spans="1:35" s="180" customFormat="1" x14ac:dyDescent="0.25">
      <c r="A33" s="212" t="s">
        <v>149</v>
      </c>
      <c r="B33" s="208">
        <f>'ESTIMATIVA ANUAL'!D42</f>
        <v>0</v>
      </c>
      <c r="C33" s="208">
        <v>45</v>
      </c>
      <c r="D33" s="211">
        <f t="shared" si="36"/>
        <v>45</v>
      </c>
      <c r="E33" s="205" t="str">
        <f t="shared" si="37"/>
        <v/>
      </c>
      <c r="F33" s="212" t="s">
        <v>149</v>
      </c>
      <c r="G33" s="208">
        <f>'ESTIMATIVA ANUAL'!E42</f>
        <v>156</v>
      </c>
      <c r="H33" s="208">
        <v>45</v>
      </c>
      <c r="I33" s="211">
        <f t="shared" si="38"/>
        <v>-111</v>
      </c>
      <c r="J33" s="205">
        <f t="shared" si="39"/>
        <v>-0.71153846153846156</v>
      </c>
      <c r="K33" s="212" t="s">
        <v>149</v>
      </c>
      <c r="L33" s="208">
        <f>'ESTIMATIVA ANUAL'!F42</f>
        <v>156</v>
      </c>
      <c r="M33" s="208">
        <v>45</v>
      </c>
      <c r="N33" s="211">
        <f t="shared" si="40"/>
        <v>-111</v>
      </c>
      <c r="O33" s="205">
        <f t="shared" si="50"/>
        <v>-0.71153846153846156</v>
      </c>
      <c r="P33" s="212" t="s">
        <v>149</v>
      </c>
      <c r="Q33" s="208">
        <f>'ESTIMATIVA ANUAL'!G42</f>
        <v>156</v>
      </c>
      <c r="R33" s="208">
        <v>45</v>
      </c>
      <c r="S33" s="211">
        <f t="shared" si="42"/>
        <v>-111</v>
      </c>
      <c r="T33" s="205">
        <f t="shared" si="43"/>
        <v>-0.71153846153846156</v>
      </c>
      <c r="U33" s="212" t="s">
        <v>149</v>
      </c>
      <c r="V33" s="208">
        <f>'ESTIMATIVA ANUAL'!H42</f>
        <v>156</v>
      </c>
      <c r="W33" s="208">
        <v>45</v>
      </c>
      <c r="X33" s="211">
        <f t="shared" si="44"/>
        <v>-111</v>
      </c>
      <c r="Y33" s="205">
        <f t="shared" si="45"/>
        <v>-0.71153846153846156</v>
      </c>
      <c r="Z33" s="212" t="s">
        <v>149</v>
      </c>
      <c r="AA33" s="208">
        <f>'ESTIMATIVA ANUAL'!I42</f>
        <v>0</v>
      </c>
      <c r="AB33" s="208">
        <v>45</v>
      </c>
      <c r="AC33" s="211">
        <f t="shared" si="46"/>
        <v>45</v>
      </c>
      <c r="AD33" s="205" t="str">
        <f t="shared" si="47"/>
        <v/>
      </c>
      <c r="AE33" s="212" t="s">
        <v>149</v>
      </c>
      <c r="AF33" s="208">
        <f>'ESTIMATIVA ANUAL'!N42</f>
        <v>0</v>
      </c>
      <c r="AG33" s="208">
        <v>45</v>
      </c>
      <c r="AH33" s="211">
        <f t="shared" si="48"/>
        <v>45</v>
      </c>
      <c r="AI33" s="205" t="str">
        <f t="shared" si="49"/>
        <v/>
      </c>
    </row>
    <row r="34" spans="1:35" s="180" customFormat="1" ht="15.75" thickBot="1" x14ac:dyDescent="0.3">
      <c r="A34" s="212" t="s">
        <v>184</v>
      </c>
      <c r="B34" s="208">
        <f>'ESTIMATIVA ANUAL'!D43</f>
        <v>0</v>
      </c>
      <c r="C34" s="208">
        <v>46</v>
      </c>
      <c r="D34" s="211">
        <f t="shared" si="36"/>
        <v>46</v>
      </c>
      <c r="E34" s="205" t="str">
        <f t="shared" si="37"/>
        <v/>
      </c>
      <c r="F34" s="212" t="s">
        <v>184</v>
      </c>
      <c r="G34" s="208">
        <f>'ESTIMATIVA ANUAL'!E43</f>
        <v>0</v>
      </c>
      <c r="H34" s="208">
        <v>46</v>
      </c>
      <c r="I34" s="211">
        <f t="shared" si="38"/>
        <v>46</v>
      </c>
      <c r="J34" s="205" t="str">
        <f t="shared" si="39"/>
        <v/>
      </c>
      <c r="K34" s="212" t="s">
        <v>184</v>
      </c>
      <c r="L34" s="208">
        <f>'ESTIMATIVA ANUAL'!F43</f>
        <v>0</v>
      </c>
      <c r="M34" s="208">
        <v>46</v>
      </c>
      <c r="N34" s="211">
        <f t="shared" si="40"/>
        <v>46</v>
      </c>
      <c r="O34" s="205" t="str">
        <f t="shared" si="50"/>
        <v/>
      </c>
      <c r="P34" s="212" t="s">
        <v>184</v>
      </c>
      <c r="Q34" s="208">
        <f>'ESTIMATIVA ANUAL'!G43</f>
        <v>0</v>
      </c>
      <c r="R34" s="208">
        <v>46</v>
      </c>
      <c r="S34" s="211">
        <f t="shared" si="42"/>
        <v>46</v>
      </c>
      <c r="T34" s="205" t="str">
        <f t="shared" si="43"/>
        <v/>
      </c>
      <c r="U34" s="212" t="s">
        <v>184</v>
      </c>
      <c r="V34" s="208">
        <f>'ESTIMATIVA ANUAL'!H43</f>
        <v>0</v>
      </c>
      <c r="W34" s="208">
        <v>46</v>
      </c>
      <c r="X34" s="211">
        <f t="shared" si="44"/>
        <v>46</v>
      </c>
      <c r="Y34" s="205" t="str">
        <f t="shared" si="45"/>
        <v/>
      </c>
      <c r="Z34" s="212" t="s">
        <v>184</v>
      </c>
      <c r="AA34" s="208">
        <f>'ESTIMATIVA ANUAL'!I43</f>
        <v>0</v>
      </c>
      <c r="AB34" s="208">
        <v>46</v>
      </c>
      <c r="AC34" s="211">
        <f t="shared" si="46"/>
        <v>46</v>
      </c>
      <c r="AD34" s="205" t="str">
        <f t="shared" si="47"/>
        <v/>
      </c>
      <c r="AE34" s="212" t="s">
        <v>184</v>
      </c>
      <c r="AF34" s="208">
        <f>'ESTIMATIVA ANUAL'!N43</f>
        <v>0</v>
      </c>
      <c r="AG34" s="208">
        <v>46</v>
      </c>
      <c r="AH34" s="211">
        <f t="shared" si="48"/>
        <v>46</v>
      </c>
      <c r="AI34" s="205" t="str">
        <f t="shared" si="49"/>
        <v/>
      </c>
    </row>
    <row r="35" spans="1:35" s="180" customFormat="1" ht="19.5" thickBot="1" x14ac:dyDescent="0.45">
      <c r="A35" s="201" t="s">
        <v>185</v>
      </c>
      <c r="B35" s="202" t="e">
        <f>SUM(B23:B34)</f>
        <v>#REF!</v>
      </c>
      <c r="C35" s="203">
        <f t="shared" ref="C35" si="51">SUM(C23:C34)</f>
        <v>461</v>
      </c>
      <c r="D35" s="204" t="e">
        <f t="shared" si="36"/>
        <v>#REF!</v>
      </c>
      <c r="E35" s="205" t="e">
        <f t="shared" si="37"/>
        <v>#REF!</v>
      </c>
      <c r="F35" s="201" t="s">
        <v>185</v>
      </c>
      <c r="G35" s="202" t="e">
        <f>SUM(G23:G34)</f>
        <v>#REF!</v>
      </c>
      <c r="H35" s="203">
        <f t="shared" ref="H35" si="52">SUM(H23:H34)</f>
        <v>501</v>
      </c>
      <c r="I35" s="204" t="e">
        <f t="shared" si="38"/>
        <v>#REF!</v>
      </c>
      <c r="J35" s="205" t="e">
        <f t="shared" si="39"/>
        <v>#REF!</v>
      </c>
      <c r="K35" s="201" t="s">
        <v>185</v>
      </c>
      <c r="L35" s="202" t="e">
        <f>SUM(L23:L34)</f>
        <v>#REF!</v>
      </c>
      <c r="M35" s="203">
        <f t="shared" ref="M35" si="53">SUM(M23:M34)</f>
        <v>501</v>
      </c>
      <c r="N35" s="204" t="e">
        <f t="shared" si="40"/>
        <v>#REF!</v>
      </c>
      <c r="O35" s="205" t="e">
        <f t="shared" si="50"/>
        <v>#REF!</v>
      </c>
      <c r="P35" s="201" t="s">
        <v>185</v>
      </c>
      <c r="Q35" s="202" t="e">
        <f>SUM(Q23:Q34)</f>
        <v>#REF!</v>
      </c>
      <c r="R35" s="203">
        <f t="shared" ref="R35" si="54">SUM(R23:R34)</f>
        <v>501</v>
      </c>
      <c r="S35" s="204" t="e">
        <f t="shared" si="42"/>
        <v>#REF!</v>
      </c>
      <c r="T35" s="205" t="e">
        <f t="shared" si="43"/>
        <v>#REF!</v>
      </c>
      <c r="U35" s="201" t="s">
        <v>185</v>
      </c>
      <c r="V35" s="202" t="e">
        <f>SUM(V23:V34)</f>
        <v>#REF!</v>
      </c>
      <c r="W35" s="203">
        <f t="shared" ref="W35" si="55">SUM(W23:W34)</f>
        <v>501</v>
      </c>
      <c r="X35" s="204" t="e">
        <f t="shared" si="44"/>
        <v>#REF!</v>
      </c>
      <c r="Y35" s="205" t="e">
        <f t="shared" si="45"/>
        <v>#REF!</v>
      </c>
      <c r="Z35" s="201" t="s">
        <v>185</v>
      </c>
      <c r="AA35" s="202" t="e">
        <f>SUM(AA23:AA34)</f>
        <v>#REF!</v>
      </c>
      <c r="AB35" s="203">
        <f t="shared" ref="AB35" si="56">SUM(AB23:AB34)</f>
        <v>501</v>
      </c>
      <c r="AC35" s="204" t="e">
        <f t="shared" si="46"/>
        <v>#REF!</v>
      </c>
      <c r="AD35" s="205" t="e">
        <f t="shared" si="47"/>
        <v>#REF!</v>
      </c>
      <c r="AE35" s="201" t="s">
        <v>185</v>
      </c>
      <c r="AF35" s="202" t="e">
        <f>SUM(AF23:AF34)</f>
        <v>#REF!</v>
      </c>
      <c r="AG35" s="203">
        <f t="shared" ref="AG35" si="57">SUM(AG23:AG34)</f>
        <v>501</v>
      </c>
      <c r="AH35" s="204" t="e">
        <f t="shared" si="48"/>
        <v>#REF!</v>
      </c>
      <c r="AI35" s="205" t="e">
        <f t="shared" si="49"/>
        <v>#REF!</v>
      </c>
    </row>
    <row r="36" spans="1:35" ht="15.75" thickBot="1" x14ac:dyDescent="0.3">
      <c r="A36" s="215" t="s">
        <v>186</v>
      </c>
      <c r="B36" s="216" t="e">
        <f>SUM(B21,B35)</f>
        <v>#REF!</v>
      </c>
      <c r="C36" s="216">
        <f t="shared" ref="C36" si="58">SUM(C21,C35)</f>
        <v>701</v>
      </c>
      <c r="D36" s="217" t="e">
        <f>C36-B36</f>
        <v>#REF!</v>
      </c>
      <c r="E36" s="205" t="e">
        <f>IF(D36=C36,"",IF(D36="","",D36/B36*1))</f>
        <v>#REF!</v>
      </c>
      <c r="F36" s="215" t="s">
        <v>186</v>
      </c>
      <c r="G36" s="216" t="e">
        <f>SUM(G21,G35)</f>
        <v>#REF!</v>
      </c>
      <c r="H36" s="216">
        <f t="shared" ref="H36" si="59">SUM(H21,H35)</f>
        <v>741</v>
      </c>
      <c r="I36" s="217" t="e">
        <f>H36-G36</f>
        <v>#REF!</v>
      </c>
      <c r="J36" s="205" t="e">
        <f>IF(I36=H36,"",IF(I36="","",I36/G36*1))</f>
        <v>#REF!</v>
      </c>
      <c r="K36" s="215" t="s">
        <v>186</v>
      </c>
      <c r="L36" s="216" t="e">
        <f>SUM(L21,L35)</f>
        <v>#REF!</v>
      </c>
      <c r="M36" s="216">
        <f t="shared" ref="M36" si="60">SUM(M21,M35)</f>
        <v>741</v>
      </c>
      <c r="N36" s="217" t="e">
        <f>M36-L36</f>
        <v>#REF!</v>
      </c>
      <c r="O36" s="205" t="e">
        <f>IF(N36=M36,"",IF(N36="","",N36/L36*1))</f>
        <v>#REF!</v>
      </c>
      <c r="P36" s="215" t="s">
        <v>186</v>
      </c>
      <c r="Q36" s="216" t="e">
        <f>SUM(Q21,Q35)</f>
        <v>#REF!</v>
      </c>
      <c r="R36" s="216">
        <f t="shared" ref="R36" si="61">SUM(R21,R35)</f>
        <v>741</v>
      </c>
      <c r="S36" s="217" t="e">
        <f>R36-Q36</f>
        <v>#REF!</v>
      </c>
      <c r="T36" s="205" t="e">
        <f>IF(S36=R36,"",IF(S36="","",S36/Q36*1))</f>
        <v>#REF!</v>
      </c>
      <c r="U36" s="215" t="s">
        <v>186</v>
      </c>
      <c r="V36" s="216" t="e">
        <f>SUM(V21,V35)</f>
        <v>#REF!</v>
      </c>
      <c r="W36" s="216">
        <f t="shared" ref="W36" si="62">SUM(W21,W35)</f>
        <v>741</v>
      </c>
      <c r="X36" s="217" t="e">
        <f>W36-V36</f>
        <v>#REF!</v>
      </c>
      <c r="Y36" s="205" t="e">
        <f>IF(X36=W36,"",IF(X36="","",X36/V36*1))</f>
        <v>#REF!</v>
      </c>
      <c r="Z36" s="215" t="s">
        <v>186</v>
      </c>
      <c r="AA36" s="216" t="e">
        <f>SUM(AA21,AA35)</f>
        <v>#REF!</v>
      </c>
      <c r="AB36" s="216">
        <f t="shared" ref="AB36" si="63">SUM(AB21,AB35)</f>
        <v>741</v>
      </c>
      <c r="AC36" s="217" t="e">
        <f>AB36-AA36</f>
        <v>#REF!</v>
      </c>
      <c r="AD36" s="205" t="e">
        <f>IF(AC36=AB36,"",IF(AC36="","",AC36/AA36*1))</f>
        <v>#REF!</v>
      </c>
      <c r="AE36" s="215" t="s">
        <v>186</v>
      </c>
      <c r="AF36" s="216" t="e">
        <f>SUM(AF21,AF35)</f>
        <v>#REF!</v>
      </c>
      <c r="AG36" s="216">
        <f t="shared" ref="AG36" si="64">SUM(AG21,AG35)</f>
        <v>741</v>
      </c>
      <c r="AH36" s="217" t="e">
        <f>AG36-AF36</f>
        <v>#REF!</v>
      </c>
      <c r="AI36" s="205" t="e">
        <f>IF(AH36=AG36,"",IF(AH36="","",AH36/AF36*1))</f>
        <v>#REF!</v>
      </c>
    </row>
    <row r="37" spans="1:35" ht="15.75" thickBot="1" x14ac:dyDescent="0.3">
      <c r="A37" s="218" t="s">
        <v>187</v>
      </c>
      <c r="B37" s="190" t="s">
        <v>156</v>
      </c>
      <c r="C37" s="191" t="s">
        <v>157</v>
      </c>
      <c r="D37" s="192" t="s">
        <v>166</v>
      </c>
      <c r="E37" s="188" t="s">
        <v>167</v>
      </c>
      <c r="F37" s="218" t="s">
        <v>187</v>
      </c>
      <c r="G37" s="190" t="s">
        <v>156</v>
      </c>
      <c r="H37" s="191" t="s">
        <v>157</v>
      </c>
      <c r="I37" s="192" t="s">
        <v>166</v>
      </c>
      <c r="J37" s="188" t="s">
        <v>167</v>
      </c>
      <c r="K37" s="218" t="s">
        <v>187</v>
      </c>
      <c r="L37" s="190" t="s">
        <v>156</v>
      </c>
      <c r="M37" s="191" t="s">
        <v>157</v>
      </c>
      <c r="N37" s="192" t="s">
        <v>166</v>
      </c>
      <c r="O37" s="188" t="s">
        <v>167</v>
      </c>
      <c r="P37" s="218" t="s">
        <v>187</v>
      </c>
      <c r="Q37" s="190" t="s">
        <v>156</v>
      </c>
      <c r="R37" s="191" t="s">
        <v>157</v>
      </c>
      <c r="S37" s="192" t="s">
        <v>166</v>
      </c>
      <c r="T37" s="188" t="s">
        <v>167</v>
      </c>
      <c r="U37" s="218" t="s">
        <v>187</v>
      </c>
      <c r="V37" s="190" t="s">
        <v>156</v>
      </c>
      <c r="W37" s="191" t="s">
        <v>157</v>
      </c>
      <c r="X37" s="192" t="s">
        <v>166</v>
      </c>
      <c r="Y37" s="188" t="s">
        <v>167</v>
      </c>
      <c r="Z37" s="218" t="s">
        <v>187</v>
      </c>
      <c r="AA37" s="190" t="s">
        <v>156</v>
      </c>
      <c r="AB37" s="191" t="s">
        <v>157</v>
      </c>
      <c r="AC37" s="192" t="s">
        <v>166</v>
      </c>
      <c r="AD37" s="188" t="s">
        <v>167</v>
      </c>
      <c r="AE37" s="218" t="s">
        <v>187</v>
      </c>
      <c r="AF37" s="190" t="s">
        <v>156</v>
      </c>
      <c r="AG37" s="191" t="s">
        <v>157</v>
      </c>
      <c r="AH37" s="192" t="s">
        <v>166</v>
      </c>
      <c r="AI37" s="188" t="s">
        <v>167</v>
      </c>
    </row>
    <row r="38" spans="1:35" ht="15.75" thickBot="1" x14ac:dyDescent="0.3">
      <c r="A38" s="181" t="s">
        <v>160</v>
      </c>
      <c r="B38" s="214" t="e">
        <f>B13-B36</f>
        <v>#REF!</v>
      </c>
      <c r="C38" s="214">
        <f>C13-C36</f>
        <v>4399</v>
      </c>
      <c r="D38" s="204" t="e">
        <f t="shared" ref="D38:D42" si="65">C38-B38</f>
        <v>#REF!</v>
      </c>
      <c r="E38" s="205" t="e">
        <f t="shared" ref="E38:E42" si="66">IF(D38=C38,"",IF(D38="","",D38/B38*1))</f>
        <v>#REF!</v>
      </c>
      <c r="F38" s="181" t="s">
        <v>160</v>
      </c>
      <c r="G38" s="214" t="e">
        <f>G13-G36</f>
        <v>#REF!</v>
      </c>
      <c r="H38" s="214">
        <f>H13-H36</f>
        <v>2349</v>
      </c>
      <c r="I38" s="204" t="e">
        <f t="shared" ref="I38:I42" si="67">H38-G38</f>
        <v>#REF!</v>
      </c>
      <c r="J38" s="205" t="e">
        <f t="shared" ref="J38:J42" si="68">IF(I38=H38,"",IF(I38="","",I38/G38*1))</f>
        <v>#REF!</v>
      </c>
      <c r="K38" s="181" t="s">
        <v>160</v>
      </c>
      <c r="L38" s="214" t="e">
        <f>L13-L36</f>
        <v>#REF!</v>
      </c>
      <c r="M38" s="214">
        <f>M13-M36</f>
        <v>2349</v>
      </c>
      <c r="N38" s="204" t="e">
        <f t="shared" ref="N38:N42" si="69">M38-L38</f>
        <v>#REF!</v>
      </c>
      <c r="O38" s="205" t="e">
        <f t="shared" ref="O38:O42" si="70">IF(N38=M38,"",IF(N38="","",N38/L38*1))</f>
        <v>#REF!</v>
      </c>
      <c r="P38" s="181" t="s">
        <v>160</v>
      </c>
      <c r="Q38" s="214" t="e">
        <f>Q13-Q36</f>
        <v>#REF!</v>
      </c>
      <c r="R38" s="214">
        <f>R13-R36</f>
        <v>-741</v>
      </c>
      <c r="S38" s="204" t="e">
        <f t="shared" ref="S38:S42" si="71">R38-Q38</f>
        <v>#REF!</v>
      </c>
      <c r="T38" s="205" t="e">
        <f t="shared" ref="T38:T42" si="72">IF(S38=R38,"",IF(S38="","",S38/Q38*1))</f>
        <v>#REF!</v>
      </c>
      <c r="U38" s="181" t="s">
        <v>160</v>
      </c>
      <c r="V38" s="214" t="e">
        <f>V13-V36</f>
        <v>#REF!</v>
      </c>
      <c r="W38" s="214">
        <f>W13-W36</f>
        <v>2349</v>
      </c>
      <c r="X38" s="204" t="e">
        <f t="shared" ref="X38:X42" si="73">W38-V38</f>
        <v>#REF!</v>
      </c>
      <c r="Y38" s="205" t="e">
        <f t="shared" ref="Y38:Y42" si="74">IF(X38=W38,"",IF(X38="","",X38/V38*1))</f>
        <v>#REF!</v>
      </c>
      <c r="Z38" s="181" t="s">
        <v>160</v>
      </c>
      <c r="AA38" s="214" t="e">
        <f>AA13-AA36</f>
        <v>#REF!</v>
      </c>
      <c r="AB38" s="214">
        <f>AB13-AB36</f>
        <v>2349</v>
      </c>
      <c r="AC38" s="204" t="e">
        <f t="shared" ref="AC38:AC42" si="75">AB38-AA38</f>
        <v>#REF!</v>
      </c>
      <c r="AD38" s="205" t="e">
        <f t="shared" ref="AD38:AD42" si="76">IF(AC38=AB38,"",IF(AC38="","",AC38/AA38*1))</f>
        <v>#REF!</v>
      </c>
      <c r="AE38" s="181" t="s">
        <v>160</v>
      </c>
      <c r="AF38" s="214" t="e">
        <f>AF13-AF36</f>
        <v>#REF!</v>
      </c>
      <c r="AG38" s="214">
        <f>AG13-AG36</f>
        <v>2349</v>
      </c>
      <c r="AH38" s="204" t="e">
        <f t="shared" ref="AH38:AH42" si="77">AG38-AF38</f>
        <v>#REF!</v>
      </c>
      <c r="AI38" s="205" t="e">
        <f t="shared" ref="AI38:AI42" si="78">IF(AH38=AG38,"",IF(AH38="","",AH38/AF38*1))</f>
        <v>#REF!</v>
      </c>
    </row>
    <row r="39" spans="1:35" ht="15.75" thickBot="1" x14ac:dyDescent="0.3">
      <c r="A39" s="181" t="s">
        <v>161</v>
      </c>
      <c r="B39" s="219"/>
      <c r="C39" s="219"/>
      <c r="D39" s="204">
        <f t="shared" si="65"/>
        <v>0</v>
      </c>
      <c r="E39" s="205" t="str">
        <f t="shared" si="66"/>
        <v/>
      </c>
      <c r="F39" s="181" t="s">
        <v>161</v>
      </c>
      <c r="G39" s="185" t="e">
        <f>B42</f>
        <v>#REF!</v>
      </c>
      <c r="H39" s="214">
        <f>C42</f>
        <v>4399</v>
      </c>
      <c r="I39" s="204" t="e">
        <f t="shared" si="67"/>
        <v>#REF!</v>
      </c>
      <c r="J39" s="205" t="e">
        <f t="shared" si="68"/>
        <v>#REF!</v>
      </c>
      <c r="K39" s="181" t="s">
        <v>161</v>
      </c>
      <c r="L39" s="185" t="e">
        <f>G42</f>
        <v>#REF!</v>
      </c>
      <c r="M39" s="214">
        <f>H42</f>
        <v>6748</v>
      </c>
      <c r="N39" s="204" t="e">
        <f t="shared" si="69"/>
        <v>#REF!</v>
      </c>
      <c r="O39" s="205" t="e">
        <f t="shared" si="70"/>
        <v>#REF!</v>
      </c>
      <c r="P39" s="181" t="s">
        <v>161</v>
      </c>
      <c r="Q39" s="185" t="e">
        <f>L42</f>
        <v>#REF!</v>
      </c>
      <c r="R39" s="214">
        <f>M42</f>
        <v>9097</v>
      </c>
      <c r="S39" s="204" t="e">
        <f t="shared" si="71"/>
        <v>#REF!</v>
      </c>
      <c r="T39" s="205" t="e">
        <f t="shared" si="72"/>
        <v>#REF!</v>
      </c>
      <c r="U39" s="181" t="s">
        <v>161</v>
      </c>
      <c r="V39" s="185" t="e">
        <f>Q42</f>
        <v>#REF!</v>
      </c>
      <c r="W39" s="214">
        <f>R42</f>
        <v>8356</v>
      </c>
      <c r="X39" s="204" t="e">
        <f t="shared" si="73"/>
        <v>#REF!</v>
      </c>
      <c r="Y39" s="205" t="e">
        <f t="shared" si="74"/>
        <v>#REF!</v>
      </c>
      <c r="Z39" s="181" t="s">
        <v>161</v>
      </c>
      <c r="AA39" s="185" t="e">
        <f>V42</f>
        <v>#REF!</v>
      </c>
      <c r="AB39" s="214">
        <f>W42</f>
        <v>10705</v>
      </c>
      <c r="AC39" s="204" t="e">
        <f t="shared" si="75"/>
        <v>#REF!</v>
      </c>
      <c r="AD39" s="205" t="e">
        <f t="shared" si="76"/>
        <v>#REF!</v>
      </c>
      <c r="AE39" s="181" t="s">
        <v>161</v>
      </c>
      <c r="AF39" s="185" t="e">
        <f>AA42</f>
        <v>#REF!</v>
      </c>
      <c r="AG39" s="214">
        <f>AB42</f>
        <v>13054</v>
      </c>
      <c r="AH39" s="204" t="e">
        <f t="shared" si="77"/>
        <v>#REF!</v>
      </c>
      <c r="AI39" s="205" t="e">
        <f t="shared" si="78"/>
        <v>#REF!</v>
      </c>
    </row>
    <row r="40" spans="1:35" ht="15.75" thickBot="1" x14ac:dyDescent="0.3">
      <c r="A40" s="181" t="s">
        <v>162</v>
      </c>
      <c r="B40" s="214" t="e">
        <f>B38+B39</f>
        <v>#REF!</v>
      </c>
      <c r="C40" s="214">
        <f t="shared" ref="C40:H40" si="79">C38+C39</f>
        <v>4399</v>
      </c>
      <c r="D40" s="204" t="e">
        <f t="shared" si="65"/>
        <v>#REF!</v>
      </c>
      <c r="E40" s="205" t="e">
        <f t="shared" si="66"/>
        <v>#REF!</v>
      </c>
      <c r="F40" s="181" t="s">
        <v>162</v>
      </c>
      <c r="G40" s="182" t="e">
        <f t="shared" si="79"/>
        <v>#REF!</v>
      </c>
      <c r="H40" s="182">
        <f t="shared" si="79"/>
        <v>6748</v>
      </c>
      <c r="I40" s="204" t="e">
        <f t="shared" si="67"/>
        <v>#REF!</v>
      </c>
      <c r="J40" s="205" t="e">
        <f t="shared" si="68"/>
        <v>#REF!</v>
      </c>
      <c r="K40" s="181" t="s">
        <v>162</v>
      </c>
      <c r="L40" s="182" t="e">
        <f t="shared" ref="L40:M40" si="80">L38+L39</f>
        <v>#REF!</v>
      </c>
      <c r="M40" s="182">
        <f t="shared" si="80"/>
        <v>9097</v>
      </c>
      <c r="N40" s="204" t="e">
        <f t="shared" si="69"/>
        <v>#REF!</v>
      </c>
      <c r="O40" s="205" t="e">
        <f t="shared" si="70"/>
        <v>#REF!</v>
      </c>
      <c r="P40" s="181" t="s">
        <v>162</v>
      </c>
      <c r="Q40" s="182" t="e">
        <f t="shared" ref="Q40:R40" si="81">Q38+Q39</f>
        <v>#REF!</v>
      </c>
      <c r="R40" s="182">
        <f t="shared" si="81"/>
        <v>8356</v>
      </c>
      <c r="S40" s="204" t="e">
        <f t="shared" si="71"/>
        <v>#REF!</v>
      </c>
      <c r="T40" s="205" t="e">
        <f t="shared" si="72"/>
        <v>#REF!</v>
      </c>
      <c r="U40" s="181" t="s">
        <v>162</v>
      </c>
      <c r="V40" s="182" t="e">
        <f t="shared" ref="V40:W40" si="82">V38+V39</f>
        <v>#REF!</v>
      </c>
      <c r="W40" s="182">
        <f t="shared" si="82"/>
        <v>10705</v>
      </c>
      <c r="X40" s="204" t="e">
        <f t="shared" si="73"/>
        <v>#REF!</v>
      </c>
      <c r="Y40" s="205" t="e">
        <f t="shared" si="74"/>
        <v>#REF!</v>
      </c>
      <c r="Z40" s="181" t="s">
        <v>162</v>
      </c>
      <c r="AA40" s="182" t="e">
        <f t="shared" ref="AA40:AB40" si="83">AA38+AA39</f>
        <v>#REF!</v>
      </c>
      <c r="AB40" s="182">
        <f t="shared" si="83"/>
        <v>13054</v>
      </c>
      <c r="AC40" s="204" t="e">
        <f t="shared" si="75"/>
        <v>#REF!</v>
      </c>
      <c r="AD40" s="205" t="e">
        <f t="shared" si="76"/>
        <v>#REF!</v>
      </c>
      <c r="AE40" s="181" t="s">
        <v>162</v>
      </c>
      <c r="AF40" s="182" t="e">
        <f t="shared" ref="AF40:AG40" si="84">AF38+AF39</f>
        <v>#REF!</v>
      </c>
      <c r="AG40" s="182">
        <f t="shared" si="84"/>
        <v>15403</v>
      </c>
      <c r="AH40" s="204" t="e">
        <f t="shared" si="77"/>
        <v>#REF!</v>
      </c>
      <c r="AI40" s="205" t="e">
        <f t="shared" si="78"/>
        <v>#REF!</v>
      </c>
    </row>
    <row r="41" spans="1:35" s="180" customFormat="1" ht="15.75" thickBot="1" x14ac:dyDescent="0.3">
      <c r="A41" s="186" t="s">
        <v>163</v>
      </c>
      <c r="B41" s="219"/>
      <c r="C41" s="219"/>
      <c r="D41" s="204">
        <f t="shared" si="65"/>
        <v>0</v>
      </c>
      <c r="E41" s="205" t="str">
        <f t="shared" si="66"/>
        <v/>
      </c>
      <c r="F41" s="186" t="s">
        <v>163</v>
      </c>
      <c r="G41" s="184"/>
      <c r="H41" s="184"/>
      <c r="I41" s="204">
        <f t="shared" si="67"/>
        <v>0</v>
      </c>
      <c r="J41" s="205" t="str">
        <f t="shared" si="68"/>
        <v/>
      </c>
      <c r="K41" s="186" t="s">
        <v>163</v>
      </c>
      <c r="L41" s="184"/>
      <c r="M41" s="184"/>
      <c r="N41" s="204">
        <f t="shared" si="69"/>
        <v>0</v>
      </c>
      <c r="O41" s="205" t="str">
        <f t="shared" si="70"/>
        <v/>
      </c>
      <c r="P41" s="186" t="s">
        <v>163</v>
      </c>
      <c r="Q41" s="184"/>
      <c r="R41" s="184"/>
      <c r="S41" s="204">
        <f t="shared" si="71"/>
        <v>0</v>
      </c>
      <c r="T41" s="205" t="str">
        <f t="shared" si="72"/>
        <v/>
      </c>
      <c r="U41" s="186" t="s">
        <v>163</v>
      </c>
      <c r="V41" s="184"/>
      <c r="W41" s="184"/>
      <c r="X41" s="204">
        <f t="shared" si="73"/>
        <v>0</v>
      </c>
      <c r="Y41" s="205" t="str">
        <f t="shared" si="74"/>
        <v/>
      </c>
      <c r="Z41" s="186" t="s">
        <v>163</v>
      </c>
      <c r="AA41" s="184"/>
      <c r="AB41" s="184"/>
      <c r="AC41" s="204">
        <f t="shared" si="75"/>
        <v>0</v>
      </c>
      <c r="AD41" s="205" t="str">
        <f t="shared" si="76"/>
        <v/>
      </c>
      <c r="AE41" s="186" t="s">
        <v>163</v>
      </c>
      <c r="AF41" s="184"/>
      <c r="AG41" s="184"/>
      <c r="AH41" s="204">
        <f t="shared" si="77"/>
        <v>0</v>
      </c>
      <c r="AI41" s="205" t="str">
        <f t="shared" si="78"/>
        <v/>
      </c>
    </row>
    <row r="42" spans="1:35" ht="15.75" thickBot="1" x14ac:dyDescent="0.3">
      <c r="A42" s="187" t="s">
        <v>164</v>
      </c>
      <c r="B42" s="220" t="e">
        <f>B40+B41</f>
        <v>#REF!</v>
      </c>
      <c r="C42" s="220">
        <f t="shared" ref="C42:H42" si="85">C40+C41</f>
        <v>4399</v>
      </c>
      <c r="D42" s="204" t="e">
        <f t="shared" si="65"/>
        <v>#REF!</v>
      </c>
      <c r="E42" s="205" t="e">
        <f t="shared" si="66"/>
        <v>#REF!</v>
      </c>
      <c r="F42" s="187" t="s">
        <v>164</v>
      </c>
      <c r="G42" s="220" t="e">
        <f t="shared" si="85"/>
        <v>#REF!</v>
      </c>
      <c r="H42" s="220">
        <f t="shared" si="85"/>
        <v>6748</v>
      </c>
      <c r="I42" s="204" t="e">
        <f t="shared" si="67"/>
        <v>#REF!</v>
      </c>
      <c r="J42" s="205" t="e">
        <f t="shared" si="68"/>
        <v>#REF!</v>
      </c>
      <c r="K42" s="187" t="s">
        <v>164</v>
      </c>
      <c r="L42" s="220" t="e">
        <f t="shared" ref="L42:M42" si="86">L40+L41</f>
        <v>#REF!</v>
      </c>
      <c r="M42" s="220">
        <f t="shared" si="86"/>
        <v>9097</v>
      </c>
      <c r="N42" s="204" t="e">
        <f t="shared" si="69"/>
        <v>#REF!</v>
      </c>
      <c r="O42" s="205" t="e">
        <f t="shared" si="70"/>
        <v>#REF!</v>
      </c>
      <c r="P42" s="187" t="s">
        <v>164</v>
      </c>
      <c r="Q42" s="220" t="e">
        <f t="shared" ref="Q42:R42" si="87">Q40+Q41</f>
        <v>#REF!</v>
      </c>
      <c r="R42" s="220">
        <f t="shared" si="87"/>
        <v>8356</v>
      </c>
      <c r="S42" s="204" t="e">
        <f t="shared" si="71"/>
        <v>#REF!</v>
      </c>
      <c r="T42" s="205" t="e">
        <f t="shared" si="72"/>
        <v>#REF!</v>
      </c>
      <c r="U42" s="187" t="s">
        <v>164</v>
      </c>
      <c r="V42" s="220" t="e">
        <f t="shared" ref="V42:W42" si="88">V40+V41</f>
        <v>#REF!</v>
      </c>
      <c r="W42" s="220">
        <f t="shared" si="88"/>
        <v>10705</v>
      </c>
      <c r="X42" s="204" t="e">
        <f t="shared" si="73"/>
        <v>#REF!</v>
      </c>
      <c r="Y42" s="205" t="e">
        <f t="shared" si="74"/>
        <v>#REF!</v>
      </c>
      <c r="Z42" s="187" t="s">
        <v>164</v>
      </c>
      <c r="AA42" s="220" t="e">
        <f t="shared" ref="AA42:AB42" si="89">AA40+AA41</f>
        <v>#REF!</v>
      </c>
      <c r="AB42" s="220">
        <f t="shared" si="89"/>
        <v>13054</v>
      </c>
      <c r="AC42" s="204" t="e">
        <f t="shared" si="75"/>
        <v>#REF!</v>
      </c>
      <c r="AD42" s="205" t="e">
        <f t="shared" si="76"/>
        <v>#REF!</v>
      </c>
      <c r="AE42" s="187" t="s">
        <v>164</v>
      </c>
      <c r="AF42" s="220" t="e">
        <f t="shared" ref="AF42:AG42" si="90">AF40+AF41</f>
        <v>#REF!</v>
      </c>
      <c r="AG42" s="220">
        <f t="shared" si="90"/>
        <v>15403</v>
      </c>
      <c r="AH42" s="204" t="e">
        <f t="shared" si="77"/>
        <v>#REF!</v>
      </c>
      <c r="AI42" s="205" t="e">
        <f t="shared" si="78"/>
        <v>#REF!</v>
      </c>
    </row>
  </sheetData>
  <mergeCells count="10">
    <mergeCell ref="AE2:AI3"/>
    <mergeCell ref="Z2:AD3"/>
    <mergeCell ref="AK14:AN14"/>
    <mergeCell ref="B2:E3"/>
    <mergeCell ref="A1:AD1"/>
    <mergeCell ref="A2:A3"/>
    <mergeCell ref="F2:J3"/>
    <mergeCell ref="K2:O3"/>
    <mergeCell ref="P2:T3"/>
    <mergeCell ref="U2:Y3"/>
  </mergeCells>
  <conditionalFormatting sqref="B38:C38">
    <cfRule type="cellIs" dxfId="376" priority="483" operator="lessThan">
      <formula>0</formula>
    </cfRule>
  </conditionalFormatting>
  <conditionalFormatting sqref="B40:E40 B42:E42 G40:H40 G42:H42">
    <cfRule type="cellIs" dxfId="375" priority="482" operator="lessThan">
      <formula>0</formula>
    </cfRule>
  </conditionalFormatting>
  <conditionalFormatting sqref="E5:E13">
    <cfRule type="cellIs" dxfId="374" priority="481" operator="equal">
      <formula>"-"</formula>
    </cfRule>
  </conditionalFormatting>
  <conditionalFormatting sqref="E5:E13">
    <cfRule type="cellIs" dxfId="373" priority="467" operator="greaterThan">
      <formula>0</formula>
    </cfRule>
  </conditionalFormatting>
  <conditionalFormatting sqref="I13">
    <cfRule type="cellIs" dxfId="372" priority="402" operator="equal">
      <formula>"-"</formula>
    </cfRule>
  </conditionalFormatting>
  <conditionalFormatting sqref="D5:D13">
    <cfRule type="cellIs" dxfId="371" priority="420" operator="greaterThan">
      <formula>0</formula>
    </cfRule>
    <cfRule type="cellIs" dxfId="370" priority="421" operator="equal">
      <formula>-1000</formula>
    </cfRule>
  </conditionalFormatting>
  <conditionalFormatting sqref="D13">
    <cfRule type="cellIs" dxfId="369" priority="419" operator="equal">
      <formula>"-"</formula>
    </cfRule>
  </conditionalFormatting>
  <conditionalFormatting sqref="D5:D13">
    <cfRule type="cellIs" dxfId="368" priority="409" operator="greaterThan">
      <formula>0</formula>
    </cfRule>
  </conditionalFormatting>
  <conditionalFormatting sqref="J5:J13">
    <cfRule type="cellIs" dxfId="367" priority="407" operator="equal">
      <formula>"-"</formula>
    </cfRule>
  </conditionalFormatting>
  <conditionalFormatting sqref="J5:J13">
    <cfRule type="cellIs" dxfId="366" priority="405" operator="greaterThan">
      <formula>0</formula>
    </cfRule>
  </conditionalFormatting>
  <conditionalFormatting sqref="I5:I13">
    <cfRule type="cellIs" dxfId="365" priority="403" operator="greaterThan">
      <formula>0</formula>
    </cfRule>
    <cfRule type="cellIs" dxfId="364" priority="404" operator="equal">
      <formula>-1000</formula>
    </cfRule>
  </conditionalFormatting>
  <conditionalFormatting sqref="I5:I13">
    <cfRule type="cellIs" dxfId="363" priority="400" operator="greaterThan">
      <formula>0</formula>
    </cfRule>
  </conditionalFormatting>
  <conditionalFormatting sqref="O5:O13">
    <cfRule type="cellIs" dxfId="362" priority="398" operator="equal">
      <formula>"-"</formula>
    </cfRule>
  </conditionalFormatting>
  <conditionalFormatting sqref="O5:O13">
    <cfRule type="cellIs" dxfId="361" priority="396" operator="greaterThan">
      <formula>0</formula>
    </cfRule>
  </conditionalFormatting>
  <conditionalFormatting sqref="N5:N13">
    <cfRule type="cellIs" dxfId="360" priority="394" operator="greaterThan">
      <formula>0</formula>
    </cfRule>
    <cfRule type="cellIs" dxfId="359" priority="395" operator="equal">
      <formula>-1000</formula>
    </cfRule>
  </conditionalFormatting>
  <conditionalFormatting sqref="N13">
    <cfRule type="cellIs" dxfId="358" priority="393" operator="equal">
      <formula>"-"</formula>
    </cfRule>
  </conditionalFormatting>
  <conditionalFormatting sqref="N5:N13">
    <cfRule type="cellIs" dxfId="357" priority="391" operator="greaterThan">
      <formula>0</formula>
    </cfRule>
  </conditionalFormatting>
  <conditionalFormatting sqref="T5:T13">
    <cfRule type="cellIs" dxfId="356" priority="389" operator="equal">
      <formula>"-"</formula>
    </cfRule>
  </conditionalFormatting>
  <conditionalFormatting sqref="T5:T13">
    <cfRule type="cellIs" dxfId="355" priority="387" operator="greaterThan">
      <formula>0</formula>
    </cfRule>
  </conditionalFormatting>
  <conditionalFormatting sqref="S5:S13">
    <cfRule type="cellIs" dxfId="354" priority="385" operator="greaterThan">
      <formula>0</formula>
    </cfRule>
    <cfRule type="cellIs" dxfId="353" priority="386" operator="equal">
      <formula>-1000</formula>
    </cfRule>
  </conditionalFormatting>
  <conditionalFormatting sqref="S13">
    <cfRule type="cellIs" dxfId="352" priority="384" operator="equal">
      <formula>"-"</formula>
    </cfRule>
  </conditionalFormatting>
  <conditionalFormatting sqref="S5:S13">
    <cfRule type="cellIs" dxfId="351" priority="382" operator="greaterThan">
      <formula>0</formula>
    </cfRule>
  </conditionalFormatting>
  <conditionalFormatting sqref="X5:X13">
    <cfRule type="cellIs" dxfId="350" priority="376" operator="greaterThan">
      <formula>0</formula>
    </cfRule>
    <cfRule type="cellIs" dxfId="349" priority="377" operator="equal">
      <formula>-1000</formula>
    </cfRule>
  </conditionalFormatting>
  <conditionalFormatting sqref="X13">
    <cfRule type="cellIs" dxfId="348" priority="375" operator="equal">
      <formula>"-"</formula>
    </cfRule>
  </conditionalFormatting>
  <conditionalFormatting sqref="X5:X13">
    <cfRule type="cellIs" dxfId="347" priority="373" operator="greaterThan">
      <formula>0</formula>
    </cfRule>
  </conditionalFormatting>
  <conditionalFormatting sqref="E15:E21">
    <cfRule type="cellIs" dxfId="346" priority="340" operator="greaterThan">
      <formula>0</formula>
    </cfRule>
  </conditionalFormatting>
  <conditionalFormatting sqref="AC5:AC13">
    <cfRule type="cellIs" dxfId="345" priority="367" operator="greaterThan">
      <formula>0</formula>
    </cfRule>
    <cfRule type="cellIs" dxfId="344" priority="368" operator="equal">
      <formula>-1000</formula>
    </cfRule>
  </conditionalFormatting>
  <conditionalFormatting sqref="AC13">
    <cfRule type="cellIs" dxfId="343" priority="366" operator="equal">
      <formula>"-"</formula>
    </cfRule>
  </conditionalFormatting>
  <conditionalFormatting sqref="AC5:AC13">
    <cfRule type="cellIs" dxfId="342" priority="364" operator="greaterThan">
      <formula>0</formula>
    </cfRule>
  </conditionalFormatting>
  <conditionalFormatting sqref="Y5:Y13">
    <cfRule type="cellIs" dxfId="341" priority="352" operator="equal">
      <formula>"-"</formula>
    </cfRule>
  </conditionalFormatting>
  <conditionalFormatting sqref="Y5:Y13">
    <cfRule type="cellIs" dxfId="340" priority="350" operator="greaterThan">
      <formula>0</formula>
    </cfRule>
  </conditionalFormatting>
  <conditionalFormatting sqref="AH5:AH13">
    <cfRule type="cellIs" dxfId="339" priority="358" operator="greaterThan">
      <formula>0</formula>
    </cfRule>
    <cfRule type="cellIs" dxfId="338" priority="359" operator="equal">
      <formula>-1000</formula>
    </cfRule>
  </conditionalFormatting>
  <conditionalFormatting sqref="AH13">
    <cfRule type="cellIs" dxfId="337" priority="357" operator="equal">
      <formula>"-"</formula>
    </cfRule>
  </conditionalFormatting>
  <conditionalFormatting sqref="AH5:AH13">
    <cfRule type="cellIs" dxfId="336" priority="355" operator="greaterThan">
      <formula>0</formula>
    </cfRule>
  </conditionalFormatting>
  <conditionalFormatting sqref="E5:E13">
    <cfRule type="cellIs" dxfId="335" priority="353" operator="greaterThan">
      <formula>0</formula>
    </cfRule>
  </conditionalFormatting>
  <conditionalFormatting sqref="AD5:AD13">
    <cfRule type="cellIs" dxfId="334" priority="349" operator="equal">
      <formula>"-"</formula>
    </cfRule>
  </conditionalFormatting>
  <conditionalFormatting sqref="AD5:AD13">
    <cfRule type="cellIs" dxfId="333" priority="347" operator="greaterThan">
      <formula>0</formula>
    </cfRule>
  </conditionalFormatting>
  <conditionalFormatting sqref="AI5:AI13">
    <cfRule type="cellIs" dxfId="332" priority="346" operator="equal">
      <formula>"-"</formula>
    </cfRule>
  </conditionalFormatting>
  <conditionalFormatting sqref="AI5:AI13">
    <cfRule type="cellIs" dxfId="331" priority="344" operator="greaterThan">
      <formula>0</formula>
    </cfRule>
  </conditionalFormatting>
  <conditionalFormatting sqref="E15:E21">
    <cfRule type="cellIs" dxfId="330" priority="343" operator="equal">
      <formula>"-"</formula>
    </cfRule>
  </conditionalFormatting>
  <conditionalFormatting sqref="E15:E21">
    <cfRule type="cellIs" dxfId="329" priority="341" operator="greaterThan">
      <formula>0</formula>
    </cfRule>
  </conditionalFormatting>
  <conditionalFormatting sqref="T16:T21">
    <cfRule type="cellIs" dxfId="328" priority="333" operator="equal">
      <formula>"-"</formula>
    </cfRule>
  </conditionalFormatting>
  <conditionalFormatting sqref="T16:T21">
    <cfRule type="cellIs" dxfId="327" priority="331" operator="greaterThan">
      <formula>0</formula>
    </cfRule>
  </conditionalFormatting>
  <conditionalFormatting sqref="Y16:Y21">
    <cfRule type="cellIs" dxfId="326" priority="330" operator="equal">
      <formula>"-"</formula>
    </cfRule>
  </conditionalFormatting>
  <conditionalFormatting sqref="Y16:Y21">
    <cfRule type="cellIs" dxfId="325" priority="328" operator="greaterThan">
      <formula>0</formula>
    </cfRule>
  </conditionalFormatting>
  <conditionalFormatting sqref="O24:O35">
    <cfRule type="cellIs" dxfId="324" priority="309" operator="equal">
      <formula>"-"</formula>
    </cfRule>
  </conditionalFormatting>
  <conditionalFormatting sqref="O24:O35">
    <cfRule type="cellIs" dxfId="323" priority="307" operator="greaterThan">
      <formula>0</formula>
    </cfRule>
  </conditionalFormatting>
  <conditionalFormatting sqref="O24:O35">
    <cfRule type="cellIs" dxfId="322" priority="306" operator="greaterThan">
      <formula>0</formula>
    </cfRule>
  </conditionalFormatting>
  <conditionalFormatting sqref="D15:D21">
    <cfRule type="cellIs" dxfId="321" priority="296" operator="greaterThan">
      <formula>0</formula>
    </cfRule>
  </conditionalFormatting>
  <conditionalFormatting sqref="E15:E21">
    <cfRule type="cellIs" dxfId="320" priority="294" operator="greaterThan">
      <formula>0</formula>
    </cfRule>
  </conditionalFormatting>
  <conditionalFormatting sqref="I15:I21">
    <cfRule type="cellIs" dxfId="319" priority="292" operator="greaterThan">
      <formula>0</formula>
    </cfRule>
  </conditionalFormatting>
  <conditionalFormatting sqref="J15:J21">
    <cfRule type="cellIs" dxfId="318" priority="288" operator="greaterThan">
      <formula>0</formula>
    </cfRule>
  </conditionalFormatting>
  <conditionalFormatting sqref="J15:J21">
    <cfRule type="cellIs" dxfId="317" priority="291" operator="equal">
      <formula>"-"</formula>
    </cfRule>
  </conditionalFormatting>
  <conditionalFormatting sqref="J15:J21">
    <cfRule type="cellIs" dxfId="316" priority="289" operator="greaterThan">
      <formula>0</formula>
    </cfRule>
  </conditionalFormatting>
  <conditionalFormatting sqref="J15:J21">
    <cfRule type="cellIs" dxfId="315" priority="286" operator="greaterThan">
      <formula>0</formula>
    </cfRule>
  </conditionalFormatting>
  <conditionalFormatting sqref="N15:N21">
    <cfRule type="cellIs" dxfId="314" priority="284" operator="greaterThan">
      <formula>0</formula>
    </cfRule>
  </conditionalFormatting>
  <conditionalFormatting sqref="O15:O21">
    <cfRule type="cellIs" dxfId="313" priority="280" operator="greaterThan">
      <formula>0</formula>
    </cfRule>
  </conditionalFormatting>
  <conditionalFormatting sqref="O15:O21">
    <cfRule type="cellIs" dxfId="312" priority="283" operator="equal">
      <formula>"-"</formula>
    </cfRule>
  </conditionalFormatting>
  <conditionalFormatting sqref="O15:O21">
    <cfRule type="cellIs" dxfId="311" priority="281" operator="greaterThan">
      <formula>0</formula>
    </cfRule>
  </conditionalFormatting>
  <conditionalFormatting sqref="O15:O21">
    <cfRule type="cellIs" dxfId="310" priority="278" operator="greaterThan">
      <formula>0</formula>
    </cfRule>
  </conditionalFormatting>
  <conditionalFormatting sqref="S15:S21">
    <cfRule type="cellIs" dxfId="309" priority="276" operator="greaterThan">
      <formula>0</formula>
    </cfRule>
  </conditionalFormatting>
  <conditionalFormatting sqref="T15">
    <cfRule type="cellIs" dxfId="308" priority="272" operator="greaterThan">
      <formula>0</formula>
    </cfRule>
  </conditionalFormatting>
  <conditionalFormatting sqref="T15">
    <cfRule type="cellIs" dxfId="307" priority="275" operator="equal">
      <formula>"-"</formula>
    </cfRule>
  </conditionalFormatting>
  <conditionalFormatting sqref="T15">
    <cfRule type="cellIs" dxfId="306" priority="273" operator="greaterThan">
      <formula>0</formula>
    </cfRule>
  </conditionalFormatting>
  <conditionalFormatting sqref="T15">
    <cfRule type="cellIs" dxfId="305" priority="270" operator="greaterThan">
      <formula>0</formula>
    </cfRule>
  </conditionalFormatting>
  <conditionalFormatting sqref="X15:X21">
    <cfRule type="cellIs" dxfId="304" priority="268" operator="greaterThan">
      <formula>0</formula>
    </cfRule>
  </conditionalFormatting>
  <conditionalFormatting sqref="Y15">
    <cfRule type="cellIs" dxfId="303" priority="264" operator="greaterThan">
      <formula>0</formula>
    </cfRule>
  </conditionalFormatting>
  <conditionalFormatting sqref="Y15">
    <cfRule type="cellIs" dxfId="302" priority="267" operator="equal">
      <formula>"-"</formula>
    </cfRule>
  </conditionalFormatting>
  <conditionalFormatting sqref="Y15">
    <cfRule type="cellIs" dxfId="301" priority="265" operator="greaterThan">
      <formula>0</formula>
    </cfRule>
  </conditionalFormatting>
  <conditionalFormatting sqref="Y15">
    <cfRule type="cellIs" dxfId="300" priority="262" operator="greaterThan">
      <formula>0</formula>
    </cfRule>
  </conditionalFormatting>
  <conditionalFormatting sqref="AC15:AC21">
    <cfRule type="cellIs" dxfId="299" priority="260" operator="greaterThan">
      <formula>0</formula>
    </cfRule>
  </conditionalFormatting>
  <conditionalFormatting sqref="AD15:AD21">
    <cfRule type="cellIs" dxfId="298" priority="256" operator="greaterThan">
      <formula>0</formula>
    </cfRule>
  </conditionalFormatting>
  <conditionalFormatting sqref="AD15:AD21">
    <cfRule type="cellIs" dxfId="297" priority="259" operator="equal">
      <formula>"-"</formula>
    </cfRule>
  </conditionalFormatting>
  <conditionalFormatting sqref="AD15:AD21">
    <cfRule type="cellIs" dxfId="296" priority="257" operator="greaterThan">
      <formula>0</formula>
    </cfRule>
  </conditionalFormatting>
  <conditionalFormatting sqref="AD15:AD21">
    <cfRule type="cellIs" dxfId="295" priority="254" operator="greaterThan">
      <formula>0</formula>
    </cfRule>
  </conditionalFormatting>
  <conditionalFormatting sqref="AH15:AH21">
    <cfRule type="cellIs" dxfId="294" priority="252" operator="greaterThan">
      <formula>0</formula>
    </cfRule>
  </conditionalFormatting>
  <conditionalFormatting sqref="AI15:AI21">
    <cfRule type="cellIs" dxfId="293" priority="248" operator="greaterThan">
      <formula>0</formula>
    </cfRule>
  </conditionalFormatting>
  <conditionalFormatting sqref="AI15:AI21">
    <cfRule type="cellIs" dxfId="292" priority="251" operator="equal">
      <formula>"-"</formula>
    </cfRule>
  </conditionalFormatting>
  <conditionalFormatting sqref="AI15:AI21">
    <cfRule type="cellIs" dxfId="291" priority="249" operator="greaterThan">
      <formula>0</formula>
    </cfRule>
  </conditionalFormatting>
  <conditionalFormatting sqref="AI15:AI21">
    <cfRule type="cellIs" dxfId="290" priority="246" operator="greaterThan">
      <formula>0</formula>
    </cfRule>
  </conditionalFormatting>
  <conditionalFormatting sqref="E23:E35">
    <cfRule type="cellIs" dxfId="289" priority="242" operator="greaterThan">
      <formula>0</formula>
    </cfRule>
  </conditionalFormatting>
  <conditionalFormatting sqref="E23:E35">
    <cfRule type="cellIs" dxfId="288" priority="245" operator="equal">
      <formula>"-"</formula>
    </cfRule>
  </conditionalFormatting>
  <conditionalFormatting sqref="E23:E35">
    <cfRule type="cellIs" dxfId="287" priority="243" operator="greaterThan">
      <formula>0</formula>
    </cfRule>
  </conditionalFormatting>
  <conditionalFormatting sqref="D23:D35">
    <cfRule type="cellIs" dxfId="286" priority="240" operator="greaterThan">
      <formula>0</formula>
    </cfRule>
  </conditionalFormatting>
  <conditionalFormatting sqref="E23:E35">
    <cfRule type="cellIs" dxfId="285" priority="238" operator="greaterThan">
      <formula>0</formula>
    </cfRule>
  </conditionalFormatting>
  <conditionalFormatting sqref="J23:J35">
    <cfRule type="cellIs" dxfId="284" priority="234" operator="greaterThan">
      <formula>0</formula>
    </cfRule>
  </conditionalFormatting>
  <conditionalFormatting sqref="J23:J35">
    <cfRule type="cellIs" dxfId="283" priority="237" operator="equal">
      <formula>"-"</formula>
    </cfRule>
  </conditionalFormatting>
  <conditionalFormatting sqref="J23:J35">
    <cfRule type="cellIs" dxfId="282" priority="235" operator="greaterThan">
      <formula>0</formula>
    </cfRule>
  </conditionalFormatting>
  <conditionalFormatting sqref="I23:I35">
    <cfRule type="cellIs" dxfId="281" priority="232" operator="greaterThan">
      <formula>0</formula>
    </cfRule>
  </conditionalFormatting>
  <conditionalFormatting sqref="J23:J35">
    <cfRule type="cellIs" dxfId="280" priority="230" operator="greaterThan">
      <formula>0</formula>
    </cfRule>
  </conditionalFormatting>
  <conditionalFormatting sqref="O23">
    <cfRule type="cellIs" dxfId="279" priority="226" operator="greaterThan">
      <formula>0</formula>
    </cfRule>
  </conditionalFormatting>
  <conditionalFormatting sqref="O23">
    <cfRule type="cellIs" dxfId="278" priority="229" operator="equal">
      <formula>"-"</formula>
    </cfRule>
  </conditionalFormatting>
  <conditionalFormatting sqref="O23">
    <cfRule type="cellIs" dxfId="277" priority="227" operator="greaterThan">
      <formula>0</formula>
    </cfRule>
  </conditionalFormatting>
  <conditionalFormatting sqref="N23:N35">
    <cfRule type="cellIs" dxfId="276" priority="224" operator="greaterThan">
      <formula>0</formula>
    </cfRule>
  </conditionalFormatting>
  <conditionalFormatting sqref="O23">
    <cfRule type="cellIs" dxfId="275" priority="222" operator="greaterThan">
      <formula>0</formula>
    </cfRule>
  </conditionalFormatting>
  <conditionalFormatting sqref="T23:T35">
    <cfRule type="cellIs" dxfId="274" priority="218" operator="greaterThan">
      <formula>0</formula>
    </cfRule>
  </conditionalFormatting>
  <conditionalFormatting sqref="T23:T35">
    <cfRule type="cellIs" dxfId="273" priority="221" operator="equal">
      <formula>"-"</formula>
    </cfRule>
  </conditionalFormatting>
  <conditionalFormatting sqref="T23:T35">
    <cfRule type="cellIs" dxfId="272" priority="219" operator="greaterThan">
      <formula>0</formula>
    </cfRule>
  </conditionalFormatting>
  <conditionalFormatting sqref="S23:S35">
    <cfRule type="cellIs" dxfId="271" priority="216" operator="greaterThan">
      <formula>0</formula>
    </cfRule>
  </conditionalFormatting>
  <conditionalFormatting sqref="T23:T35">
    <cfRule type="cellIs" dxfId="270" priority="214" operator="greaterThan">
      <formula>0</formula>
    </cfRule>
  </conditionalFormatting>
  <conditionalFormatting sqref="Y23:Y35">
    <cfRule type="cellIs" dxfId="269" priority="210" operator="greaterThan">
      <formula>0</formula>
    </cfRule>
  </conditionalFormatting>
  <conditionalFormatting sqref="Y23:Y35">
    <cfRule type="cellIs" dxfId="268" priority="213" operator="equal">
      <formula>"-"</formula>
    </cfRule>
  </conditionalFormatting>
  <conditionalFormatting sqref="Y23:Y35">
    <cfRule type="cellIs" dxfId="267" priority="211" operator="greaterThan">
      <formula>0</formula>
    </cfRule>
  </conditionalFormatting>
  <conditionalFormatting sqref="X23:X35">
    <cfRule type="cellIs" dxfId="266" priority="208" operator="greaterThan">
      <formula>0</formula>
    </cfRule>
  </conditionalFormatting>
  <conditionalFormatting sqref="Y23:Y35">
    <cfRule type="cellIs" dxfId="265" priority="206" operator="greaterThan">
      <formula>0</formula>
    </cfRule>
  </conditionalFormatting>
  <conditionalFormatting sqref="AD23:AD35">
    <cfRule type="cellIs" dxfId="264" priority="202" operator="greaterThan">
      <formula>0</formula>
    </cfRule>
  </conditionalFormatting>
  <conditionalFormatting sqref="AD23:AD35">
    <cfRule type="cellIs" dxfId="263" priority="205" operator="equal">
      <formula>"-"</formula>
    </cfRule>
  </conditionalFormatting>
  <conditionalFormatting sqref="AD23:AD35">
    <cfRule type="cellIs" dxfId="262" priority="203" operator="greaterThan">
      <formula>0</formula>
    </cfRule>
  </conditionalFormatting>
  <conditionalFormatting sqref="AC23:AC35">
    <cfRule type="cellIs" dxfId="261" priority="200" operator="greaterThan">
      <formula>0</formula>
    </cfRule>
  </conditionalFormatting>
  <conditionalFormatting sqref="AD23:AD35">
    <cfRule type="cellIs" dxfId="260" priority="198" operator="greaterThan">
      <formula>0</formula>
    </cfRule>
  </conditionalFormatting>
  <conditionalFormatting sqref="AI23:AI35">
    <cfRule type="cellIs" dxfId="259" priority="194" operator="greaterThan">
      <formula>0</formula>
    </cfRule>
  </conditionalFormatting>
  <conditionalFormatting sqref="AI23:AI35">
    <cfRule type="cellIs" dxfId="258" priority="197" operator="equal">
      <formula>"-"</formula>
    </cfRule>
  </conditionalFormatting>
  <conditionalFormatting sqref="AI23:AI35">
    <cfRule type="cellIs" dxfId="257" priority="195" operator="greaterThan">
      <formula>0</formula>
    </cfRule>
  </conditionalFormatting>
  <conditionalFormatting sqref="AH23:AH35">
    <cfRule type="cellIs" dxfId="256" priority="192" operator="greaterThan">
      <formula>0</formula>
    </cfRule>
  </conditionalFormatting>
  <conditionalFormatting sqref="AI23:AI35">
    <cfRule type="cellIs" dxfId="255" priority="190" operator="greaterThan">
      <formula>0</formula>
    </cfRule>
  </conditionalFormatting>
  <conditionalFormatting sqref="D36">
    <cfRule type="cellIs" dxfId="254" priority="187" operator="greaterThan">
      <formula>0</formula>
    </cfRule>
  </conditionalFormatting>
  <conditionalFormatting sqref="E36">
    <cfRule type="cellIs" dxfId="253" priority="183" operator="greaterThan">
      <formula>0</formula>
    </cfRule>
  </conditionalFormatting>
  <conditionalFormatting sqref="E36">
    <cfRule type="cellIs" dxfId="252" priority="186" operator="equal">
      <formula>"-"</formula>
    </cfRule>
  </conditionalFormatting>
  <conditionalFormatting sqref="E36">
    <cfRule type="cellIs" dxfId="251" priority="184" operator="greaterThan">
      <formula>0</formula>
    </cfRule>
  </conditionalFormatting>
  <conditionalFormatting sqref="E36">
    <cfRule type="cellIs" dxfId="250" priority="181" operator="greaterThan">
      <formula>0</formula>
    </cfRule>
  </conditionalFormatting>
  <conditionalFormatting sqref="I36">
    <cfRule type="cellIs" dxfId="249" priority="178" operator="greaterThan">
      <formula>0</formula>
    </cfRule>
  </conditionalFormatting>
  <conditionalFormatting sqref="J36">
    <cfRule type="cellIs" dxfId="248" priority="174" operator="greaterThan">
      <formula>0</formula>
    </cfRule>
  </conditionalFormatting>
  <conditionalFormatting sqref="J36">
    <cfRule type="cellIs" dxfId="247" priority="177" operator="equal">
      <formula>"-"</formula>
    </cfRule>
  </conditionalFormatting>
  <conditionalFormatting sqref="J36">
    <cfRule type="cellIs" dxfId="246" priority="175" operator="greaterThan">
      <formula>0</formula>
    </cfRule>
  </conditionalFormatting>
  <conditionalFormatting sqref="J36">
    <cfRule type="cellIs" dxfId="245" priority="172" operator="greaterThan">
      <formula>0</formula>
    </cfRule>
  </conditionalFormatting>
  <conditionalFormatting sqref="N36">
    <cfRule type="cellIs" dxfId="244" priority="169" operator="greaterThan">
      <formula>0</formula>
    </cfRule>
  </conditionalFormatting>
  <conditionalFormatting sqref="O36">
    <cfRule type="cellIs" dxfId="243" priority="165" operator="greaterThan">
      <formula>0</formula>
    </cfRule>
  </conditionalFormatting>
  <conditionalFormatting sqref="O36">
    <cfRule type="cellIs" dxfId="242" priority="168" operator="equal">
      <formula>"-"</formula>
    </cfRule>
  </conditionalFormatting>
  <conditionalFormatting sqref="O36">
    <cfRule type="cellIs" dxfId="241" priority="166" operator="greaterThan">
      <formula>0</formula>
    </cfRule>
  </conditionalFormatting>
  <conditionalFormatting sqref="O36">
    <cfRule type="cellIs" dxfId="240" priority="163" operator="greaterThan">
      <formula>0</formula>
    </cfRule>
  </conditionalFormatting>
  <conditionalFormatting sqref="S36">
    <cfRule type="cellIs" dxfId="239" priority="160" operator="greaterThan">
      <formula>0</formula>
    </cfRule>
  </conditionalFormatting>
  <conditionalFormatting sqref="T36">
    <cfRule type="cellIs" dxfId="238" priority="156" operator="greaterThan">
      <formula>0</formula>
    </cfRule>
  </conditionalFormatting>
  <conditionalFormatting sqref="T36">
    <cfRule type="cellIs" dxfId="237" priority="159" operator="equal">
      <formula>"-"</formula>
    </cfRule>
  </conditionalFormatting>
  <conditionalFormatting sqref="T36">
    <cfRule type="cellIs" dxfId="236" priority="157" operator="greaterThan">
      <formula>0</formula>
    </cfRule>
  </conditionalFormatting>
  <conditionalFormatting sqref="T36">
    <cfRule type="cellIs" dxfId="235" priority="154" operator="greaterThan">
      <formula>0</formula>
    </cfRule>
  </conditionalFormatting>
  <conditionalFormatting sqref="X36">
    <cfRule type="cellIs" dxfId="234" priority="151" operator="greaterThan">
      <formula>0</formula>
    </cfRule>
  </conditionalFormatting>
  <conditionalFormatting sqref="Y36">
    <cfRule type="cellIs" dxfId="233" priority="147" operator="greaterThan">
      <formula>0</formula>
    </cfRule>
  </conditionalFormatting>
  <conditionalFormatting sqref="Y36">
    <cfRule type="cellIs" dxfId="232" priority="150" operator="equal">
      <formula>"-"</formula>
    </cfRule>
  </conditionalFormatting>
  <conditionalFormatting sqref="Y36">
    <cfRule type="cellIs" dxfId="231" priority="148" operator="greaterThan">
      <formula>0</formula>
    </cfRule>
  </conditionalFormatting>
  <conditionalFormatting sqref="Y36">
    <cfRule type="cellIs" dxfId="230" priority="145" operator="greaterThan">
      <formula>0</formula>
    </cfRule>
  </conditionalFormatting>
  <conditionalFormatting sqref="AC36">
    <cfRule type="cellIs" dxfId="229" priority="142" operator="greaterThan">
      <formula>0</formula>
    </cfRule>
  </conditionalFormatting>
  <conditionalFormatting sqref="AD36">
    <cfRule type="cellIs" dxfId="228" priority="138" operator="greaterThan">
      <formula>0</formula>
    </cfRule>
  </conditionalFormatting>
  <conditionalFormatting sqref="AD36">
    <cfRule type="cellIs" dxfId="227" priority="141" operator="equal">
      <formula>"-"</formula>
    </cfRule>
  </conditionalFormatting>
  <conditionalFormatting sqref="AD36">
    <cfRule type="cellIs" dxfId="226" priority="139" operator="greaterThan">
      <formula>0</formula>
    </cfRule>
  </conditionalFormatting>
  <conditionalFormatting sqref="AD36">
    <cfRule type="cellIs" dxfId="225" priority="136" operator="greaterThan">
      <formula>0</formula>
    </cfRule>
  </conditionalFormatting>
  <conditionalFormatting sqref="AH36">
    <cfRule type="cellIs" dxfId="224" priority="133" operator="greaterThan">
      <formula>0</formula>
    </cfRule>
  </conditionalFormatting>
  <conditionalFormatting sqref="AI36">
    <cfRule type="cellIs" dxfId="223" priority="129" operator="greaterThan">
      <formula>0</formula>
    </cfRule>
  </conditionalFormatting>
  <conditionalFormatting sqref="AI36">
    <cfRule type="cellIs" dxfId="222" priority="132" operator="equal">
      <formula>"-"</formula>
    </cfRule>
  </conditionalFormatting>
  <conditionalFormatting sqref="AI36">
    <cfRule type="cellIs" dxfId="221" priority="130" operator="greaterThan">
      <formula>0</formula>
    </cfRule>
  </conditionalFormatting>
  <conditionalFormatting sqref="AI36">
    <cfRule type="cellIs" dxfId="220" priority="127" operator="greaterThan">
      <formula>0</formula>
    </cfRule>
  </conditionalFormatting>
  <conditionalFormatting sqref="B38:C38">
    <cfRule type="cellIs" dxfId="219" priority="125" operator="greaterThan">
      <formula>0</formula>
    </cfRule>
    <cfRule type="cellIs" dxfId="218" priority="126" operator="greaterThan">
      <formula>0</formula>
    </cfRule>
  </conditionalFormatting>
  <conditionalFormatting sqref="B39:E42 B38:C38 G39 G40:H42">
    <cfRule type="cellIs" dxfId="217" priority="124" operator="greaterThan">
      <formula>0</formula>
    </cfRule>
  </conditionalFormatting>
  <conditionalFormatting sqref="D38:D42">
    <cfRule type="cellIs" dxfId="216" priority="121" operator="greaterThan">
      <formula>0</formula>
    </cfRule>
  </conditionalFormatting>
  <conditionalFormatting sqref="E38:E42">
    <cfRule type="cellIs" dxfId="215" priority="117" operator="greaterThan">
      <formula>0</formula>
    </cfRule>
  </conditionalFormatting>
  <conditionalFormatting sqref="E38:E42">
    <cfRule type="cellIs" dxfId="214" priority="120" operator="equal">
      <formula>"-"</formula>
    </cfRule>
  </conditionalFormatting>
  <conditionalFormatting sqref="E38:E42">
    <cfRule type="cellIs" dxfId="213" priority="118" operator="greaterThan">
      <formula>0</formula>
    </cfRule>
  </conditionalFormatting>
  <conditionalFormatting sqref="E38:E42">
    <cfRule type="cellIs" dxfId="212" priority="115" operator="greaterThan">
      <formula>0</formula>
    </cfRule>
  </conditionalFormatting>
  <conditionalFormatting sqref="D38:E42">
    <cfRule type="cellIs" dxfId="211" priority="114" operator="greaterThan">
      <formula>0</formula>
    </cfRule>
  </conditionalFormatting>
  <conditionalFormatting sqref="G38:H38 H39">
    <cfRule type="cellIs" dxfId="210" priority="111" operator="lessThan">
      <formula>0</formula>
    </cfRule>
  </conditionalFormatting>
  <conditionalFormatting sqref="G38:H38 H39">
    <cfRule type="cellIs" dxfId="209" priority="109" operator="greaterThan">
      <formula>0</formula>
    </cfRule>
    <cfRule type="cellIs" dxfId="208" priority="110" operator="greaterThan">
      <formula>0</formula>
    </cfRule>
  </conditionalFormatting>
  <conditionalFormatting sqref="G38:H38 H39">
    <cfRule type="cellIs" dxfId="207" priority="108" operator="greaterThan">
      <formula>0</formula>
    </cfRule>
  </conditionalFormatting>
  <conditionalFormatting sqref="I38:I42">
    <cfRule type="cellIs" dxfId="206" priority="105" operator="greaterThan">
      <formula>0</formula>
    </cfRule>
  </conditionalFormatting>
  <conditionalFormatting sqref="J38:J42">
    <cfRule type="cellIs" dxfId="205" priority="101" operator="greaterThan">
      <formula>0</formula>
    </cfRule>
  </conditionalFormatting>
  <conditionalFormatting sqref="J38:J42">
    <cfRule type="cellIs" dxfId="204" priority="104" operator="equal">
      <formula>"-"</formula>
    </cfRule>
  </conditionalFormatting>
  <conditionalFormatting sqref="J38:J42">
    <cfRule type="cellIs" dxfId="203" priority="102" operator="greaterThan">
      <formula>0</formula>
    </cfRule>
  </conditionalFormatting>
  <conditionalFormatting sqref="J38:J42">
    <cfRule type="cellIs" dxfId="202" priority="99" operator="greaterThan">
      <formula>0</formula>
    </cfRule>
  </conditionalFormatting>
  <conditionalFormatting sqref="I38:J42">
    <cfRule type="cellIs" dxfId="201" priority="98" operator="greaterThan">
      <formula>0</formula>
    </cfRule>
  </conditionalFormatting>
  <conditionalFormatting sqref="L40:M40 L42:M42">
    <cfRule type="cellIs" dxfId="200" priority="95" operator="lessThan">
      <formula>0</formula>
    </cfRule>
  </conditionalFormatting>
  <conditionalFormatting sqref="L39 L40:M42">
    <cfRule type="cellIs" dxfId="199" priority="94" operator="greaterThan">
      <formula>0</formula>
    </cfRule>
  </conditionalFormatting>
  <conditionalFormatting sqref="L38:M38 M39">
    <cfRule type="cellIs" dxfId="198" priority="92" operator="lessThan">
      <formula>0</formula>
    </cfRule>
  </conditionalFormatting>
  <conditionalFormatting sqref="L38:M38 M39">
    <cfRule type="cellIs" dxfId="197" priority="90" operator="greaterThan">
      <formula>0</formula>
    </cfRule>
    <cfRule type="cellIs" dxfId="196" priority="91" operator="greaterThan">
      <formula>0</formula>
    </cfRule>
  </conditionalFormatting>
  <conditionalFormatting sqref="L38:M38 M39">
    <cfRule type="cellIs" dxfId="195" priority="89" operator="greaterThan">
      <formula>0</formula>
    </cfRule>
  </conditionalFormatting>
  <conditionalFormatting sqref="N38:N42">
    <cfRule type="cellIs" dxfId="194" priority="86" operator="greaterThan">
      <formula>0</formula>
    </cfRule>
  </conditionalFormatting>
  <conditionalFormatting sqref="O38:O42">
    <cfRule type="cellIs" dxfId="193" priority="82" operator="greaterThan">
      <formula>0</formula>
    </cfRule>
  </conditionalFormatting>
  <conditionalFormatting sqref="O38:O42">
    <cfRule type="cellIs" dxfId="192" priority="85" operator="equal">
      <formula>"-"</formula>
    </cfRule>
  </conditionalFormatting>
  <conditionalFormatting sqref="O38:O42">
    <cfRule type="cellIs" dxfId="191" priority="83" operator="greaterThan">
      <formula>0</formula>
    </cfRule>
  </conditionalFormatting>
  <conditionalFormatting sqref="O38:O42">
    <cfRule type="cellIs" dxfId="190" priority="80" operator="greaterThan">
      <formula>0</formula>
    </cfRule>
  </conditionalFormatting>
  <conditionalFormatting sqref="N38:O42">
    <cfRule type="cellIs" dxfId="189" priority="79" operator="greaterThan">
      <formula>0</formula>
    </cfRule>
  </conditionalFormatting>
  <conditionalFormatting sqref="Q40:R40 Q42:R42">
    <cfRule type="cellIs" dxfId="188" priority="76" operator="lessThan">
      <formula>0</formula>
    </cfRule>
  </conditionalFormatting>
  <conditionalFormatting sqref="Q39 Q40:R42">
    <cfRule type="cellIs" dxfId="187" priority="75" operator="greaterThan">
      <formula>0</formula>
    </cfRule>
  </conditionalFormatting>
  <conditionalFormatting sqref="Q38:R38 R39">
    <cfRule type="cellIs" dxfId="186" priority="73" operator="lessThan">
      <formula>0</formula>
    </cfRule>
  </conditionalFormatting>
  <conditionalFormatting sqref="Q38:R38 R39">
    <cfRule type="cellIs" dxfId="185" priority="71" operator="greaterThan">
      <formula>0</formula>
    </cfRule>
    <cfRule type="cellIs" dxfId="184" priority="72" operator="greaterThan">
      <formula>0</formula>
    </cfRule>
  </conditionalFormatting>
  <conditionalFormatting sqref="Q38:R38 R39">
    <cfRule type="cellIs" dxfId="183" priority="70" operator="greaterThan">
      <formula>0</formula>
    </cfRule>
  </conditionalFormatting>
  <conditionalFormatting sqref="S38:S42">
    <cfRule type="cellIs" dxfId="182" priority="67" operator="greaterThan">
      <formula>0</formula>
    </cfRule>
  </conditionalFormatting>
  <conditionalFormatting sqref="T38:T42">
    <cfRule type="cellIs" dxfId="181" priority="63" operator="greaterThan">
      <formula>0</formula>
    </cfRule>
  </conditionalFormatting>
  <conditionalFormatting sqref="T38:T42">
    <cfRule type="cellIs" dxfId="180" priority="66" operator="equal">
      <formula>"-"</formula>
    </cfRule>
  </conditionalFormatting>
  <conditionalFormatting sqref="T38:T42">
    <cfRule type="cellIs" dxfId="179" priority="64" operator="greaterThan">
      <formula>0</formula>
    </cfRule>
  </conditionalFormatting>
  <conditionalFormatting sqref="T38:T42">
    <cfRule type="cellIs" dxfId="178" priority="61" operator="greaterThan">
      <formula>0</formula>
    </cfRule>
  </conditionalFormatting>
  <conditionalFormatting sqref="S38:T42">
    <cfRule type="cellIs" dxfId="177" priority="60" operator="greaterThan">
      <formula>0</formula>
    </cfRule>
  </conditionalFormatting>
  <conditionalFormatting sqref="V40:W40 V42:W42">
    <cfRule type="cellIs" dxfId="176" priority="57" operator="lessThan">
      <formula>0</formula>
    </cfRule>
  </conditionalFormatting>
  <conditionalFormatting sqref="V39 V40:W42">
    <cfRule type="cellIs" dxfId="175" priority="56" operator="greaterThan">
      <formula>0</formula>
    </cfRule>
  </conditionalFormatting>
  <conditionalFormatting sqref="V38:W38 W39">
    <cfRule type="cellIs" dxfId="174" priority="54" operator="lessThan">
      <formula>0</formula>
    </cfRule>
  </conditionalFormatting>
  <conditionalFormatting sqref="V38:W38 W39">
    <cfRule type="cellIs" dxfId="173" priority="52" operator="greaterThan">
      <formula>0</formula>
    </cfRule>
    <cfRule type="cellIs" dxfId="172" priority="53" operator="greaterThan">
      <formula>0</formula>
    </cfRule>
  </conditionalFormatting>
  <conditionalFormatting sqref="V38:W38 W39">
    <cfRule type="cellIs" dxfId="171" priority="51" operator="greaterThan">
      <formula>0</formula>
    </cfRule>
  </conditionalFormatting>
  <conditionalFormatting sqref="X38:X42">
    <cfRule type="cellIs" dxfId="170" priority="48" operator="greaterThan">
      <formula>0</formula>
    </cfRule>
  </conditionalFormatting>
  <conditionalFormatting sqref="Y38:Y42">
    <cfRule type="cellIs" dxfId="169" priority="44" operator="greaterThan">
      <formula>0</formula>
    </cfRule>
  </conditionalFormatting>
  <conditionalFormatting sqref="Y38:Y42">
    <cfRule type="cellIs" dxfId="168" priority="47" operator="equal">
      <formula>"-"</formula>
    </cfRule>
  </conditionalFormatting>
  <conditionalFormatting sqref="Y38:Y42">
    <cfRule type="cellIs" dxfId="167" priority="45" operator="greaterThan">
      <formula>0</formula>
    </cfRule>
  </conditionalFormatting>
  <conditionalFormatting sqref="Y38:Y42">
    <cfRule type="cellIs" dxfId="166" priority="42" operator="greaterThan">
      <formula>0</formula>
    </cfRule>
  </conditionalFormatting>
  <conditionalFormatting sqref="X38:Y42">
    <cfRule type="cellIs" dxfId="165" priority="41" operator="greaterThan">
      <formula>0</formula>
    </cfRule>
  </conditionalFormatting>
  <conditionalFormatting sqref="AA40:AB40 AA42:AB42">
    <cfRule type="cellIs" dxfId="164" priority="38" operator="lessThan">
      <formula>0</formula>
    </cfRule>
  </conditionalFormatting>
  <conditionalFormatting sqref="AA39 AA40:AB42">
    <cfRule type="cellIs" dxfId="163" priority="37" operator="greaterThan">
      <formula>0</formula>
    </cfRule>
  </conditionalFormatting>
  <conditionalFormatting sqref="AA38:AB38 AB39">
    <cfRule type="cellIs" dxfId="162" priority="35" operator="lessThan">
      <formula>0</formula>
    </cfRule>
  </conditionalFormatting>
  <conditionalFormatting sqref="AA38:AB38 AB39">
    <cfRule type="cellIs" dxfId="161" priority="33" operator="greaterThan">
      <formula>0</formula>
    </cfRule>
    <cfRule type="cellIs" dxfId="160" priority="34" operator="greaterThan">
      <formula>0</formula>
    </cfRule>
  </conditionalFormatting>
  <conditionalFormatting sqref="AA38:AB38 AB39">
    <cfRule type="cellIs" dxfId="159" priority="32" operator="greaterThan">
      <formula>0</formula>
    </cfRule>
  </conditionalFormatting>
  <conditionalFormatting sqref="AC38:AC42">
    <cfRule type="cellIs" dxfId="158" priority="29" operator="greaterThan">
      <formula>0</formula>
    </cfRule>
  </conditionalFormatting>
  <conditionalFormatting sqref="AD38:AD42">
    <cfRule type="cellIs" dxfId="157" priority="25" operator="greaterThan">
      <formula>0</formula>
    </cfRule>
  </conditionalFormatting>
  <conditionalFormatting sqref="AD38:AD42">
    <cfRule type="cellIs" dxfId="156" priority="28" operator="equal">
      <formula>"-"</formula>
    </cfRule>
  </conditionalFormatting>
  <conditionalFormatting sqref="AD38:AD42">
    <cfRule type="cellIs" dxfId="155" priority="26" operator="greaterThan">
      <formula>0</formula>
    </cfRule>
  </conditionalFormatting>
  <conditionalFormatting sqref="AD38:AD42">
    <cfRule type="cellIs" dxfId="154" priority="23" operator="greaterThan">
      <formula>0</formula>
    </cfRule>
  </conditionalFormatting>
  <conditionalFormatting sqref="AC38:AD42">
    <cfRule type="cellIs" dxfId="153" priority="22" operator="greaterThan">
      <formula>0</formula>
    </cfRule>
  </conditionalFormatting>
  <conditionalFormatting sqref="AF40:AG40 AF42:AG42">
    <cfRule type="cellIs" dxfId="152" priority="19" operator="lessThan">
      <formula>0</formula>
    </cfRule>
  </conditionalFormatting>
  <conditionalFormatting sqref="AF39 AF40:AG42">
    <cfRule type="cellIs" dxfId="151" priority="18" operator="greaterThan">
      <formula>0</formula>
    </cfRule>
  </conditionalFormatting>
  <conditionalFormatting sqref="AF38:AG38 AG39">
    <cfRule type="cellIs" dxfId="150" priority="16" operator="lessThan">
      <formula>0</formula>
    </cfRule>
  </conditionalFormatting>
  <conditionalFormatting sqref="AF38:AG38 AG39">
    <cfRule type="cellIs" dxfId="149" priority="14" operator="greaterThan">
      <formula>0</formula>
    </cfRule>
    <cfRule type="cellIs" dxfId="148" priority="15" operator="greaterThan">
      <formula>0</formula>
    </cfRule>
  </conditionalFormatting>
  <conditionalFormatting sqref="AF38:AG38 AG39">
    <cfRule type="cellIs" dxfId="147" priority="13" operator="greaterThan">
      <formula>0</formula>
    </cfRule>
  </conditionalFormatting>
  <conditionalFormatting sqref="AH38:AH42">
    <cfRule type="cellIs" dxfId="146" priority="10" operator="greaterThan">
      <formula>0</formula>
    </cfRule>
  </conditionalFormatting>
  <conditionalFormatting sqref="AI38:AI42">
    <cfRule type="cellIs" dxfId="145" priority="6" operator="greaterThan">
      <formula>0</formula>
    </cfRule>
  </conditionalFormatting>
  <conditionalFormatting sqref="AI38:AI42">
    <cfRule type="cellIs" dxfId="144" priority="9" operator="equal">
      <formula>"-"</formula>
    </cfRule>
  </conditionalFormatting>
  <conditionalFormatting sqref="AI38:AI42">
    <cfRule type="cellIs" dxfId="143" priority="7" operator="greaterThan">
      <formula>0</formula>
    </cfRule>
  </conditionalFormatting>
  <conditionalFormatting sqref="AI38:AI42">
    <cfRule type="cellIs" dxfId="142" priority="4" operator="greaterThan">
      <formula>0</formula>
    </cfRule>
  </conditionalFormatting>
  <conditionalFormatting sqref="AH38:AI42">
    <cfRule type="cellIs" dxfId="141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B13:C13 D15 AH6:AH13 G13:H13 L13:M13 Q13:R13 V13:W13 AA13:AB13 AF13:AG13 B5:B10 G5:G10 L5:L10 D5:E13 I5:J13 N5:O13 M15 Q5:Q10 S5:T13 X5:Y13 V5:V10 AA5 AC5:AD5 AA6:AA10 AC6:AC13 AD6:AD13 AF5:AF10 AH5 AI5:AI12 B15:B21 C21 E15 G15:G20 G21:I21 L15:L20 Q15:Q21 T15:T21 R21 L21:M21 V15:V20 V21:W21 Y15:Y21 AA15:AA21 AB21 AF15:AF21 AG21 B23:B35 C35 G23:G35 H35 L23 O23:O36 M35 Q35 R35 V35 W35 D16:D21 E16:E21 I15:I20 J15:J21 N15:N21 O15:O21 S15:S21 X15:X21 AC15:AC21 AD15:AD21 AH15:AH21 AI15:AI21 D23:D35 E23:E36 I23:I35 J23:J36 N23:N35 L25:L35 S23:S33 T23:T33 S34:S35 T34:T36 Q23:Q34 X23:Y23 X24:X35 Y24:Y36 V23:V34 AA23:AA34 AC23:AC34 AD23:AD36 AA35:AC35 AF23:AF35 AH23:AH35 AI23:AI36 AG35 D38 D39:D42 E38:E42 I38:I42 J38:J42 N38:N42 O38:O42 S38:S42 T38:T42 X38:X42 Y38:Y42 AC38:AC42 AD38:AD42 AH38:AH42 AI38:AI42" unlockedFormula="1"/>
  </ignoredErrors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80" operator="containsText" id="{0E46DCC6-75C6-490C-B2E7-C63AFD854992}">
            <xm:f>NOT(ISERROR(SEARCH("-",E5)))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E5:E13</xm:sqref>
        </x14:conditionalFormatting>
        <x14:conditionalFormatting xmlns:xm="http://schemas.microsoft.com/office/excel/2006/main">
          <x14:cfRule type="containsText" priority="401" operator="containsText" id="{4ABB8F26-F883-45C4-9BEF-EA203E59395D}">
            <xm:f>NOT(ISERROR(SEARCH("-",I13)))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containsText" priority="418" operator="containsText" id="{3955343B-88F6-4449-81E8-675BFAA7A69B}">
            <xm:f>NOT(ISERROR(SEARCH("-",D13)))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ontainsText" priority="408" operator="containsText" id="{50ECE494-161A-4518-AA86-138B5C222F39}">
            <xm:f>NOT(ISERROR(SEARCH("-",D5)))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D5:D13</xm:sqref>
        </x14:conditionalFormatting>
        <x14:conditionalFormatting xmlns:xm="http://schemas.microsoft.com/office/excel/2006/main">
          <x14:cfRule type="containsText" priority="406" operator="containsText" id="{522FEBA1-983E-4269-996C-B4001BD657F0}">
            <xm:f>NOT(ISERROR(SEARCH("-",J5)))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J5:J13</xm:sqref>
        </x14:conditionalFormatting>
        <x14:conditionalFormatting xmlns:xm="http://schemas.microsoft.com/office/excel/2006/main">
          <x14:cfRule type="containsText" priority="399" operator="containsText" id="{43FBB4C9-E53C-4B7D-AC15-471B3DD30428}">
            <xm:f>NOT(ISERROR(SEARCH("-",I5)))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I5:I13</xm:sqref>
        </x14:conditionalFormatting>
        <x14:conditionalFormatting xmlns:xm="http://schemas.microsoft.com/office/excel/2006/main">
          <x14:cfRule type="containsText" priority="397" operator="containsText" id="{2BDA6B7E-65BA-4256-84F2-097F16134BBB}">
            <xm:f>NOT(ISERROR(SEARCH("-",O5)))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O5:O13</xm:sqref>
        </x14:conditionalFormatting>
        <x14:conditionalFormatting xmlns:xm="http://schemas.microsoft.com/office/excel/2006/main">
          <x14:cfRule type="containsText" priority="392" operator="containsText" id="{0FF7F785-9AC5-488E-81DE-FF1ACB6BB28A}">
            <xm:f>NOT(ISERROR(SEARCH("-",N13)))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N13</xm:sqref>
        </x14:conditionalFormatting>
        <x14:conditionalFormatting xmlns:xm="http://schemas.microsoft.com/office/excel/2006/main">
          <x14:cfRule type="containsText" priority="390" operator="containsText" id="{E0BD3679-3329-431F-972E-EBCF917BF7B1}">
            <xm:f>NOT(ISERROR(SEARCH("-",N5)))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N5:N13</xm:sqref>
        </x14:conditionalFormatting>
        <x14:conditionalFormatting xmlns:xm="http://schemas.microsoft.com/office/excel/2006/main">
          <x14:cfRule type="containsText" priority="388" operator="containsText" id="{29EEDCBD-E9D4-4419-9620-21169BF980D0}">
            <xm:f>NOT(ISERROR(SEARCH("-",T5)))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T5:T13</xm:sqref>
        </x14:conditionalFormatting>
        <x14:conditionalFormatting xmlns:xm="http://schemas.microsoft.com/office/excel/2006/main">
          <x14:cfRule type="containsText" priority="383" operator="containsText" id="{A4AAD0D9-DDF9-429E-81E1-531F2AF2947A}">
            <xm:f>NOT(ISERROR(SEARCH("-",S13)))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S13</xm:sqref>
        </x14:conditionalFormatting>
        <x14:conditionalFormatting xmlns:xm="http://schemas.microsoft.com/office/excel/2006/main">
          <x14:cfRule type="containsText" priority="381" operator="containsText" id="{24B54112-A54B-441F-8DA6-76B18C925632}">
            <xm:f>NOT(ISERROR(SEARCH("-",S5)))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S5:S13</xm:sqref>
        </x14:conditionalFormatting>
        <x14:conditionalFormatting xmlns:xm="http://schemas.microsoft.com/office/excel/2006/main">
          <x14:cfRule type="containsText" priority="363" operator="containsText" id="{C924C277-EAD1-47FD-9618-6199F4D1581F}">
            <xm:f>NOT(ISERROR(SEARCH("-",AC5)))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AC5:AC13</xm:sqref>
        </x14:conditionalFormatting>
        <x14:conditionalFormatting xmlns:xm="http://schemas.microsoft.com/office/excel/2006/main">
          <x14:cfRule type="containsText" priority="374" operator="containsText" id="{8B133A43-F48B-47D4-BD23-3ADF51029213}">
            <xm:f>NOT(ISERROR(SEARCH("-",X13)))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X13</xm:sqref>
        </x14:conditionalFormatting>
        <x14:conditionalFormatting xmlns:xm="http://schemas.microsoft.com/office/excel/2006/main">
          <x14:cfRule type="containsText" priority="372" operator="containsText" id="{75C30EC5-00BD-414C-84F2-0664A7C8D0CB}">
            <xm:f>NOT(ISERROR(SEARCH("-",X5)))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X5:X13</xm:sqref>
        </x14:conditionalFormatting>
        <x14:conditionalFormatting xmlns:xm="http://schemas.microsoft.com/office/excel/2006/main">
          <x14:cfRule type="containsText" priority="365" operator="containsText" id="{7AF9422A-97C5-4727-A65D-6847446DDA49}">
            <xm:f>NOT(ISERROR(SEARCH("-",AC13)))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AC13</xm:sqref>
        </x14:conditionalFormatting>
        <x14:conditionalFormatting xmlns:xm="http://schemas.microsoft.com/office/excel/2006/main">
          <x14:cfRule type="containsText" priority="351" operator="containsText" id="{C8D6F40B-F774-4E5D-A257-B4C5E810F4E5}">
            <xm:f>NOT(ISERROR(SEARCH("-",Y5)))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Y5:Y13</xm:sqref>
        </x14:conditionalFormatting>
        <x14:conditionalFormatting xmlns:xm="http://schemas.microsoft.com/office/excel/2006/main">
          <x14:cfRule type="containsText" priority="356" operator="containsText" id="{101AEB61-6C8B-442B-B5DF-FE7A8F673700}">
            <xm:f>NOT(ISERROR(SEARCH("-",AH13)))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AH13</xm:sqref>
        </x14:conditionalFormatting>
        <x14:conditionalFormatting xmlns:xm="http://schemas.microsoft.com/office/excel/2006/main">
          <x14:cfRule type="containsText" priority="354" operator="containsText" id="{A3CE3647-EDBE-4577-A0D9-EACE7177AA76}">
            <xm:f>NOT(ISERROR(SEARCH("-",AH5)))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AH5:AH13</xm:sqref>
        </x14:conditionalFormatting>
        <x14:conditionalFormatting xmlns:xm="http://schemas.microsoft.com/office/excel/2006/main">
          <x14:cfRule type="containsText" priority="348" operator="containsText" id="{76AD9E08-65AD-4F96-BE79-A39353B805CC}">
            <xm:f>NOT(ISERROR(SEARCH("-",AD5)))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AD5:AD13</xm:sqref>
        </x14:conditionalFormatting>
        <x14:conditionalFormatting xmlns:xm="http://schemas.microsoft.com/office/excel/2006/main">
          <x14:cfRule type="containsText" priority="345" operator="containsText" id="{CDBFFA83-087A-459D-A21B-AF7E106BFD73}">
            <xm:f>NOT(ISERROR(SEARCH("-",AI5)))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AI5:AI13</xm:sqref>
        </x14:conditionalFormatting>
        <x14:conditionalFormatting xmlns:xm="http://schemas.microsoft.com/office/excel/2006/main">
          <x14:cfRule type="containsText" priority="342" operator="containsText" id="{24470AB1-9605-4D9D-838E-E87D60E2DA23}">
            <xm:f>NOT(ISERROR(SEARCH("-",E15)))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E15:E21</xm:sqref>
        </x14:conditionalFormatting>
        <x14:conditionalFormatting xmlns:xm="http://schemas.microsoft.com/office/excel/2006/main">
          <x14:cfRule type="containsText" priority="332" operator="containsText" id="{3FC68C05-C109-4124-B5A8-F75D14BEAAB6}">
            <xm:f>NOT(ISERROR(SEARCH("-",T16)))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T16:T21</xm:sqref>
        </x14:conditionalFormatting>
        <x14:conditionalFormatting xmlns:xm="http://schemas.microsoft.com/office/excel/2006/main">
          <x14:cfRule type="containsText" priority="329" operator="containsText" id="{D92B8FE7-EFA7-446D-948D-42E190E471BE}">
            <xm:f>NOT(ISERROR(SEARCH("-",Y16)))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Y16:Y21</xm:sqref>
        </x14:conditionalFormatting>
        <x14:conditionalFormatting xmlns:xm="http://schemas.microsoft.com/office/excel/2006/main">
          <x14:cfRule type="containsText" priority="308" operator="containsText" id="{826DEE61-63DB-41D7-87E3-24C94A64C838}">
            <xm:f>NOT(ISERROR(SEARCH("-",O24)))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O24:O35</xm:sqref>
        </x14:conditionalFormatting>
        <x14:conditionalFormatting xmlns:xm="http://schemas.microsoft.com/office/excel/2006/main">
          <x14:cfRule type="containsText" priority="297" operator="containsText" id="{44BE301A-4E9F-4A8F-AD04-32751241E671}">
            <xm:f>NOT(ISERROR(SEARCH("-",D15)))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m:sqref>D15:D21</xm:sqref>
        </x14:conditionalFormatting>
        <x14:conditionalFormatting xmlns:xm="http://schemas.microsoft.com/office/excel/2006/main">
          <x14:cfRule type="containsText" priority="295" operator="containsText" id="{2A793ED0-DAA2-487F-A521-ACEF78C77DCD}">
            <xm:f>NOT(ISERROR(SEARCH("-",E15)))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m:sqref>E15:E21</xm:sqref>
        </x14:conditionalFormatting>
        <x14:conditionalFormatting xmlns:xm="http://schemas.microsoft.com/office/excel/2006/main">
          <x14:cfRule type="containsText" priority="293" operator="containsText" id="{1BAB4DD0-10FE-41E0-90F5-D8CBE508110B}">
            <xm:f>NOT(ISERROR(SEARCH("-",I15)))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m:sqref>I15:I21</xm:sqref>
        </x14:conditionalFormatting>
        <x14:conditionalFormatting xmlns:xm="http://schemas.microsoft.com/office/excel/2006/main">
          <x14:cfRule type="containsText" priority="290" operator="containsText" id="{36670DE1-5CB7-4804-A243-CF5E056D6AE7}">
            <xm:f>NOT(ISERROR(SEARCH("-",J15)))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J15:J21</xm:sqref>
        </x14:conditionalFormatting>
        <x14:conditionalFormatting xmlns:xm="http://schemas.microsoft.com/office/excel/2006/main">
          <x14:cfRule type="containsText" priority="287" operator="containsText" id="{BD58ECD9-B418-4C0B-8135-87D16F93F612}">
            <xm:f>NOT(ISERROR(SEARCH("-",J15)))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m:sqref>J15:J21</xm:sqref>
        </x14:conditionalFormatting>
        <x14:conditionalFormatting xmlns:xm="http://schemas.microsoft.com/office/excel/2006/main">
          <x14:cfRule type="containsText" priority="285" operator="containsText" id="{C72B7075-DD8A-43F6-B413-926279584FD7}">
            <xm:f>NOT(ISERROR(SEARCH("-",N15)))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m:sqref>N15:N21</xm:sqref>
        </x14:conditionalFormatting>
        <x14:conditionalFormatting xmlns:xm="http://schemas.microsoft.com/office/excel/2006/main">
          <x14:cfRule type="containsText" priority="282" operator="containsText" id="{27633B28-A2DC-4791-B1CA-7EBF7683B951}">
            <xm:f>NOT(ISERROR(SEARCH("-",O15)))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O15:O21</xm:sqref>
        </x14:conditionalFormatting>
        <x14:conditionalFormatting xmlns:xm="http://schemas.microsoft.com/office/excel/2006/main">
          <x14:cfRule type="containsText" priority="279" operator="containsText" id="{95F2EAC4-0E37-47E3-A6E9-97CDC341F7D7}">
            <xm:f>NOT(ISERROR(SEARCH("-",O15)))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m:sqref>O15:O21</xm:sqref>
        </x14:conditionalFormatting>
        <x14:conditionalFormatting xmlns:xm="http://schemas.microsoft.com/office/excel/2006/main">
          <x14:cfRule type="containsText" priority="277" operator="containsText" id="{3A806FCE-48F8-4C6E-A79F-5940A4F78AF0}">
            <xm:f>NOT(ISERROR(SEARCH("-",S15)))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m:sqref>S15:S21</xm:sqref>
        </x14:conditionalFormatting>
        <x14:conditionalFormatting xmlns:xm="http://schemas.microsoft.com/office/excel/2006/main">
          <x14:cfRule type="containsText" priority="274" operator="containsText" id="{20378425-B18E-4725-9086-62ADA09821AA}">
            <xm:f>NOT(ISERROR(SEARCH("-",T15)))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T15</xm:sqref>
        </x14:conditionalFormatting>
        <x14:conditionalFormatting xmlns:xm="http://schemas.microsoft.com/office/excel/2006/main">
          <x14:cfRule type="containsText" priority="271" operator="containsText" id="{18B2F151-BE75-480E-B5EE-D22D17910289}">
            <xm:f>NOT(ISERROR(SEARCH("-",T15)))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m:sqref>T15</xm:sqref>
        </x14:conditionalFormatting>
        <x14:conditionalFormatting xmlns:xm="http://schemas.microsoft.com/office/excel/2006/main">
          <x14:cfRule type="containsText" priority="269" operator="containsText" id="{16440400-B89B-4627-8ED2-14497C05A8E0}">
            <xm:f>NOT(ISERROR(SEARCH("-",X15)))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m:sqref>X15:X21</xm:sqref>
        </x14:conditionalFormatting>
        <x14:conditionalFormatting xmlns:xm="http://schemas.microsoft.com/office/excel/2006/main">
          <x14:cfRule type="containsText" priority="266" operator="containsText" id="{46DAE40D-3974-42EF-A310-48372183B0F8}">
            <xm:f>NOT(ISERROR(SEARCH("-",Y15)))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Y15</xm:sqref>
        </x14:conditionalFormatting>
        <x14:conditionalFormatting xmlns:xm="http://schemas.microsoft.com/office/excel/2006/main">
          <x14:cfRule type="containsText" priority="263" operator="containsText" id="{E816AC2A-B62E-493D-9113-7DA113DF7035}">
            <xm:f>NOT(ISERROR(SEARCH("-",Y15)))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m:sqref>Y15</xm:sqref>
        </x14:conditionalFormatting>
        <x14:conditionalFormatting xmlns:xm="http://schemas.microsoft.com/office/excel/2006/main">
          <x14:cfRule type="containsText" priority="261" operator="containsText" id="{1B2A830E-486B-4454-A02F-E29405A0E953}">
            <xm:f>NOT(ISERROR(SEARCH("-",AC15)))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m:sqref>AC15:AC21</xm:sqref>
        </x14:conditionalFormatting>
        <x14:conditionalFormatting xmlns:xm="http://schemas.microsoft.com/office/excel/2006/main">
          <x14:cfRule type="containsText" priority="258" operator="containsText" id="{3B5937F2-858E-4EED-8FE5-F6995E12624D}">
            <xm:f>NOT(ISERROR(SEARCH("-",AD15)))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AD15:AD21</xm:sqref>
        </x14:conditionalFormatting>
        <x14:conditionalFormatting xmlns:xm="http://schemas.microsoft.com/office/excel/2006/main">
          <x14:cfRule type="containsText" priority="255" operator="containsText" id="{B4A65700-CB05-41E0-B129-A69E986C4E16}">
            <xm:f>NOT(ISERROR(SEARCH("-",AD15)))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m:sqref>AD15:AD21</xm:sqref>
        </x14:conditionalFormatting>
        <x14:conditionalFormatting xmlns:xm="http://schemas.microsoft.com/office/excel/2006/main">
          <x14:cfRule type="containsText" priority="253" operator="containsText" id="{19B54506-2635-43E3-95D1-1EB682FABDAD}">
            <xm:f>NOT(ISERROR(SEARCH("-",AH15)))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m:sqref>AH15:AH21</xm:sqref>
        </x14:conditionalFormatting>
        <x14:conditionalFormatting xmlns:xm="http://schemas.microsoft.com/office/excel/2006/main">
          <x14:cfRule type="containsText" priority="250" operator="containsText" id="{DBEEC1EC-9965-406C-9E6A-D17F02863413}">
            <xm:f>NOT(ISERROR(SEARCH("-",AI15)))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AI15:AI21</xm:sqref>
        </x14:conditionalFormatting>
        <x14:conditionalFormatting xmlns:xm="http://schemas.microsoft.com/office/excel/2006/main">
          <x14:cfRule type="containsText" priority="247" operator="containsText" id="{36C9A1DE-30FA-4FC2-896A-4D20496C43B4}">
            <xm:f>NOT(ISERROR(SEARCH("-",AI15)))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m:sqref>AI15:AI21</xm:sqref>
        </x14:conditionalFormatting>
        <x14:conditionalFormatting xmlns:xm="http://schemas.microsoft.com/office/excel/2006/main">
          <x14:cfRule type="containsText" priority="244" operator="containsText" id="{5129617B-A664-458E-8B37-0EEED1826708}">
            <xm:f>NOT(ISERROR(SEARCH("-",E23)))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E23:E35</xm:sqref>
        </x14:conditionalFormatting>
        <x14:conditionalFormatting xmlns:xm="http://schemas.microsoft.com/office/excel/2006/main">
          <x14:cfRule type="containsText" priority="241" operator="containsText" id="{ABFECB43-5BC0-45F7-9AD5-D249D570BA06}">
            <xm:f>NOT(ISERROR(SEARCH("-",D23)))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m:sqref>D23:D35</xm:sqref>
        </x14:conditionalFormatting>
        <x14:conditionalFormatting xmlns:xm="http://schemas.microsoft.com/office/excel/2006/main">
          <x14:cfRule type="containsText" priority="239" operator="containsText" id="{CC86C2E5-E935-46A5-83F5-BF5BEEC90431}">
            <xm:f>NOT(ISERROR(SEARCH("-",E23)))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m:sqref>E23:E35</xm:sqref>
        </x14:conditionalFormatting>
        <x14:conditionalFormatting xmlns:xm="http://schemas.microsoft.com/office/excel/2006/main">
          <x14:cfRule type="containsText" priority="236" operator="containsText" id="{B5478DB7-2ADF-4625-B768-693F9B462734}">
            <xm:f>NOT(ISERROR(SEARCH("-",J23)))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J23:J35</xm:sqref>
        </x14:conditionalFormatting>
        <x14:conditionalFormatting xmlns:xm="http://schemas.microsoft.com/office/excel/2006/main">
          <x14:cfRule type="containsText" priority="233" operator="containsText" id="{D0DD06E0-9ECC-489F-A7CC-388023DD954C}">
            <xm:f>NOT(ISERROR(SEARCH("-",I23)))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m:sqref>I23:I35</xm:sqref>
        </x14:conditionalFormatting>
        <x14:conditionalFormatting xmlns:xm="http://schemas.microsoft.com/office/excel/2006/main">
          <x14:cfRule type="containsText" priority="231" operator="containsText" id="{A8394186-D8CB-4998-9157-7B1F2B6F6745}">
            <xm:f>NOT(ISERROR(SEARCH("-",J23)))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m:sqref>J23:J35</xm:sqref>
        </x14:conditionalFormatting>
        <x14:conditionalFormatting xmlns:xm="http://schemas.microsoft.com/office/excel/2006/main">
          <x14:cfRule type="containsText" priority="228" operator="containsText" id="{BBBA27FA-69FE-4043-824A-A0E92890D518}">
            <xm:f>NOT(ISERROR(SEARCH("-",O23)))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O23</xm:sqref>
        </x14:conditionalFormatting>
        <x14:conditionalFormatting xmlns:xm="http://schemas.microsoft.com/office/excel/2006/main">
          <x14:cfRule type="containsText" priority="225" operator="containsText" id="{1D2133FC-FBEB-4994-927B-75E7652959CC}">
            <xm:f>NOT(ISERROR(SEARCH("-",N23)))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m:sqref>N23:N35</xm:sqref>
        </x14:conditionalFormatting>
        <x14:conditionalFormatting xmlns:xm="http://schemas.microsoft.com/office/excel/2006/main">
          <x14:cfRule type="containsText" priority="223" operator="containsText" id="{7FCF7254-B577-4A53-9890-FE2AFB80CEF6}">
            <xm:f>NOT(ISERROR(SEARCH("-",O23)))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m:sqref>O23</xm:sqref>
        </x14:conditionalFormatting>
        <x14:conditionalFormatting xmlns:xm="http://schemas.microsoft.com/office/excel/2006/main">
          <x14:cfRule type="containsText" priority="220" operator="containsText" id="{A7C05904-AB9B-46DD-BDBF-E3574E5DAC40}">
            <xm:f>NOT(ISERROR(SEARCH("-",T23)))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T23:T35</xm:sqref>
        </x14:conditionalFormatting>
        <x14:conditionalFormatting xmlns:xm="http://schemas.microsoft.com/office/excel/2006/main">
          <x14:cfRule type="containsText" priority="217" operator="containsText" id="{03255B00-6CCB-4E53-9449-F5EEAEB29562}">
            <xm:f>NOT(ISERROR(SEARCH("-",S23)))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m:sqref>S23:S35</xm:sqref>
        </x14:conditionalFormatting>
        <x14:conditionalFormatting xmlns:xm="http://schemas.microsoft.com/office/excel/2006/main">
          <x14:cfRule type="containsText" priority="215" operator="containsText" id="{7595B14A-461D-411F-9AE5-D4D864FC1F7F}">
            <xm:f>NOT(ISERROR(SEARCH("-",T23)))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m:sqref>T23:T35</xm:sqref>
        </x14:conditionalFormatting>
        <x14:conditionalFormatting xmlns:xm="http://schemas.microsoft.com/office/excel/2006/main">
          <x14:cfRule type="containsText" priority="212" operator="containsText" id="{7CA8FAE8-1685-4B47-B434-052F5B7B41A3}">
            <xm:f>NOT(ISERROR(SEARCH("-",Y23)))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Y23:Y35</xm:sqref>
        </x14:conditionalFormatting>
        <x14:conditionalFormatting xmlns:xm="http://schemas.microsoft.com/office/excel/2006/main">
          <x14:cfRule type="containsText" priority="209" operator="containsText" id="{AD63839D-D9AD-45F6-88D5-6C28A6D10B06}">
            <xm:f>NOT(ISERROR(SEARCH("-",X23)))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m:sqref>X23:X35</xm:sqref>
        </x14:conditionalFormatting>
        <x14:conditionalFormatting xmlns:xm="http://schemas.microsoft.com/office/excel/2006/main">
          <x14:cfRule type="containsText" priority="207" operator="containsText" id="{604241CA-4339-4A4D-BBFC-203BB668FA05}">
            <xm:f>NOT(ISERROR(SEARCH("-",Y23)))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m:sqref>Y23:Y35</xm:sqref>
        </x14:conditionalFormatting>
        <x14:conditionalFormatting xmlns:xm="http://schemas.microsoft.com/office/excel/2006/main">
          <x14:cfRule type="containsText" priority="204" operator="containsText" id="{E4349039-2A38-4D46-8DD7-C9E874A76FF7}">
            <xm:f>NOT(ISERROR(SEARCH("-",AD23)))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AD23:AD35</xm:sqref>
        </x14:conditionalFormatting>
        <x14:conditionalFormatting xmlns:xm="http://schemas.microsoft.com/office/excel/2006/main">
          <x14:cfRule type="containsText" priority="201" operator="containsText" id="{C264B1F4-62E3-4817-98F3-F0CD9322D78C}">
            <xm:f>NOT(ISERROR(SEARCH("-",AC23)))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m:sqref>AC23:AC35</xm:sqref>
        </x14:conditionalFormatting>
        <x14:conditionalFormatting xmlns:xm="http://schemas.microsoft.com/office/excel/2006/main">
          <x14:cfRule type="containsText" priority="199" operator="containsText" id="{2F45347A-3EB8-4E09-A9A6-1C1B339EC2E8}">
            <xm:f>NOT(ISERROR(SEARCH("-",AD23)))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m:sqref>AD23:AD35</xm:sqref>
        </x14:conditionalFormatting>
        <x14:conditionalFormatting xmlns:xm="http://schemas.microsoft.com/office/excel/2006/main">
          <x14:cfRule type="containsText" priority="196" operator="containsText" id="{6AF5034C-EE22-475E-B864-F22A81CF6466}">
            <xm:f>NOT(ISERROR(SEARCH("-",AI23)))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AI23:AI35</xm:sqref>
        </x14:conditionalFormatting>
        <x14:conditionalFormatting xmlns:xm="http://schemas.microsoft.com/office/excel/2006/main">
          <x14:cfRule type="containsText" priority="193" operator="containsText" id="{6AC5351E-C421-4879-A87A-B55BF3DBF2C7}">
            <xm:f>NOT(ISERROR(SEARCH("-",AH23)))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m:sqref>AH23:AH35</xm:sqref>
        </x14:conditionalFormatting>
        <x14:conditionalFormatting xmlns:xm="http://schemas.microsoft.com/office/excel/2006/main">
          <x14:cfRule type="containsText" priority="191" operator="containsText" id="{C088B13B-526C-4B7D-A42D-114EFBAC6711}">
            <xm:f>NOT(ISERROR(SEARCH("-",AI23)))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m:sqref>AI23:AI35</xm:sqref>
        </x14:conditionalFormatting>
        <x14:conditionalFormatting xmlns:xm="http://schemas.microsoft.com/office/excel/2006/main">
          <x14:cfRule type="containsText" priority="188" operator="containsText" id="{0E58A8D8-9BBD-4270-AF17-AF600F6C108F}">
            <xm:f>NOT(ISERROR(SEARCH("-",D36)))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14:cfRule type="containsText" priority="189" operator="containsText" id="{324B83B4-50AF-4248-A16E-1730B9E81D64}">
            <xm:f>NOT(ISERROR(SEARCH("-",D36)))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ontainsText" priority="185" operator="containsText" id="{4EB304BB-EAF2-469D-84D5-B4995DC5EC4A}">
            <xm:f>NOT(ISERROR(SEARCH("-",E36)))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E36</xm:sqref>
        </x14:conditionalFormatting>
        <x14:conditionalFormatting xmlns:xm="http://schemas.microsoft.com/office/excel/2006/main">
          <x14:cfRule type="containsText" priority="182" operator="containsText" id="{C6C99C76-BE7C-49F0-8C5D-B73DC1A1D841}">
            <xm:f>NOT(ISERROR(SEARCH("-",E36)))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m:sqref>E36</xm:sqref>
        </x14:conditionalFormatting>
        <x14:conditionalFormatting xmlns:xm="http://schemas.microsoft.com/office/excel/2006/main">
          <x14:cfRule type="containsText" priority="179" operator="containsText" id="{BD107C44-95F8-42D9-95C4-9063FE3A96DE}">
            <xm:f>NOT(ISERROR(SEARCH("-",I36)))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14:cfRule type="containsText" priority="180" operator="containsText" id="{6F314DDD-343C-4C64-AB04-A9A1B8007A83}">
            <xm:f>NOT(ISERROR(SEARCH("-",I36)))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I36</xm:sqref>
        </x14:conditionalFormatting>
        <x14:conditionalFormatting xmlns:xm="http://schemas.microsoft.com/office/excel/2006/main">
          <x14:cfRule type="containsText" priority="176" operator="containsText" id="{54AB1C0B-B63D-43AC-813A-5459C28CFB24}">
            <xm:f>NOT(ISERROR(SEARCH("-",J36)))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J36</xm:sqref>
        </x14:conditionalFormatting>
        <x14:conditionalFormatting xmlns:xm="http://schemas.microsoft.com/office/excel/2006/main">
          <x14:cfRule type="containsText" priority="173" operator="containsText" id="{F7800076-E4E3-47F7-B3FC-B3F9445BA8A6}">
            <xm:f>NOT(ISERROR(SEARCH("-",J36)))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m:sqref>J36</xm:sqref>
        </x14:conditionalFormatting>
        <x14:conditionalFormatting xmlns:xm="http://schemas.microsoft.com/office/excel/2006/main">
          <x14:cfRule type="containsText" priority="170" operator="containsText" id="{AF3FB1F9-06FE-41A8-9E07-77D1433E8015}">
            <xm:f>NOT(ISERROR(SEARCH("-",N36)))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14:cfRule type="containsText" priority="171" operator="containsText" id="{1DBE9581-F81D-4080-8394-92968F299816}">
            <xm:f>NOT(ISERROR(SEARCH("-",N36)))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N36</xm:sqref>
        </x14:conditionalFormatting>
        <x14:conditionalFormatting xmlns:xm="http://schemas.microsoft.com/office/excel/2006/main">
          <x14:cfRule type="containsText" priority="167" operator="containsText" id="{A5C2E609-3FED-4D63-B974-B2B36F9EC6F7}">
            <xm:f>NOT(ISERROR(SEARCH("-",O36)))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O36</xm:sqref>
        </x14:conditionalFormatting>
        <x14:conditionalFormatting xmlns:xm="http://schemas.microsoft.com/office/excel/2006/main">
          <x14:cfRule type="containsText" priority="164" operator="containsText" id="{7CB6C06B-6A7F-4C21-B97B-A5F9A869A4A3}">
            <xm:f>NOT(ISERROR(SEARCH("-",O36)))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m:sqref>O36</xm:sqref>
        </x14:conditionalFormatting>
        <x14:conditionalFormatting xmlns:xm="http://schemas.microsoft.com/office/excel/2006/main">
          <x14:cfRule type="containsText" priority="161" operator="containsText" id="{31EFD3E4-52F8-4C09-8170-063A9CDDF101}">
            <xm:f>NOT(ISERROR(SEARCH("-",S36)))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14:cfRule type="containsText" priority="162" operator="containsText" id="{F81B00B9-4C2C-402F-BC35-6A0E3B478AE0}">
            <xm:f>NOT(ISERROR(SEARCH("-",S36)))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S36</xm:sqref>
        </x14:conditionalFormatting>
        <x14:conditionalFormatting xmlns:xm="http://schemas.microsoft.com/office/excel/2006/main">
          <x14:cfRule type="containsText" priority="158" operator="containsText" id="{C765864E-F390-4481-A039-8C14D5B8FA80}">
            <xm:f>NOT(ISERROR(SEARCH("-",T36)))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T36</xm:sqref>
        </x14:conditionalFormatting>
        <x14:conditionalFormatting xmlns:xm="http://schemas.microsoft.com/office/excel/2006/main">
          <x14:cfRule type="containsText" priority="155" operator="containsText" id="{741C141D-ED4C-4876-84B6-3E4E002839D3}">
            <xm:f>NOT(ISERROR(SEARCH("-",T36)))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m:sqref>T36</xm:sqref>
        </x14:conditionalFormatting>
        <x14:conditionalFormatting xmlns:xm="http://schemas.microsoft.com/office/excel/2006/main">
          <x14:cfRule type="containsText" priority="152" operator="containsText" id="{A2655F7C-7650-4874-A93E-2EDACF3CF60F}">
            <xm:f>NOT(ISERROR(SEARCH("-",X36)))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14:cfRule type="containsText" priority="153" operator="containsText" id="{6B79FC54-64CB-4570-9478-15F73A7EA1B6}">
            <xm:f>NOT(ISERROR(SEARCH("-",X36)))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X36</xm:sqref>
        </x14:conditionalFormatting>
        <x14:conditionalFormatting xmlns:xm="http://schemas.microsoft.com/office/excel/2006/main">
          <x14:cfRule type="containsText" priority="149" operator="containsText" id="{62ACA220-4F1E-4A39-A06E-E1310E3818CE}">
            <xm:f>NOT(ISERROR(SEARCH("-",Y36)))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Y36</xm:sqref>
        </x14:conditionalFormatting>
        <x14:conditionalFormatting xmlns:xm="http://schemas.microsoft.com/office/excel/2006/main">
          <x14:cfRule type="containsText" priority="146" operator="containsText" id="{E7956D31-2FE4-484C-BB5D-EF31F52861D8}">
            <xm:f>NOT(ISERROR(SEARCH("-",Y36)))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m:sqref>Y36</xm:sqref>
        </x14:conditionalFormatting>
        <x14:conditionalFormatting xmlns:xm="http://schemas.microsoft.com/office/excel/2006/main">
          <x14:cfRule type="containsText" priority="143" operator="containsText" id="{653FD0F9-7BB9-4C9F-8156-BACD1B64C863}">
            <xm:f>NOT(ISERROR(SEARCH("-",AC36)))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14:cfRule type="containsText" priority="144" operator="containsText" id="{2F2273EE-4282-4E56-AE92-1CDB25897A60}">
            <xm:f>NOT(ISERROR(SEARCH("-",AC36)))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AC36</xm:sqref>
        </x14:conditionalFormatting>
        <x14:conditionalFormatting xmlns:xm="http://schemas.microsoft.com/office/excel/2006/main">
          <x14:cfRule type="containsText" priority="140" operator="containsText" id="{745A9A94-29AD-4936-AD8E-AA8C539B4BCA}">
            <xm:f>NOT(ISERROR(SEARCH("-",AD36)))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AD36</xm:sqref>
        </x14:conditionalFormatting>
        <x14:conditionalFormatting xmlns:xm="http://schemas.microsoft.com/office/excel/2006/main">
          <x14:cfRule type="containsText" priority="137" operator="containsText" id="{271D46EC-9DC9-4304-8969-78C7F5493FE3}">
            <xm:f>NOT(ISERROR(SEARCH("-",AD36)))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m:sqref>AD36</xm:sqref>
        </x14:conditionalFormatting>
        <x14:conditionalFormatting xmlns:xm="http://schemas.microsoft.com/office/excel/2006/main">
          <x14:cfRule type="containsText" priority="134" operator="containsText" id="{2560A669-254E-4963-A142-D0C5B4771239}">
            <xm:f>NOT(ISERROR(SEARCH("-",AH36)))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14:cfRule type="containsText" priority="135" operator="containsText" id="{216D8DC6-ED13-450E-8012-D5DE0DBA13F0}">
            <xm:f>NOT(ISERROR(SEARCH("-",AH36)))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AH36</xm:sqref>
        </x14:conditionalFormatting>
        <x14:conditionalFormatting xmlns:xm="http://schemas.microsoft.com/office/excel/2006/main">
          <x14:cfRule type="containsText" priority="131" operator="containsText" id="{D5DB9AB8-9B5E-4214-8D41-E5C427502272}">
            <xm:f>NOT(ISERROR(SEARCH("-",AI36)))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AI36</xm:sqref>
        </x14:conditionalFormatting>
        <x14:conditionalFormatting xmlns:xm="http://schemas.microsoft.com/office/excel/2006/main">
          <x14:cfRule type="containsText" priority="128" operator="containsText" id="{25192123-6C06-46F5-9EE5-2E85A41C3095}">
            <xm:f>NOT(ISERROR(SEARCH("-",AI36)))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m:sqref>AI36</xm:sqref>
        </x14:conditionalFormatting>
        <x14:conditionalFormatting xmlns:xm="http://schemas.microsoft.com/office/excel/2006/main">
          <x14:cfRule type="containsText" priority="123" operator="containsText" id="{9464B54A-EF14-4586-BEB5-637FEC19456E}">
            <xm:f>NOT(ISERROR(SEARCH("-",B38)))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B39:E42 B38:C38 G39 G40:H42</xm:sqref>
        </x14:conditionalFormatting>
        <x14:conditionalFormatting xmlns:xm="http://schemas.microsoft.com/office/excel/2006/main">
          <x14:cfRule type="containsText" priority="122" operator="containsText" id="{D6CAD2F6-2D81-4C64-BD29-ADCB0607947A}">
            <xm:f>NOT(ISERROR(SEARCH("-",D38)))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m:sqref>D38:D42</xm:sqref>
        </x14:conditionalFormatting>
        <x14:conditionalFormatting xmlns:xm="http://schemas.microsoft.com/office/excel/2006/main">
          <x14:cfRule type="containsText" priority="119" operator="containsText" id="{E6D887A2-5169-44F0-B30E-4018EBC4E485}">
            <xm:f>NOT(ISERROR(SEARCH("-",E38)))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E38:E42</xm:sqref>
        </x14:conditionalFormatting>
        <x14:conditionalFormatting xmlns:xm="http://schemas.microsoft.com/office/excel/2006/main">
          <x14:cfRule type="containsText" priority="116" operator="containsText" id="{4ECD6D98-8077-4AF5-A7E8-A2726627231C}">
            <xm:f>NOT(ISERROR(SEARCH("-",E38)))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m:sqref>E38:E42</xm:sqref>
        </x14:conditionalFormatting>
        <x14:conditionalFormatting xmlns:xm="http://schemas.microsoft.com/office/excel/2006/main">
          <x14:cfRule type="containsText" priority="113" operator="containsText" id="{93AB8346-68B3-4A58-B032-2F60DB54EAF2}">
            <xm:f>NOT(ISERROR(SEARCH("-",D38)))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D38:E42</xm:sqref>
        </x14:conditionalFormatting>
        <x14:conditionalFormatting xmlns:xm="http://schemas.microsoft.com/office/excel/2006/main">
          <x14:cfRule type="containsText" priority="112" operator="containsText" id="{D7DE6394-3642-4D7E-8980-C9F672795B78}">
            <xm:f>NOT(ISERROR(SEARCH("-",B38)))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B38:E42</xm:sqref>
        </x14:conditionalFormatting>
        <x14:conditionalFormatting xmlns:xm="http://schemas.microsoft.com/office/excel/2006/main">
          <x14:cfRule type="containsText" priority="107" operator="containsText" id="{8ABDBF22-A19B-482F-80E9-03E7E36F4EB4}">
            <xm:f>NOT(ISERROR(SEARCH("-",G38)))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G38:H38 H39</xm:sqref>
        </x14:conditionalFormatting>
        <x14:conditionalFormatting xmlns:xm="http://schemas.microsoft.com/office/excel/2006/main">
          <x14:cfRule type="containsText" priority="106" operator="containsText" id="{5C29E01B-B174-4205-97DC-03C128848860}">
            <xm:f>NOT(ISERROR(SEARCH("-",I38)))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m:sqref>I38:I42</xm:sqref>
        </x14:conditionalFormatting>
        <x14:conditionalFormatting xmlns:xm="http://schemas.microsoft.com/office/excel/2006/main">
          <x14:cfRule type="containsText" priority="103" operator="containsText" id="{48E06747-8D8B-4982-AF35-465D538A42CA}">
            <xm:f>NOT(ISERROR(SEARCH("-",J38)))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J38:J42</xm:sqref>
        </x14:conditionalFormatting>
        <x14:conditionalFormatting xmlns:xm="http://schemas.microsoft.com/office/excel/2006/main">
          <x14:cfRule type="containsText" priority="100" operator="containsText" id="{25A4AA3C-18BD-45F2-9351-4F814D4FAE2E}">
            <xm:f>NOT(ISERROR(SEARCH("-",J38)))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m:sqref>J38:J42</xm:sqref>
        </x14:conditionalFormatting>
        <x14:conditionalFormatting xmlns:xm="http://schemas.microsoft.com/office/excel/2006/main">
          <x14:cfRule type="containsText" priority="97" operator="containsText" id="{BD6E353F-04A1-45CC-BB67-D0394AA65D2F}">
            <xm:f>NOT(ISERROR(SEARCH("-",I38)))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I38:J42</xm:sqref>
        </x14:conditionalFormatting>
        <x14:conditionalFormatting xmlns:xm="http://schemas.microsoft.com/office/excel/2006/main">
          <x14:cfRule type="containsText" priority="96" operator="containsText" id="{A83E4C6F-3D92-4B10-A810-B4666B39553D}">
            <xm:f>NOT(ISERROR(SEARCH("-",G38)))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G38:J38 H39 I39:J42</xm:sqref>
        </x14:conditionalFormatting>
        <x14:conditionalFormatting xmlns:xm="http://schemas.microsoft.com/office/excel/2006/main">
          <x14:cfRule type="containsText" priority="93" operator="containsText" id="{082697C4-8EBE-424F-AC84-ED82996EC10A}">
            <xm:f>NOT(ISERROR(SEARCH("-",L39)))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L39 L40:M42</xm:sqref>
        </x14:conditionalFormatting>
        <x14:conditionalFormatting xmlns:xm="http://schemas.microsoft.com/office/excel/2006/main">
          <x14:cfRule type="containsText" priority="88" operator="containsText" id="{97B9FAE3-4BFF-4B6B-B087-682AAD79516D}">
            <xm:f>NOT(ISERROR(SEARCH("-",L38)))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L38:M38 M39</xm:sqref>
        </x14:conditionalFormatting>
        <x14:conditionalFormatting xmlns:xm="http://schemas.microsoft.com/office/excel/2006/main">
          <x14:cfRule type="containsText" priority="87" operator="containsText" id="{658D9EB4-1161-42F8-854D-A0362A157739}">
            <xm:f>NOT(ISERROR(SEARCH("-",N38)))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m:sqref>N38:N42</xm:sqref>
        </x14:conditionalFormatting>
        <x14:conditionalFormatting xmlns:xm="http://schemas.microsoft.com/office/excel/2006/main">
          <x14:cfRule type="containsText" priority="84" operator="containsText" id="{807A9AA0-E311-4BD7-A0F4-B30EF3C03A57}">
            <xm:f>NOT(ISERROR(SEARCH("-",O38)))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O38:O42</xm:sqref>
        </x14:conditionalFormatting>
        <x14:conditionalFormatting xmlns:xm="http://schemas.microsoft.com/office/excel/2006/main">
          <x14:cfRule type="containsText" priority="81" operator="containsText" id="{EF5F2664-7D05-49C2-981C-ED3FC1F1CA37}">
            <xm:f>NOT(ISERROR(SEARCH("-",O38)))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m:sqref>O38:O42</xm:sqref>
        </x14:conditionalFormatting>
        <x14:conditionalFormatting xmlns:xm="http://schemas.microsoft.com/office/excel/2006/main">
          <x14:cfRule type="containsText" priority="78" operator="containsText" id="{C24905DF-CC86-4015-B34E-27DFF9F95C55}">
            <xm:f>NOT(ISERROR(SEARCH("-",N38)))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N38:O42</xm:sqref>
        </x14:conditionalFormatting>
        <x14:conditionalFormatting xmlns:xm="http://schemas.microsoft.com/office/excel/2006/main">
          <x14:cfRule type="containsText" priority="77" operator="containsText" id="{B1FF1DC8-24BA-4024-B6A2-A9C7C67C46FC}">
            <xm:f>NOT(ISERROR(SEARCH("-",L38)))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L38:O38 M39 N39:O42</xm:sqref>
        </x14:conditionalFormatting>
        <x14:conditionalFormatting xmlns:xm="http://schemas.microsoft.com/office/excel/2006/main">
          <x14:cfRule type="containsText" priority="74" operator="containsText" id="{BD0F383B-CF07-4A16-A545-64E8167507E8}">
            <xm:f>NOT(ISERROR(SEARCH("-",Q39)))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Q39 Q40:R42</xm:sqref>
        </x14:conditionalFormatting>
        <x14:conditionalFormatting xmlns:xm="http://schemas.microsoft.com/office/excel/2006/main">
          <x14:cfRule type="containsText" priority="69" operator="containsText" id="{FA40722F-0264-4B9C-9990-F7B6F8A781F2}">
            <xm:f>NOT(ISERROR(SEARCH("-",Q38)))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Q38:R38 R39</xm:sqref>
        </x14:conditionalFormatting>
        <x14:conditionalFormatting xmlns:xm="http://schemas.microsoft.com/office/excel/2006/main">
          <x14:cfRule type="containsText" priority="68" operator="containsText" id="{DC620F7F-E7A4-4440-953C-31B1CFFD24C7}">
            <xm:f>NOT(ISERROR(SEARCH("-",S38)))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m:sqref>S38:S42</xm:sqref>
        </x14:conditionalFormatting>
        <x14:conditionalFormatting xmlns:xm="http://schemas.microsoft.com/office/excel/2006/main">
          <x14:cfRule type="containsText" priority="65" operator="containsText" id="{F379BFC1-18D9-43F7-87B1-98C3616E622E}">
            <xm:f>NOT(ISERROR(SEARCH("-",T38)))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T38:T42</xm:sqref>
        </x14:conditionalFormatting>
        <x14:conditionalFormatting xmlns:xm="http://schemas.microsoft.com/office/excel/2006/main">
          <x14:cfRule type="containsText" priority="62" operator="containsText" id="{A89F3F22-81F4-4727-8CF8-CEFBBE04C9FE}">
            <xm:f>NOT(ISERROR(SEARCH("-",T38)))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m:sqref>T38:T42</xm:sqref>
        </x14:conditionalFormatting>
        <x14:conditionalFormatting xmlns:xm="http://schemas.microsoft.com/office/excel/2006/main">
          <x14:cfRule type="containsText" priority="59" operator="containsText" id="{993B99CF-6FB7-4546-86FA-FBD0B9EC52B3}">
            <xm:f>NOT(ISERROR(SEARCH("-",S38)))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S38:T42</xm:sqref>
        </x14:conditionalFormatting>
        <x14:conditionalFormatting xmlns:xm="http://schemas.microsoft.com/office/excel/2006/main">
          <x14:cfRule type="containsText" priority="58" operator="containsText" id="{403E4A43-1DCC-4FF0-B05E-8595E47B99D0}">
            <xm:f>NOT(ISERROR(SEARCH("-",Q38)))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Q38:T38 R39 S39:T42</xm:sqref>
        </x14:conditionalFormatting>
        <x14:conditionalFormatting xmlns:xm="http://schemas.microsoft.com/office/excel/2006/main">
          <x14:cfRule type="containsText" priority="55" operator="containsText" id="{8E4036FB-39EB-447E-9D6D-54E186EBF377}">
            <xm:f>NOT(ISERROR(SEARCH("-",V39)))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V39 V40:W42</xm:sqref>
        </x14:conditionalFormatting>
        <x14:conditionalFormatting xmlns:xm="http://schemas.microsoft.com/office/excel/2006/main">
          <x14:cfRule type="containsText" priority="50" operator="containsText" id="{A07FC050-B9B5-4390-AA6C-4E0C87B22FF7}">
            <xm:f>NOT(ISERROR(SEARCH("-",V38)))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V38:W38 W39</xm:sqref>
        </x14:conditionalFormatting>
        <x14:conditionalFormatting xmlns:xm="http://schemas.microsoft.com/office/excel/2006/main">
          <x14:cfRule type="containsText" priority="49" operator="containsText" id="{EB8A4A5D-50A5-461E-AA65-DB56AAF95C76}">
            <xm:f>NOT(ISERROR(SEARCH("-",X38)))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m:sqref>X38:X42</xm:sqref>
        </x14:conditionalFormatting>
        <x14:conditionalFormatting xmlns:xm="http://schemas.microsoft.com/office/excel/2006/main">
          <x14:cfRule type="containsText" priority="46" operator="containsText" id="{4A9068FA-9225-468D-9170-BC30242D159D}">
            <xm:f>NOT(ISERROR(SEARCH("-",Y38)))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Y38:Y42</xm:sqref>
        </x14:conditionalFormatting>
        <x14:conditionalFormatting xmlns:xm="http://schemas.microsoft.com/office/excel/2006/main">
          <x14:cfRule type="containsText" priority="43" operator="containsText" id="{6B1CD585-36E1-42B9-B408-0C99009BF4A1}">
            <xm:f>NOT(ISERROR(SEARCH("-",Y38)))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m:sqref>Y38:Y42</xm:sqref>
        </x14:conditionalFormatting>
        <x14:conditionalFormatting xmlns:xm="http://schemas.microsoft.com/office/excel/2006/main">
          <x14:cfRule type="containsText" priority="40" operator="containsText" id="{D7E0638A-39CD-4506-ACF0-DC03318D4444}">
            <xm:f>NOT(ISERROR(SEARCH("-",X38)))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X38:Y42</xm:sqref>
        </x14:conditionalFormatting>
        <x14:conditionalFormatting xmlns:xm="http://schemas.microsoft.com/office/excel/2006/main">
          <x14:cfRule type="containsText" priority="39" operator="containsText" id="{0135492C-B0F5-4028-927A-CDCC0BC27D77}">
            <xm:f>NOT(ISERROR(SEARCH("-",V38)))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V38:Y38 W39 X39:Y42</xm:sqref>
        </x14:conditionalFormatting>
        <x14:conditionalFormatting xmlns:xm="http://schemas.microsoft.com/office/excel/2006/main">
          <x14:cfRule type="containsText" priority="36" operator="containsText" id="{5FA8A1A9-2F07-44F3-A888-798667FF1A30}">
            <xm:f>NOT(ISERROR(SEARCH("-",AA39)))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AA39 AA40:AB42</xm:sqref>
        </x14:conditionalFormatting>
        <x14:conditionalFormatting xmlns:xm="http://schemas.microsoft.com/office/excel/2006/main">
          <x14:cfRule type="containsText" priority="31" operator="containsText" id="{C32B706B-6334-4B7F-A8FA-6501EF34CF5E}">
            <xm:f>NOT(ISERROR(SEARCH("-",AA38)))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AA38:AB38 AB39</xm:sqref>
        </x14:conditionalFormatting>
        <x14:conditionalFormatting xmlns:xm="http://schemas.microsoft.com/office/excel/2006/main">
          <x14:cfRule type="containsText" priority="30" operator="containsText" id="{4CCF800C-5F73-44C2-8A70-E22B452B8403}">
            <xm:f>NOT(ISERROR(SEARCH("-",AC38)))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m:sqref>AC38:AC42</xm:sqref>
        </x14:conditionalFormatting>
        <x14:conditionalFormatting xmlns:xm="http://schemas.microsoft.com/office/excel/2006/main">
          <x14:cfRule type="containsText" priority="27" operator="containsText" id="{4294D037-4385-40BD-A463-87E2E4E8B4A8}">
            <xm:f>NOT(ISERROR(SEARCH("-",AD38)))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AD38:AD42</xm:sqref>
        </x14:conditionalFormatting>
        <x14:conditionalFormatting xmlns:xm="http://schemas.microsoft.com/office/excel/2006/main">
          <x14:cfRule type="containsText" priority="24" operator="containsText" id="{A70AAFE0-7BA8-4BC4-BA7A-1C51B9325221}">
            <xm:f>NOT(ISERROR(SEARCH("-",AD38)))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m:sqref>AD38:AD42</xm:sqref>
        </x14:conditionalFormatting>
        <x14:conditionalFormatting xmlns:xm="http://schemas.microsoft.com/office/excel/2006/main">
          <x14:cfRule type="containsText" priority="21" operator="containsText" id="{80206965-4559-40F8-ADEB-758853B27080}">
            <xm:f>NOT(ISERROR(SEARCH("-",AC38)))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AC38:AD42</xm:sqref>
        </x14:conditionalFormatting>
        <x14:conditionalFormatting xmlns:xm="http://schemas.microsoft.com/office/excel/2006/main">
          <x14:cfRule type="containsText" priority="20" operator="containsText" id="{882EE584-48BE-4783-ACBA-B47BDEA64738}">
            <xm:f>NOT(ISERROR(SEARCH("-",AA38)))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AA38:AD38 AB39 AC39:AD42</xm:sqref>
        </x14:conditionalFormatting>
        <x14:conditionalFormatting xmlns:xm="http://schemas.microsoft.com/office/excel/2006/main">
          <x14:cfRule type="containsText" priority="17" operator="containsText" id="{20C5652E-EFAB-4AA5-8AEA-C4F4672150F8}">
            <xm:f>NOT(ISERROR(SEARCH("-",AF39)))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AF39 AF40:AG42</xm:sqref>
        </x14:conditionalFormatting>
        <x14:conditionalFormatting xmlns:xm="http://schemas.microsoft.com/office/excel/2006/main">
          <x14:cfRule type="containsText" priority="12" operator="containsText" id="{D8CE3CEC-269B-4DBD-A67F-53E31A849F5E}">
            <xm:f>NOT(ISERROR(SEARCH("-",AF38)))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AF38:AG38 AG39</xm:sqref>
        </x14:conditionalFormatting>
        <x14:conditionalFormatting xmlns:xm="http://schemas.microsoft.com/office/excel/2006/main">
          <x14:cfRule type="containsText" priority="11" operator="containsText" id="{CFC65AF7-E878-4E62-86D9-BD3B38261105}">
            <xm:f>NOT(ISERROR(SEARCH("-",AH38)))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m:sqref>AH38:AH42</xm:sqref>
        </x14:conditionalFormatting>
        <x14:conditionalFormatting xmlns:xm="http://schemas.microsoft.com/office/excel/2006/main">
          <x14:cfRule type="containsText" priority="8" operator="containsText" id="{546DB0DE-8C7C-45DB-8AC4-A0D2EFF52AD3}">
            <xm:f>NOT(ISERROR(SEARCH("-",AI38)))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AI38:AI42</xm:sqref>
        </x14:conditionalFormatting>
        <x14:conditionalFormatting xmlns:xm="http://schemas.microsoft.com/office/excel/2006/main">
          <x14:cfRule type="containsText" priority="5" operator="containsText" id="{8F91D7B9-3099-4087-AD4E-78B248986842}">
            <xm:f>NOT(ISERROR(SEARCH("-",AI38)))</xm:f>
            <xm:f>"-"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m:sqref>AI38:AI42</xm:sqref>
        </x14:conditionalFormatting>
        <x14:conditionalFormatting xmlns:xm="http://schemas.microsoft.com/office/excel/2006/main">
          <x14:cfRule type="containsText" priority="2" operator="containsText" id="{69B86DF2-4B28-4A0C-824A-6DD086FD1B17}">
            <xm:f>NOT(ISERROR(SEARCH("-",AH38)))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AH38:AI42</xm:sqref>
        </x14:conditionalFormatting>
        <x14:conditionalFormatting xmlns:xm="http://schemas.microsoft.com/office/excel/2006/main">
          <x14:cfRule type="containsText" priority="1" operator="containsText" id="{72F911A0-EC9E-4606-9BD4-3932AEBD3D27}">
            <xm:f>NOT(ISERROR(SEARCH("-",AF38)))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AF38:AI38 AG39 AH39:AI42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ALIMENTAÇÃO</vt:lpstr>
      <vt:lpstr>FORMAÇÃO DOS VALORES</vt:lpstr>
      <vt:lpstr>PARAMENTOS </vt:lpstr>
      <vt:lpstr>ESTIMATIVA ANUAL</vt:lpstr>
      <vt:lpstr>FLUXO CAIXA - MENSAL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oliveira</dc:creator>
  <cp:lastModifiedBy>Diego Lopes</cp:lastModifiedBy>
  <dcterms:created xsi:type="dcterms:W3CDTF">2017-01-27T19:53:42Z</dcterms:created>
  <dcterms:modified xsi:type="dcterms:W3CDTF">2018-11-06T23:24:50Z</dcterms:modified>
</cp:coreProperties>
</file>