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jeffr\Documents\Data Analytics\Gravy\"/>
    </mc:Choice>
  </mc:AlternateContent>
  <xr:revisionPtr revIDLastSave="0" documentId="8_{FC02C577-CD8B-43BF-90EF-C10BD8D306A0}" xr6:coauthVersionLast="45" xr6:coauthVersionMax="45" xr10:uidLastSave="{00000000-0000-0000-0000-000000000000}"/>
  <bookViews>
    <workbookView xWindow="-110" yWindow="-110" windowWidth="19420" windowHeight="10420" activeTab="2" xr2:uid="{00000000-000D-0000-FFFF-FFFF00000000}"/>
  </bookViews>
  <sheets>
    <sheet name="Sheet 1 - gravy_food_info" sheetId="1" r:id="rId1"/>
    <sheet name="Standardized Values" sheetId="2" r:id="rId2"/>
    <sheet name="Standardized % w Formula" sheetId="3" r:id="rId3"/>
    <sheet name="No Formula %" sheetId="4" r:id="rId4"/>
  </sheets>
  <definedNames>
    <definedName name="_xlnm._FilterDatabase" localSheetId="3" hidden="1">'No Formula %'!$A$3:$M$338</definedName>
    <definedName name="_xlnm._FilterDatabase" localSheetId="2" hidden="1">'Standardized % w Formula'!$B$3:$N$3</definedName>
    <definedName name="_xlnm._FilterDatabase" localSheetId="1" hidden="1">'Standardized Values'!$A$3:$Z$330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38" i="4" l="1"/>
  <c r="K338" i="4"/>
  <c r="J338" i="4"/>
  <c r="I338" i="4"/>
  <c r="H338" i="4"/>
  <c r="G338" i="4"/>
  <c r="F338" i="4"/>
  <c r="L337" i="4"/>
  <c r="K337" i="4"/>
  <c r="J337" i="4"/>
  <c r="I337" i="4"/>
  <c r="H337" i="4"/>
  <c r="G337" i="4"/>
  <c r="F337" i="4"/>
  <c r="L336" i="4"/>
  <c r="K336" i="4"/>
  <c r="J336" i="4"/>
  <c r="I336" i="4"/>
  <c r="H336" i="4"/>
  <c r="G336" i="4"/>
  <c r="F336" i="4"/>
  <c r="L335" i="4"/>
  <c r="K335" i="4"/>
  <c r="J335" i="4"/>
  <c r="I335" i="4"/>
  <c r="H335" i="4"/>
  <c r="G335" i="4"/>
  <c r="F335" i="4"/>
  <c r="L334" i="4"/>
  <c r="K334" i="4"/>
  <c r="J334" i="4"/>
  <c r="I334" i="4"/>
  <c r="H334" i="4"/>
  <c r="G334" i="4"/>
  <c r="F334" i="4"/>
  <c r="L333" i="4"/>
  <c r="K333" i="4"/>
  <c r="J333" i="4"/>
  <c r="I333" i="4"/>
  <c r="H333" i="4"/>
  <c r="G333" i="4"/>
  <c r="F333" i="4"/>
  <c r="L332" i="4"/>
  <c r="K332" i="4"/>
  <c r="J332" i="4"/>
  <c r="I332" i="4"/>
  <c r="H332" i="4"/>
  <c r="G332" i="4"/>
  <c r="F332" i="4"/>
  <c r="L331" i="4"/>
  <c r="K331" i="4"/>
  <c r="J331" i="4"/>
  <c r="I331" i="4"/>
  <c r="H331" i="4"/>
  <c r="G331" i="4"/>
  <c r="F331" i="4"/>
  <c r="L330" i="4"/>
  <c r="K330" i="4"/>
  <c r="J330" i="4"/>
  <c r="I330" i="4"/>
  <c r="H330" i="4"/>
  <c r="G330" i="4"/>
  <c r="F330" i="4"/>
  <c r="L328" i="4"/>
  <c r="K328" i="4"/>
  <c r="J328" i="4"/>
  <c r="I328" i="4"/>
  <c r="H328" i="4"/>
  <c r="G328" i="4"/>
  <c r="F328" i="4"/>
  <c r="L327" i="4"/>
  <c r="K327" i="4"/>
  <c r="J327" i="4"/>
  <c r="I327" i="4"/>
  <c r="H327" i="4"/>
  <c r="G327" i="4"/>
  <c r="F327" i="4"/>
  <c r="L326" i="4"/>
  <c r="K326" i="4"/>
  <c r="J326" i="4"/>
  <c r="I326" i="4"/>
  <c r="H326" i="4"/>
  <c r="G326" i="4"/>
  <c r="F326" i="4"/>
  <c r="L325" i="4"/>
  <c r="K325" i="4"/>
  <c r="J325" i="4"/>
  <c r="I325" i="4"/>
  <c r="H325" i="4"/>
  <c r="G325" i="4"/>
  <c r="F325" i="4"/>
  <c r="L324" i="4"/>
  <c r="K324" i="4"/>
  <c r="J324" i="4"/>
  <c r="I324" i="4"/>
  <c r="H324" i="4"/>
  <c r="G324" i="4"/>
  <c r="F324" i="4"/>
  <c r="L323" i="4"/>
  <c r="K323" i="4"/>
  <c r="J323" i="4"/>
  <c r="I323" i="4"/>
  <c r="H323" i="4"/>
  <c r="G323" i="4"/>
  <c r="F323" i="4"/>
  <c r="L322" i="4"/>
  <c r="K322" i="4"/>
  <c r="J322" i="4"/>
  <c r="I322" i="4"/>
  <c r="H322" i="4"/>
  <c r="G322" i="4"/>
  <c r="F322" i="4"/>
  <c r="L321" i="4"/>
  <c r="K321" i="4"/>
  <c r="J321" i="4"/>
  <c r="I321" i="4"/>
  <c r="H321" i="4"/>
  <c r="G321" i="4"/>
  <c r="F321" i="4"/>
  <c r="L320" i="4"/>
  <c r="K320" i="4"/>
  <c r="J320" i="4"/>
  <c r="I320" i="4"/>
  <c r="H320" i="4"/>
  <c r="G320" i="4"/>
  <c r="F320" i="4"/>
  <c r="L319" i="4"/>
  <c r="K319" i="4"/>
  <c r="J319" i="4"/>
  <c r="I319" i="4"/>
  <c r="H319" i="4"/>
  <c r="G319" i="4"/>
  <c r="F319" i="4"/>
  <c r="L318" i="4"/>
  <c r="K318" i="4"/>
  <c r="J318" i="4"/>
  <c r="I318" i="4"/>
  <c r="H318" i="4"/>
  <c r="G318" i="4"/>
  <c r="F318" i="4"/>
  <c r="L317" i="4"/>
  <c r="K317" i="4"/>
  <c r="J317" i="4"/>
  <c r="I317" i="4"/>
  <c r="H317" i="4"/>
  <c r="G317" i="4"/>
  <c r="F317" i="4"/>
  <c r="L316" i="4"/>
  <c r="K316" i="4"/>
  <c r="J316" i="4"/>
  <c r="I316" i="4"/>
  <c r="H316" i="4"/>
  <c r="G316" i="4"/>
  <c r="F316" i="4"/>
  <c r="L315" i="4"/>
  <c r="K315" i="4"/>
  <c r="J315" i="4"/>
  <c r="I315" i="4"/>
  <c r="H315" i="4"/>
  <c r="G315" i="4"/>
  <c r="F315" i="4"/>
  <c r="L314" i="4"/>
  <c r="K314" i="4"/>
  <c r="J314" i="4"/>
  <c r="I314" i="4"/>
  <c r="H314" i="4"/>
  <c r="G314" i="4"/>
  <c r="F314" i="4"/>
  <c r="L313" i="4"/>
  <c r="K313" i="4"/>
  <c r="J313" i="4"/>
  <c r="I313" i="4"/>
  <c r="H313" i="4"/>
  <c r="G313" i="4"/>
  <c r="F313" i="4"/>
  <c r="L312" i="4"/>
  <c r="K312" i="4"/>
  <c r="J312" i="4"/>
  <c r="I312" i="4"/>
  <c r="H312" i="4"/>
  <c r="G312" i="4"/>
  <c r="F312" i="4"/>
  <c r="I310" i="4"/>
  <c r="H310" i="4"/>
  <c r="G310" i="4"/>
  <c r="F310" i="4"/>
  <c r="L309" i="4"/>
  <c r="K309" i="4"/>
  <c r="J309" i="4"/>
  <c r="I309" i="4"/>
  <c r="H309" i="4"/>
  <c r="G309" i="4"/>
  <c r="F309" i="4"/>
  <c r="L308" i="4"/>
  <c r="K308" i="4"/>
  <c r="J308" i="4"/>
  <c r="I308" i="4"/>
  <c r="H308" i="4"/>
  <c r="G308" i="4"/>
  <c r="F308" i="4"/>
  <c r="L306" i="4"/>
  <c r="K306" i="4"/>
  <c r="J306" i="4"/>
  <c r="I306" i="4"/>
  <c r="H306" i="4"/>
  <c r="G306" i="4"/>
  <c r="F306" i="4"/>
  <c r="L305" i="4"/>
  <c r="K305" i="4"/>
  <c r="J305" i="4"/>
  <c r="I305" i="4"/>
  <c r="H305" i="4"/>
  <c r="G305" i="4"/>
  <c r="F305" i="4"/>
  <c r="L304" i="4"/>
  <c r="K304" i="4"/>
  <c r="J304" i="4"/>
  <c r="I304" i="4"/>
  <c r="H304" i="4"/>
  <c r="G304" i="4"/>
  <c r="F304" i="4"/>
  <c r="L303" i="4"/>
  <c r="K303" i="4"/>
  <c r="J303" i="4"/>
  <c r="I303" i="4"/>
  <c r="H303" i="4"/>
  <c r="G303" i="4"/>
  <c r="F303" i="4"/>
  <c r="L302" i="4"/>
  <c r="K302" i="4"/>
  <c r="J302" i="4"/>
  <c r="I302" i="4"/>
  <c r="H302" i="4"/>
  <c r="G302" i="4"/>
  <c r="F302" i="4"/>
  <c r="L301" i="4"/>
  <c r="K301" i="4"/>
  <c r="J301" i="4"/>
  <c r="I301" i="4"/>
  <c r="H301" i="4"/>
  <c r="G301" i="4"/>
  <c r="F301" i="4"/>
  <c r="K300" i="4"/>
  <c r="J300" i="4"/>
  <c r="I300" i="4"/>
  <c r="H300" i="4"/>
  <c r="G300" i="4"/>
  <c r="F300" i="4"/>
  <c r="L299" i="4"/>
  <c r="K299" i="4"/>
  <c r="J299" i="4"/>
  <c r="I299" i="4"/>
  <c r="H299" i="4"/>
  <c r="G299" i="4"/>
  <c r="F299" i="4"/>
  <c r="L298" i="4"/>
  <c r="K298" i="4"/>
  <c r="J298" i="4"/>
  <c r="I298" i="4"/>
  <c r="H298" i="4"/>
  <c r="G298" i="4"/>
  <c r="F298" i="4"/>
  <c r="L297" i="4"/>
  <c r="K297" i="4"/>
  <c r="J297" i="4"/>
  <c r="I297" i="4"/>
  <c r="H297" i="4"/>
  <c r="G297" i="4"/>
  <c r="F297" i="4"/>
  <c r="L296" i="4"/>
  <c r="K296" i="4"/>
  <c r="J296" i="4"/>
  <c r="I296" i="4"/>
  <c r="H296" i="4"/>
  <c r="G296" i="4"/>
  <c r="F296" i="4"/>
  <c r="L295" i="4"/>
  <c r="K295" i="4"/>
  <c r="J295" i="4"/>
  <c r="I295" i="4"/>
  <c r="H295" i="4"/>
  <c r="G295" i="4"/>
  <c r="F295" i="4"/>
  <c r="L294" i="4"/>
  <c r="K294" i="4"/>
  <c r="J294" i="4"/>
  <c r="I294" i="4"/>
  <c r="H294" i="4"/>
  <c r="G294" i="4"/>
  <c r="F294" i="4"/>
  <c r="L293" i="4"/>
  <c r="K293" i="4"/>
  <c r="J293" i="4"/>
  <c r="I293" i="4"/>
  <c r="H293" i="4"/>
  <c r="G293" i="4"/>
  <c r="F293" i="4"/>
  <c r="L292" i="4"/>
  <c r="K292" i="4"/>
  <c r="J292" i="4"/>
  <c r="I292" i="4"/>
  <c r="H292" i="4"/>
  <c r="G292" i="4"/>
  <c r="F292" i="4"/>
  <c r="L291" i="4"/>
  <c r="K291" i="4"/>
  <c r="J291" i="4"/>
  <c r="I291" i="4"/>
  <c r="H291" i="4"/>
  <c r="G291" i="4"/>
  <c r="F291" i="4"/>
  <c r="L290" i="4"/>
  <c r="K290" i="4"/>
  <c r="J290" i="4"/>
  <c r="I290" i="4"/>
  <c r="H290" i="4"/>
  <c r="G290" i="4"/>
  <c r="F290" i="4"/>
  <c r="L289" i="4"/>
  <c r="K289" i="4"/>
  <c r="J289" i="4"/>
  <c r="I289" i="4"/>
  <c r="H289" i="4"/>
  <c r="G289" i="4"/>
  <c r="F289" i="4"/>
  <c r="L288" i="4"/>
  <c r="K288" i="4"/>
  <c r="J288" i="4"/>
  <c r="I288" i="4"/>
  <c r="H288" i="4"/>
  <c r="G288" i="4"/>
  <c r="F288" i="4"/>
  <c r="L287" i="4"/>
  <c r="K287" i="4"/>
  <c r="J287" i="4"/>
  <c r="I287" i="4"/>
  <c r="H287" i="4"/>
  <c r="G287" i="4"/>
  <c r="F287" i="4"/>
  <c r="L286" i="4"/>
  <c r="K286" i="4"/>
  <c r="J286" i="4"/>
  <c r="I286" i="4"/>
  <c r="H286" i="4"/>
  <c r="G286" i="4"/>
  <c r="F286" i="4"/>
  <c r="L285" i="4"/>
  <c r="K285" i="4"/>
  <c r="J285" i="4"/>
  <c r="I285" i="4"/>
  <c r="H285" i="4"/>
  <c r="G285" i="4"/>
  <c r="F285" i="4"/>
  <c r="L284" i="4"/>
  <c r="K284" i="4"/>
  <c r="J284" i="4"/>
  <c r="I284" i="4"/>
  <c r="H284" i="4"/>
  <c r="G284" i="4"/>
  <c r="F284" i="4"/>
  <c r="L283" i="4"/>
  <c r="K283" i="4"/>
  <c r="J283" i="4"/>
  <c r="I283" i="4"/>
  <c r="H283" i="4"/>
  <c r="G283" i="4"/>
  <c r="F283" i="4"/>
  <c r="L282" i="4"/>
  <c r="K282" i="4"/>
  <c r="J282" i="4"/>
  <c r="I282" i="4"/>
  <c r="H282" i="4"/>
  <c r="G282" i="4"/>
  <c r="F282" i="4"/>
  <c r="L281" i="4"/>
  <c r="K281" i="4"/>
  <c r="J281" i="4"/>
  <c r="I281" i="4"/>
  <c r="H281" i="4"/>
  <c r="G281" i="4"/>
  <c r="F281" i="4"/>
  <c r="L280" i="4"/>
  <c r="K280" i="4"/>
  <c r="J280" i="4"/>
  <c r="I280" i="4"/>
  <c r="H280" i="4"/>
  <c r="G280" i="4"/>
  <c r="F280" i="4"/>
  <c r="L279" i="4"/>
  <c r="K279" i="4"/>
  <c r="J279" i="4"/>
  <c r="I279" i="4"/>
  <c r="H279" i="4"/>
  <c r="G279" i="4"/>
  <c r="F279" i="4"/>
  <c r="L278" i="4"/>
  <c r="K278" i="4"/>
  <c r="J278" i="4"/>
  <c r="I278" i="4"/>
  <c r="H278" i="4"/>
  <c r="G278" i="4"/>
  <c r="F278" i="4"/>
  <c r="L277" i="4"/>
  <c r="K277" i="4"/>
  <c r="J277" i="4"/>
  <c r="I277" i="4"/>
  <c r="H277" i="4"/>
  <c r="G277" i="4"/>
  <c r="F277" i="4"/>
  <c r="L276" i="4"/>
  <c r="K276" i="4"/>
  <c r="J276" i="4"/>
  <c r="I276" i="4"/>
  <c r="H276" i="4"/>
  <c r="G276" i="4"/>
  <c r="F276" i="4"/>
  <c r="L275" i="4"/>
  <c r="K275" i="4"/>
  <c r="J275" i="4"/>
  <c r="I275" i="4"/>
  <c r="H275" i="4"/>
  <c r="G275" i="4"/>
  <c r="F275" i="4"/>
  <c r="L274" i="4"/>
  <c r="K274" i="4"/>
  <c r="J274" i="4"/>
  <c r="I274" i="4"/>
  <c r="H274" i="4"/>
  <c r="G274" i="4"/>
  <c r="F274" i="4"/>
  <c r="L273" i="4"/>
  <c r="K273" i="4"/>
  <c r="J273" i="4"/>
  <c r="I273" i="4"/>
  <c r="H273" i="4"/>
  <c r="G273" i="4"/>
  <c r="F273" i="4"/>
  <c r="L272" i="4"/>
  <c r="K272" i="4"/>
  <c r="J272" i="4"/>
  <c r="I272" i="4"/>
  <c r="H272" i="4"/>
  <c r="G272" i="4"/>
  <c r="L271" i="4"/>
  <c r="K271" i="4"/>
  <c r="J271" i="4"/>
  <c r="I271" i="4"/>
  <c r="H271" i="4"/>
  <c r="G271" i="4"/>
  <c r="F271" i="4"/>
  <c r="L270" i="4"/>
  <c r="K270" i="4"/>
  <c r="J270" i="4"/>
  <c r="I270" i="4"/>
  <c r="H270" i="4"/>
  <c r="G270" i="4"/>
  <c r="F270" i="4"/>
  <c r="L269" i="4"/>
  <c r="K269" i="4"/>
  <c r="J269" i="4"/>
  <c r="I269" i="4"/>
  <c r="H269" i="4"/>
  <c r="G269" i="4"/>
  <c r="F269" i="4"/>
  <c r="L268" i="4"/>
  <c r="K268" i="4"/>
  <c r="J268" i="4"/>
  <c r="I268" i="4"/>
  <c r="H268" i="4"/>
  <c r="G268" i="4"/>
  <c r="F268" i="4"/>
  <c r="L267" i="4"/>
  <c r="K267" i="4"/>
  <c r="J267" i="4"/>
  <c r="I267" i="4"/>
  <c r="H267" i="4"/>
  <c r="G267" i="4"/>
  <c r="F267" i="4"/>
  <c r="L266" i="4"/>
  <c r="K266" i="4"/>
  <c r="J266" i="4"/>
  <c r="I266" i="4"/>
  <c r="H266" i="4"/>
  <c r="G266" i="4"/>
  <c r="F266" i="4"/>
  <c r="L265" i="4"/>
  <c r="K265" i="4"/>
  <c r="J265" i="4"/>
  <c r="I265" i="4"/>
  <c r="H265" i="4"/>
  <c r="G265" i="4"/>
  <c r="F265" i="4"/>
  <c r="L264" i="4"/>
  <c r="K264" i="4"/>
  <c r="J264" i="4"/>
  <c r="I264" i="4"/>
  <c r="H264" i="4"/>
  <c r="G264" i="4"/>
  <c r="F264" i="4"/>
  <c r="L263" i="4"/>
  <c r="K263" i="4"/>
  <c r="J263" i="4"/>
  <c r="I263" i="4"/>
  <c r="H263" i="4"/>
  <c r="G263" i="4"/>
  <c r="F263" i="4"/>
  <c r="L262" i="4"/>
  <c r="K262" i="4"/>
  <c r="J262" i="4"/>
  <c r="I262" i="4"/>
  <c r="H262" i="4"/>
  <c r="G262" i="4"/>
  <c r="F262" i="4"/>
  <c r="L261" i="4"/>
  <c r="K261" i="4"/>
  <c r="J261" i="4"/>
  <c r="I261" i="4"/>
  <c r="H261" i="4"/>
  <c r="G261" i="4"/>
  <c r="F261" i="4"/>
  <c r="L260" i="4"/>
  <c r="K260" i="4"/>
  <c r="J260" i="4"/>
  <c r="I260" i="4"/>
  <c r="H260" i="4"/>
  <c r="G260" i="4"/>
  <c r="F260" i="4"/>
  <c r="L259" i="4"/>
  <c r="K259" i="4"/>
  <c r="J259" i="4"/>
  <c r="I259" i="4"/>
  <c r="H259" i="4"/>
  <c r="G259" i="4"/>
  <c r="F259" i="4"/>
  <c r="L258" i="4"/>
  <c r="K258" i="4"/>
  <c r="J258" i="4"/>
  <c r="I258" i="4"/>
  <c r="H258" i="4"/>
  <c r="G258" i="4"/>
  <c r="F258" i="4"/>
  <c r="L257" i="4"/>
  <c r="K257" i="4"/>
  <c r="J257" i="4"/>
  <c r="I257" i="4"/>
  <c r="H257" i="4"/>
  <c r="G257" i="4"/>
  <c r="F257" i="4"/>
  <c r="L256" i="4"/>
  <c r="K256" i="4"/>
  <c r="J256" i="4"/>
  <c r="I256" i="4"/>
  <c r="H256" i="4"/>
  <c r="G256" i="4"/>
  <c r="F256" i="4"/>
  <c r="L255" i="4"/>
  <c r="K255" i="4"/>
  <c r="J255" i="4"/>
  <c r="I255" i="4"/>
  <c r="H255" i="4"/>
  <c r="G255" i="4"/>
  <c r="F255" i="4"/>
  <c r="L254" i="4"/>
  <c r="K254" i="4"/>
  <c r="J254" i="4"/>
  <c r="I254" i="4"/>
  <c r="H254" i="4"/>
  <c r="G254" i="4"/>
  <c r="F254" i="4"/>
  <c r="L253" i="4"/>
  <c r="K253" i="4"/>
  <c r="J253" i="4"/>
  <c r="I253" i="4"/>
  <c r="H253" i="4"/>
  <c r="G253" i="4"/>
  <c r="F253" i="4"/>
  <c r="L252" i="4"/>
  <c r="K252" i="4"/>
  <c r="J252" i="4"/>
  <c r="I252" i="4"/>
  <c r="H252" i="4"/>
  <c r="G252" i="4"/>
  <c r="F252" i="4"/>
  <c r="K251" i="4"/>
  <c r="J251" i="4"/>
  <c r="I251" i="4"/>
  <c r="H251" i="4"/>
  <c r="G251" i="4"/>
  <c r="F251" i="4"/>
  <c r="L250" i="4"/>
  <c r="K250" i="4"/>
  <c r="J250" i="4"/>
  <c r="I250" i="4"/>
  <c r="H250" i="4"/>
  <c r="G250" i="4"/>
  <c r="F250" i="4"/>
  <c r="L249" i="4"/>
  <c r="K249" i="4"/>
  <c r="J249" i="4"/>
  <c r="I249" i="4"/>
  <c r="H249" i="4"/>
  <c r="G249" i="4"/>
  <c r="F249" i="4"/>
  <c r="L248" i="4"/>
  <c r="K248" i="4"/>
  <c r="J248" i="4"/>
  <c r="I248" i="4"/>
  <c r="H248" i="4"/>
  <c r="G248" i="4"/>
  <c r="F248" i="4"/>
  <c r="L247" i="4"/>
  <c r="K247" i="4"/>
  <c r="J247" i="4"/>
  <c r="I247" i="4"/>
  <c r="H247" i="4"/>
  <c r="G247" i="4"/>
  <c r="F247" i="4"/>
  <c r="K246" i="4"/>
  <c r="J246" i="4"/>
  <c r="I246" i="4"/>
  <c r="H246" i="4"/>
  <c r="G246" i="4"/>
  <c r="F246" i="4"/>
  <c r="K245" i="4"/>
  <c r="J245" i="4"/>
  <c r="I245" i="4"/>
  <c r="H245" i="4"/>
  <c r="G245" i="4"/>
  <c r="F245" i="4"/>
  <c r="L244" i="4"/>
  <c r="K244" i="4"/>
  <c r="J244" i="4"/>
  <c r="I244" i="4"/>
  <c r="H244" i="4"/>
  <c r="G244" i="4"/>
  <c r="F244" i="4"/>
  <c r="L243" i="4"/>
  <c r="K243" i="4"/>
  <c r="J243" i="4"/>
  <c r="I243" i="4"/>
  <c r="H243" i="4"/>
  <c r="G243" i="4"/>
  <c r="F243" i="4"/>
  <c r="L242" i="4"/>
  <c r="K242" i="4"/>
  <c r="J242" i="4"/>
  <c r="I242" i="4"/>
  <c r="H242" i="4"/>
  <c r="G242" i="4"/>
  <c r="F242" i="4"/>
  <c r="L241" i="4"/>
  <c r="K241" i="4"/>
  <c r="J241" i="4"/>
  <c r="I241" i="4"/>
  <c r="H241" i="4"/>
  <c r="G241" i="4"/>
  <c r="F241" i="4"/>
  <c r="L240" i="4"/>
  <c r="K240" i="4"/>
  <c r="J240" i="4"/>
  <c r="I240" i="4"/>
  <c r="H240" i="4"/>
  <c r="G240" i="4"/>
  <c r="F240" i="4"/>
  <c r="L239" i="4"/>
  <c r="K239" i="4"/>
  <c r="J239" i="4"/>
  <c r="I239" i="4"/>
  <c r="H239" i="4"/>
  <c r="G239" i="4"/>
  <c r="F239" i="4"/>
  <c r="L238" i="4"/>
  <c r="K238" i="4"/>
  <c r="J238" i="4"/>
  <c r="I238" i="4"/>
  <c r="H238" i="4"/>
  <c r="G238" i="4"/>
  <c r="F238" i="4"/>
  <c r="L237" i="4"/>
  <c r="K237" i="4"/>
  <c r="J237" i="4"/>
  <c r="I237" i="4"/>
  <c r="H237" i="4"/>
  <c r="G237" i="4"/>
  <c r="F237" i="4"/>
  <c r="L236" i="4"/>
  <c r="K236" i="4"/>
  <c r="J236" i="4"/>
  <c r="I236" i="4"/>
  <c r="H236" i="4"/>
  <c r="G236" i="4"/>
  <c r="F236" i="4"/>
  <c r="L235" i="4"/>
  <c r="K235" i="4"/>
  <c r="J235" i="4"/>
  <c r="I235" i="4"/>
  <c r="H235" i="4"/>
  <c r="G235" i="4"/>
  <c r="F235" i="4"/>
  <c r="L234" i="4"/>
  <c r="K234" i="4"/>
  <c r="J234" i="4"/>
  <c r="I234" i="4"/>
  <c r="H234" i="4"/>
  <c r="G234" i="4"/>
  <c r="F234" i="4"/>
  <c r="L233" i="4"/>
  <c r="K233" i="4"/>
  <c r="J233" i="4"/>
  <c r="I233" i="4"/>
  <c r="H233" i="4"/>
  <c r="G233" i="4"/>
  <c r="F233" i="4"/>
  <c r="L232" i="4"/>
  <c r="K232" i="4"/>
  <c r="J232" i="4"/>
  <c r="I232" i="4"/>
  <c r="H232" i="4"/>
  <c r="G232" i="4"/>
  <c r="F232" i="4"/>
  <c r="L231" i="4"/>
  <c r="K231" i="4"/>
  <c r="J231" i="4"/>
  <c r="I231" i="4"/>
  <c r="H231" i="4"/>
  <c r="G231" i="4"/>
  <c r="F231" i="4"/>
  <c r="L230" i="4"/>
  <c r="K230" i="4"/>
  <c r="J230" i="4"/>
  <c r="I230" i="4"/>
  <c r="H230" i="4"/>
  <c r="G230" i="4"/>
  <c r="F230" i="4"/>
  <c r="L229" i="4"/>
  <c r="K229" i="4"/>
  <c r="J229" i="4"/>
  <c r="I229" i="4"/>
  <c r="H229" i="4"/>
  <c r="G229" i="4"/>
  <c r="F229" i="4"/>
  <c r="L228" i="4"/>
  <c r="K228" i="4"/>
  <c r="J228" i="4"/>
  <c r="I228" i="4"/>
  <c r="H228" i="4"/>
  <c r="G228" i="4"/>
  <c r="F228" i="4"/>
  <c r="L227" i="4"/>
  <c r="K227" i="4"/>
  <c r="J227" i="4"/>
  <c r="I227" i="4"/>
  <c r="H227" i="4"/>
  <c r="G227" i="4"/>
  <c r="F227" i="4"/>
  <c r="L226" i="4"/>
  <c r="K226" i="4"/>
  <c r="J226" i="4"/>
  <c r="I226" i="4"/>
  <c r="H226" i="4"/>
  <c r="G226" i="4"/>
  <c r="F226" i="4"/>
  <c r="L225" i="4"/>
  <c r="K225" i="4"/>
  <c r="J225" i="4"/>
  <c r="I225" i="4"/>
  <c r="H225" i="4"/>
  <c r="G225" i="4"/>
  <c r="F225" i="4"/>
  <c r="L224" i="4"/>
  <c r="K224" i="4"/>
  <c r="J224" i="4"/>
  <c r="I224" i="4"/>
  <c r="H224" i="4"/>
  <c r="G224" i="4"/>
  <c r="F224" i="4"/>
  <c r="L223" i="4"/>
  <c r="K223" i="4"/>
  <c r="J223" i="4"/>
  <c r="I223" i="4"/>
  <c r="H223" i="4"/>
  <c r="G223" i="4"/>
  <c r="F223" i="4"/>
  <c r="L222" i="4"/>
  <c r="K222" i="4"/>
  <c r="J222" i="4"/>
  <c r="I222" i="4"/>
  <c r="H222" i="4"/>
  <c r="G222" i="4"/>
  <c r="F222" i="4"/>
  <c r="L221" i="4"/>
  <c r="K221" i="4"/>
  <c r="J221" i="4"/>
  <c r="I221" i="4"/>
  <c r="H221" i="4"/>
  <c r="G221" i="4"/>
  <c r="F221" i="4"/>
  <c r="L220" i="4"/>
  <c r="K220" i="4"/>
  <c r="J220" i="4"/>
  <c r="I220" i="4"/>
  <c r="H220" i="4"/>
  <c r="G220" i="4"/>
  <c r="F220" i="4"/>
  <c r="L219" i="4"/>
  <c r="K219" i="4"/>
  <c r="J219" i="4"/>
  <c r="I219" i="4"/>
  <c r="H219" i="4"/>
  <c r="G219" i="4"/>
  <c r="F219" i="4"/>
  <c r="E219" i="4"/>
  <c r="L218" i="4"/>
  <c r="K218" i="4"/>
  <c r="J218" i="4"/>
  <c r="I218" i="4"/>
  <c r="H218" i="4"/>
  <c r="G218" i="4"/>
  <c r="F218" i="4"/>
  <c r="L217" i="4"/>
  <c r="K217" i="4"/>
  <c r="J217" i="4"/>
  <c r="I217" i="4"/>
  <c r="H217" i="4"/>
  <c r="G217" i="4"/>
  <c r="F217" i="4"/>
  <c r="L216" i="4"/>
  <c r="K216" i="4"/>
  <c r="J216" i="4"/>
  <c r="I216" i="4"/>
  <c r="H216" i="4"/>
  <c r="G216" i="4"/>
  <c r="F216" i="4"/>
  <c r="L215" i="4"/>
  <c r="K215" i="4"/>
  <c r="J215" i="4"/>
  <c r="I215" i="4"/>
  <c r="H215" i="4"/>
  <c r="G215" i="4"/>
  <c r="F215" i="4"/>
  <c r="L214" i="4"/>
  <c r="K214" i="4"/>
  <c r="J214" i="4"/>
  <c r="H214" i="4"/>
  <c r="G214" i="4"/>
  <c r="F214" i="4"/>
  <c r="L213" i="4"/>
  <c r="K213" i="4"/>
  <c r="J213" i="4"/>
  <c r="I213" i="4"/>
  <c r="H213" i="4"/>
  <c r="G213" i="4"/>
  <c r="F213" i="4"/>
  <c r="L212" i="4"/>
  <c r="K212" i="4"/>
  <c r="J212" i="4"/>
  <c r="I212" i="4"/>
  <c r="H212" i="4"/>
  <c r="G212" i="4"/>
  <c r="F212" i="4"/>
  <c r="L211" i="4"/>
  <c r="K211" i="4"/>
  <c r="J211" i="4"/>
  <c r="I211" i="4"/>
  <c r="H211" i="4"/>
  <c r="G211" i="4"/>
  <c r="F211" i="4"/>
  <c r="L210" i="4"/>
  <c r="K210" i="4"/>
  <c r="J210" i="4"/>
  <c r="I210" i="4"/>
  <c r="H210" i="4"/>
  <c r="G210" i="4"/>
  <c r="F210" i="4"/>
  <c r="L209" i="4"/>
  <c r="K209" i="4"/>
  <c r="J209" i="4"/>
  <c r="I209" i="4"/>
  <c r="H209" i="4"/>
  <c r="G209" i="4"/>
  <c r="F209" i="4"/>
  <c r="L208" i="4"/>
  <c r="K208" i="4"/>
  <c r="J208" i="4"/>
  <c r="I208" i="4"/>
  <c r="H208" i="4"/>
  <c r="G208" i="4"/>
  <c r="F208" i="4"/>
  <c r="L207" i="4"/>
  <c r="K207" i="4"/>
  <c r="J207" i="4"/>
  <c r="I207" i="4"/>
  <c r="H207" i="4"/>
  <c r="G207" i="4"/>
  <c r="F207" i="4"/>
  <c r="L206" i="4"/>
  <c r="K206" i="4"/>
  <c r="J206" i="4"/>
  <c r="I206" i="4"/>
  <c r="H206" i="4"/>
  <c r="G206" i="4"/>
  <c r="F206" i="4"/>
  <c r="L205" i="4"/>
  <c r="K205" i="4"/>
  <c r="J205" i="4"/>
  <c r="I205" i="4"/>
  <c r="H205" i="4"/>
  <c r="G205" i="4"/>
  <c r="F205" i="4"/>
  <c r="L204" i="4"/>
  <c r="K204" i="4"/>
  <c r="J204" i="4"/>
  <c r="I204" i="4"/>
  <c r="H204" i="4"/>
  <c r="G204" i="4"/>
  <c r="F204" i="4"/>
  <c r="L203" i="4"/>
  <c r="K203" i="4"/>
  <c r="J203" i="4"/>
  <c r="I203" i="4"/>
  <c r="H203" i="4"/>
  <c r="G203" i="4"/>
  <c r="F203" i="4"/>
  <c r="L202" i="4"/>
  <c r="K202" i="4"/>
  <c r="J202" i="4"/>
  <c r="I202" i="4"/>
  <c r="H202" i="4"/>
  <c r="G202" i="4"/>
  <c r="F202" i="4"/>
  <c r="L201" i="4"/>
  <c r="K201" i="4"/>
  <c r="J201" i="4"/>
  <c r="I201" i="4"/>
  <c r="H201" i="4"/>
  <c r="G201" i="4"/>
  <c r="F201" i="4"/>
  <c r="L200" i="4"/>
  <c r="K200" i="4"/>
  <c r="J200" i="4"/>
  <c r="I200" i="4"/>
  <c r="H200" i="4"/>
  <c r="G200" i="4"/>
  <c r="F200" i="4"/>
  <c r="L199" i="4"/>
  <c r="K199" i="4"/>
  <c r="J199" i="4"/>
  <c r="I199" i="4"/>
  <c r="H199" i="4"/>
  <c r="G199" i="4"/>
  <c r="F199" i="4"/>
  <c r="L198" i="4"/>
  <c r="K198" i="4"/>
  <c r="J198" i="4"/>
  <c r="I198" i="4"/>
  <c r="H198" i="4"/>
  <c r="G198" i="4"/>
  <c r="F198" i="4"/>
  <c r="L197" i="4"/>
  <c r="K197" i="4"/>
  <c r="J197" i="4"/>
  <c r="I197" i="4"/>
  <c r="H197" i="4"/>
  <c r="G197" i="4"/>
  <c r="F197" i="4"/>
  <c r="L196" i="4"/>
  <c r="K196" i="4"/>
  <c r="J196" i="4"/>
  <c r="I196" i="4"/>
  <c r="H196" i="4"/>
  <c r="G196" i="4"/>
  <c r="F196" i="4"/>
  <c r="L195" i="4"/>
  <c r="K195" i="4"/>
  <c r="J195" i="4"/>
  <c r="I195" i="4"/>
  <c r="H195" i="4"/>
  <c r="G195" i="4"/>
  <c r="F195" i="4"/>
  <c r="L194" i="4"/>
  <c r="K194" i="4"/>
  <c r="J194" i="4"/>
  <c r="I194" i="4"/>
  <c r="H194" i="4"/>
  <c r="G194" i="4"/>
  <c r="F194" i="4"/>
  <c r="L193" i="4"/>
  <c r="K193" i="4"/>
  <c r="J193" i="4"/>
  <c r="I193" i="4"/>
  <c r="H193" i="4"/>
  <c r="G193" i="4"/>
  <c r="F193" i="4"/>
  <c r="L192" i="4"/>
  <c r="K192" i="4"/>
  <c r="J192" i="4"/>
  <c r="I192" i="4"/>
  <c r="H192" i="4"/>
  <c r="G192" i="4"/>
  <c r="F192" i="4"/>
  <c r="L191" i="4"/>
  <c r="K191" i="4"/>
  <c r="J191" i="4"/>
  <c r="I191" i="4"/>
  <c r="H191" i="4"/>
  <c r="G191" i="4"/>
  <c r="F191" i="4"/>
  <c r="L190" i="4"/>
  <c r="K190" i="4"/>
  <c r="J190" i="4"/>
  <c r="I190" i="4"/>
  <c r="H190" i="4"/>
  <c r="G190" i="4"/>
  <c r="F190" i="4"/>
  <c r="L189" i="4"/>
  <c r="K189" i="4"/>
  <c r="J189" i="4"/>
  <c r="I189" i="4"/>
  <c r="H189" i="4"/>
  <c r="G189" i="4"/>
  <c r="F189" i="4"/>
  <c r="L188" i="4"/>
  <c r="K188" i="4"/>
  <c r="J188" i="4"/>
  <c r="I188" i="4"/>
  <c r="H188" i="4"/>
  <c r="G188" i="4"/>
  <c r="F188" i="4"/>
  <c r="L187" i="4"/>
  <c r="K187" i="4"/>
  <c r="J187" i="4"/>
  <c r="I187" i="4"/>
  <c r="H187" i="4"/>
  <c r="G187" i="4"/>
  <c r="F187" i="4"/>
  <c r="L186" i="4"/>
  <c r="K186" i="4"/>
  <c r="J186" i="4"/>
  <c r="I186" i="4"/>
  <c r="H186" i="4"/>
  <c r="G186" i="4"/>
  <c r="F186" i="4"/>
  <c r="L185" i="4"/>
  <c r="K185" i="4"/>
  <c r="J185" i="4"/>
  <c r="I185" i="4"/>
  <c r="H185" i="4"/>
  <c r="G185" i="4"/>
  <c r="F185" i="4"/>
  <c r="L184" i="4"/>
  <c r="K184" i="4"/>
  <c r="J184" i="4"/>
  <c r="I184" i="4"/>
  <c r="H184" i="4"/>
  <c r="G184" i="4"/>
  <c r="F184" i="4"/>
  <c r="L183" i="4"/>
  <c r="K183" i="4"/>
  <c r="J183" i="4"/>
  <c r="I183" i="4"/>
  <c r="H183" i="4"/>
  <c r="G183" i="4"/>
  <c r="F183" i="4"/>
  <c r="L182" i="4"/>
  <c r="K182" i="4"/>
  <c r="J182" i="4"/>
  <c r="I182" i="4"/>
  <c r="H182" i="4"/>
  <c r="G182" i="4"/>
  <c r="F182" i="4"/>
  <c r="L181" i="4"/>
  <c r="K181" i="4"/>
  <c r="J181" i="4"/>
  <c r="I181" i="4"/>
  <c r="H181" i="4"/>
  <c r="G181" i="4"/>
  <c r="F181" i="4"/>
  <c r="L180" i="4"/>
  <c r="K180" i="4"/>
  <c r="J180" i="4"/>
  <c r="I180" i="4"/>
  <c r="H180" i="4"/>
  <c r="G180" i="4"/>
  <c r="F180" i="4"/>
  <c r="L179" i="4"/>
  <c r="K179" i="4"/>
  <c r="J179" i="4"/>
  <c r="I179" i="4"/>
  <c r="H179" i="4"/>
  <c r="G179" i="4"/>
  <c r="F179" i="4"/>
  <c r="L178" i="4"/>
  <c r="K178" i="4"/>
  <c r="J178" i="4"/>
  <c r="I178" i="4"/>
  <c r="H178" i="4"/>
  <c r="G178" i="4"/>
  <c r="F178" i="4"/>
  <c r="L177" i="4"/>
  <c r="K177" i="4"/>
  <c r="J177" i="4"/>
  <c r="I177" i="4"/>
  <c r="H177" i="4"/>
  <c r="G177" i="4"/>
  <c r="F177" i="4"/>
  <c r="L176" i="4"/>
  <c r="K176" i="4"/>
  <c r="J176" i="4"/>
  <c r="I176" i="4"/>
  <c r="H176" i="4"/>
  <c r="G176" i="4"/>
  <c r="F176" i="4"/>
  <c r="L175" i="4"/>
  <c r="K175" i="4"/>
  <c r="J175" i="4"/>
  <c r="I175" i="4"/>
  <c r="H175" i="4"/>
  <c r="G175" i="4"/>
  <c r="F175" i="4"/>
  <c r="L174" i="4"/>
  <c r="K174" i="4"/>
  <c r="J174" i="4"/>
  <c r="I174" i="4"/>
  <c r="H174" i="4"/>
  <c r="G174" i="4"/>
  <c r="F174" i="4"/>
  <c r="L173" i="4"/>
  <c r="K173" i="4"/>
  <c r="J173" i="4"/>
  <c r="I173" i="4"/>
  <c r="H173" i="4"/>
  <c r="G173" i="4"/>
  <c r="F173" i="4"/>
  <c r="L172" i="4"/>
  <c r="K172" i="4"/>
  <c r="J172" i="4"/>
  <c r="I172" i="4"/>
  <c r="H172" i="4"/>
  <c r="G172" i="4"/>
  <c r="F172" i="4"/>
  <c r="L171" i="4"/>
  <c r="K171" i="4"/>
  <c r="J171" i="4"/>
  <c r="I171" i="4"/>
  <c r="H171" i="4"/>
  <c r="G171" i="4"/>
  <c r="F171" i="4"/>
  <c r="L170" i="4"/>
  <c r="K170" i="4"/>
  <c r="J170" i="4"/>
  <c r="I170" i="4"/>
  <c r="H170" i="4"/>
  <c r="G170" i="4"/>
  <c r="F170" i="4"/>
  <c r="L169" i="4"/>
  <c r="K169" i="4"/>
  <c r="J169" i="4"/>
  <c r="I169" i="4"/>
  <c r="H169" i="4"/>
  <c r="G169" i="4"/>
  <c r="F169" i="4"/>
  <c r="L168" i="4"/>
  <c r="K168" i="4"/>
  <c r="J168" i="4"/>
  <c r="I168" i="4"/>
  <c r="H168" i="4"/>
  <c r="G168" i="4"/>
  <c r="F168" i="4"/>
  <c r="L167" i="4"/>
  <c r="K167" i="4"/>
  <c r="J167" i="4"/>
  <c r="I167" i="4"/>
  <c r="H167" i="4"/>
  <c r="G167" i="4"/>
  <c r="F167" i="4"/>
  <c r="L166" i="4"/>
  <c r="K166" i="4"/>
  <c r="J166" i="4"/>
  <c r="I166" i="4"/>
  <c r="H166" i="4"/>
  <c r="G166" i="4"/>
  <c r="F166" i="4"/>
  <c r="L165" i="4"/>
  <c r="K165" i="4"/>
  <c r="J165" i="4"/>
  <c r="I165" i="4"/>
  <c r="H165" i="4"/>
  <c r="G165" i="4"/>
  <c r="F165" i="4"/>
  <c r="L164" i="4"/>
  <c r="K164" i="4"/>
  <c r="J164" i="4"/>
  <c r="I164" i="4"/>
  <c r="H164" i="4"/>
  <c r="G164" i="4"/>
  <c r="F164" i="4"/>
  <c r="L163" i="4"/>
  <c r="K163" i="4"/>
  <c r="J163" i="4"/>
  <c r="I163" i="4"/>
  <c r="H163" i="4"/>
  <c r="G163" i="4"/>
  <c r="F163" i="4"/>
  <c r="L162" i="4"/>
  <c r="K162" i="4"/>
  <c r="J162" i="4"/>
  <c r="I162" i="4"/>
  <c r="H162" i="4"/>
  <c r="G162" i="4"/>
  <c r="F162" i="4"/>
  <c r="L161" i="4"/>
  <c r="K161" i="4"/>
  <c r="J161" i="4"/>
  <c r="I161" i="4"/>
  <c r="H161" i="4"/>
  <c r="G161" i="4"/>
  <c r="F161" i="4"/>
  <c r="L160" i="4"/>
  <c r="K160" i="4"/>
  <c r="J160" i="4"/>
  <c r="I160" i="4"/>
  <c r="H160" i="4"/>
  <c r="G160" i="4"/>
  <c r="F160" i="4"/>
  <c r="L159" i="4"/>
  <c r="K159" i="4"/>
  <c r="J159" i="4"/>
  <c r="I159" i="4"/>
  <c r="H159" i="4"/>
  <c r="G159" i="4"/>
  <c r="F159" i="4"/>
  <c r="L158" i="4"/>
  <c r="K158" i="4"/>
  <c r="J158" i="4"/>
  <c r="I158" i="4"/>
  <c r="H158" i="4"/>
  <c r="G158" i="4"/>
  <c r="F158" i="4"/>
  <c r="L157" i="4"/>
  <c r="K157" i="4"/>
  <c r="J157" i="4"/>
  <c r="I157" i="4"/>
  <c r="H157" i="4"/>
  <c r="G157" i="4"/>
  <c r="F157" i="4"/>
  <c r="L156" i="4"/>
  <c r="K156" i="4"/>
  <c r="J156" i="4"/>
  <c r="I156" i="4"/>
  <c r="H156" i="4"/>
  <c r="G156" i="4"/>
  <c r="F156" i="4"/>
  <c r="L155" i="4"/>
  <c r="K155" i="4"/>
  <c r="J155" i="4"/>
  <c r="I155" i="4"/>
  <c r="H155" i="4"/>
  <c r="G155" i="4"/>
  <c r="F155" i="4"/>
  <c r="K154" i="4"/>
  <c r="J154" i="4"/>
  <c r="I154" i="4"/>
  <c r="H154" i="4"/>
  <c r="G154" i="4"/>
  <c r="F154" i="4"/>
  <c r="L153" i="4"/>
  <c r="K153" i="4"/>
  <c r="J153" i="4"/>
  <c r="I153" i="4"/>
  <c r="H153" i="4"/>
  <c r="G153" i="4"/>
  <c r="F153" i="4"/>
  <c r="L152" i="4"/>
  <c r="K152" i="4"/>
  <c r="J152" i="4"/>
  <c r="I152" i="4"/>
  <c r="H152" i="4"/>
  <c r="G152" i="4"/>
  <c r="F152" i="4"/>
  <c r="L151" i="4"/>
  <c r="K151" i="4"/>
  <c r="J151" i="4"/>
  <c r="I151" i="4"/>
  <c r="H151" i="4"/>
  <c r="G151" i="4"/>
  <c r="F151" i="4"/>
  <c r="L150" i="4"/>
  <c r="K150" i="4"/>
  <c r="J150" i="4"/>
  <c r="I150" i="4"/>
  <c r="H150" i="4"/>
  <c r="G150" i="4"/>
  <c r="F150" i="4"/>
  <c r="L149" i="4"/>
  <c r="K149" i="4"/>
  <c r="J149" i="4"/>
  <c r="I149" i="4"/>
  <c r="H149" i="4"/>
  <c r="G149" i="4"/>
  <c r="F149" i="4"/>
  <c r="L148" i="4"/>
  <c r="K148" i="4"/>
  <c r="J148" i="4"/>
  <c r="I148" i="4"/>
  <c r="H148" i="4"/>
  <c r="G148" i="4"/>
  <c r="F148" i="4"/>
  <c r="L147" i="4"/>
  <c r="K147" i="4"/>
  <c r="J147" i="4"/>
  <c r="I147" i="4"/>
  <c r="H147" i="4"/>
  <c r="G147" i="4"/>
  <c r="F147" i="4"/>
  <c r="L145" i="4"/>
  <c r="K145" i="4"/>
  <c r="J145" i="4"/>
  <c r="I145" i="4"/>
  <c r="H145" i="4"/>
  <c r="G145" i="4"/>
  <c r="F145" i="4"/>
  <c r="L144" i="4"/>
  <c r="K144" i="4"/>
  <c r="J144" i="4"/>
  <c r="I144" i="4"/>
  <c r="H144" i="4"/>
  <c r="G144" i="4"/>
  <c r="F144" i="4"/>
  <c r="L143" i="4"/>
  <c r="K143" i="4"/>
  <c r="J143" i="4"/>
  <c r="I143" i="4"/>
  <c r="H143" i="4"/>
  <c r="G143" i="4"/>
  <c r="F143" i="4"/>
  <c r="L142" i="4"/>
  <c r="K142" i="4"/>
  <c r="J142" i="4"/>
  <c r="I142" i="4"/>
  <c r="H142" i="4"/>
  <c r="G142" i="4"/>
  <c r="F142" i="4"/>
  <c r="L141" i="4"/>
  <c r="K141" i="4"/>
  <c r="J141" i="4"/>
  <c r="I141" i="4"/>
  <c r="H141" i="4"/>
  <c r="G141" i="4"/>
  <c r="F141" i="4"/>
  <c r="L140" i="4"/>
  <c r="K140" i="4"/>
  <c r="J140" i="4"/>
  <c r="I140" i="4"/>
  <c r="H140" i="4"/>
  <c r="G140" i="4"/>
  <c r="F140" i="4"/>
  <c r="L139" i="4"/>
  <c r="K139" i="4"/>
  <c r="J139" i="4"/>
  <c r="I139" i="4"/>
  <c r="H139" i="4"/>
  <c r="G139" i="4"/>
  <c r="F139" i="4"/>
  <c r="L138" i="4"/>
  <c r="K138" i="4"/>
  <c r="J138" i="4"/>
  <c r="I138" i="4"/>
  <c r="H138" i="4"/>
  <c r="G138" i="4"/>
  <c r="F138" i="4"/>
  <c r="L137" i="4"/>
  <c r="K137" i="4"/>
  <c r="J137" i="4"/>
  <c r="I137" i="4"/>
  <c r="H137" i="4"/>
  <c r="G137" i="4"/>
  <c r="F137" i="4"/>
  <c r="L136" i="4"/>
  <c r="K136" i="4"/>
  <c r="J136" i="4"/>
  <c r="I136" i="4"/>
  <c r="H136" i="4"/>
  <c r="G136" i="4"/>
  <c r="F136" i="4"/>
  <c r="L135" i="4"/>
  <c r="K135" i="4"/>
  <c r="J135" i="4"/>
  <c r="I135" i="4"/>
  <c r="H135" i="4"/>
  <c r="G135" i="4"/>
  <c r="F135" i="4"/>
  <c r="L134" i="4"/>
  <c r="K134" i="4"/>
  <c r="J134" i="4"/>
  <c r="I134" i="4"/>
  <c r="H134" i="4"/>
  <c r="F134" i="4"/>
  <c r="L133" i="4"/>
  <c r="K133" i="4"/>
  <c r="J133" i="4"/>
  <c r="I133" i="4"/>
  <c r="H133" i="4"/>
  <c r="G133" i="4"/>
  <c r="F133" i="4"/>
  <c r="L132" i="4"/>
  <c r="K132" i="4"/>
  <c r="J132" i="4"/>
  <c r="I132" i="4"/>
  <c r="H132" i="4"/>
  <c r="G132" i="4"/>
  <c r="F132" i="4"/>
  <c r="L131" i="4"/>
  <c r="K131" i="4"/>
  <c r="J131" i="4"/>
  <c r="I131" i="4"/>
  <c r="H131" i="4"/>
  <c r="G131" i="4"/>
  <c r="F131" i="4"/>
  <c r="L130" i="4"/>
  <c r="K130" i="4"/>
  <c r="J130" i="4"/>
  <c r="I130" i="4"/>
  <c r="H130" i="4"/>
  <c r="G130" i="4"/>
  <c r="F130" i="4"/>
  <c r="L129" i="4"/>
  <c r="K129" i="4"/>
  <c r="J129" i="4"/>
  <c r="I129" i="4"/>
  <c r="H129" i="4"/>
  <c r="G129" i="4"/>
  <c r="F129" i="4"/>
  <c r="L128" i="4"/>
  <c r="K128" i="4"/>
  <c r="J128" i="4"/>
  <c r="I128" i="4"/>
  <c r="H128" i="4"/>
  <c r="G128" i="4"/>
  <c r="F128" i="4"/>
  <c r="K127" i="4"/>
  <c r="J127" i="4"/>
  <c r="I127" i="4"/>
  <c r="H127" i="4"/>
  <c r="G127" i="4"/>
  <c r="F127" i="4"/>
  <c r="L126" i="4"/>
  <c r="K126" i="4"/>
  <c r="J126" i="4"/>
  <c r="I126" i="4"/>
  <c r="H126" i="4"/>
  <c r="G126" i="4"/>
  <c r="F126" i="4"/>
  <c r="L125" i="4"/>
  <c r="K125" i="4"/>
  <c r="J125" i="4"/>
  <c r="I125" i="4"/>
  <c r="H125" i="4"/>
  <c r="G125" i="4"/>
  <c r="F125" i="4"/>
  <c r="L124" i="4"/>
  <c r="K124" i="4"/>
  <c r="J124" i="4"/>
  <c r="I124" i="4"/>
  <c r="H124" i="4"/>
  <c r="G124" i="4"/>
  <c r="F124" i="4"/>
  <c r="L123" i="4"/>
  <c r="K123" i="4"/>
  <c r="J123" i="4"/>
  <c r="I123" i="4"/>
  <c r="H123" i="4"/>
  <c r="G123" i="4"/>
  <c r="F123" i="4"/>
  <c r="L122" i="4"/>
  <c r="K122" i="4"/>
  <c r="J122" i="4"/>
  <c r="I122" i="4"/>
  <c r="H122" i="4"/>
  <c r="G122" i="4"/>
  <c r="F122" i="4"/>
  <c r="L119" i="4"/>
  <c r="K119" i="4"/>
  <c r="J119" i="4"/>
  <c r="I119" i="4"/>
  <c r="H119" i="4"/>
  <c r="G119" i="4"/>
  <c r="F119" i="4"/>
  <c r="L118" i="4"/>
  <c r="K118" i="4"/>
  <c r="J118" i="4"/>
  <c r="I118" i="4"/>
  <c r="H118" i="4"/>
  <c r="G118" i="4"/>
  <c r="F118" i="4"/>
  <c r="L117" i="4"/>
  <c r="K117" i="4"/>
  <c r="J117" i="4"/>
  <c r="I117" i="4"/>
  <c r="H117" i="4"/>
  <c r="G117" i="4"/>
  <c r="F117" i="4"/>
  <c r="L116" i="4"/>
  <c r="K116" i="4"/>
  <c r="J116" i="4"/>
  <c r="I116" i="4"/>
  <c r="H116" i="4"/>
  <c r="G116" i="4"/>
  <c r="F116" i="4"/>
  <c r="L115" i="4"/>
  <c r="K115" i="4"/>
  <c r="J115" i="4"/>
  <c r="I115" i="4"/>
  <c r="H115" i="4"/>
  <c r="G115" i="4"/>
  <c r="F115" i="4"/>
  <c r="L114" i="4"/>
  <c r="K114" i="4"/>
  <c r="J114" i="4"/>
  <c r="I114" i="4"/>
  <c r="H114" i="4"/>
  <c r="G114" i="4"/>
  <c r="F114" i="4"/>
  <c r="L113" i="4"/>
  <c r="K113" i="4"/>
  <c r="J113" i="4"/>
  <c r="I113" i="4"/>
  <c r="H113" i="4"/>
  <c r="G113" i="4"/>
  <c r="F113" i="4"/>
  <c r="L112" i="4"/>
  <c r="K112" i="4"/>
  <c r="J112" i="4"/>
  <c r="I112" i="4"/>
  <c r="H112" i="4"/>
  <c r="G112" i="4"/>
  <c r="F112" i="4"/>
  <c r="L111" i="4"/>
  <c r="K111" i="4"/>
  <c r="J111" i="4"/>
  <c r="I111" i="4"/>
  <c r="H111" i="4"/>
  <c r="G111" i="4"/>
  <c r="F111" i="4"/>
  <c r="L110" i="4"/>
  <c r="K110" i="4"/>
  <c r="J110" i="4"/>
  <c r="I110" i="4"/>
  <c r="H110" i="4"/>
  <c r="G110" i="4"/>
  <c r="F110" i="4"/>
  <c r="L109" i="4"/>
  <c r="K109" i="4"/>
  <c r="J109" i="4"/>
  <c r="I109" i="4"/>
  <c r="H109" i="4"/>
  <c r="G109" i="4"/>
  <c r="F109" i="4"/>
  <c r="L108" i="4"/>
  <c r="K108" i="4"/>
  <c r="J108" i="4"/>
  <c r="I108" i="4"/>
  <c r="H108" i="4"/>
  <c r="G108" i="4"/>
  <c r="F108" i="4"/>
  <c r="L107" i="4"/>
  <c r="K107" i="4"/>
  <c r="J107" i="4"/>
  <c r="I107" i="4"/>
  <c r="H107" i="4"/>
  <c r="G107" i="4"/>
  <c r="F107" i="4"/>
  <c r="L106" i="4"/>
  <c r="K106" i="4"/>
  <c r="J106" i="4"/>
  <c r="I106" i="4"/>
  <c r="H106" i="4"/>
  <c r="G106" i="4"/>
  <c r="F106" i="4"/>
  <c r="L105" i="4"/>
  <c r="K105" i="4"/>
  <c r="J105" i="4"/>
  <c r="I105" i="4"/>
  <c r="H105" i="4"/>
  <c r="G105" i="4"/>
  <c r="F105" i="4"/>
  <c r="L104" i="4"/>
  <c r="K104" i="4"/>
  <c r="J104" i="4"/>
  <c r="I104" i="4"/>
  <c r="H104" i="4"/>
  <c r="G104" i="4"/>
  <c r="F104" i="4"/>
  <c r="L103" i="4"/>
  <c r="K103" i="4"/>
  <c r="J103" i="4"/>
  <c r="I103" i="4"/>
  <c r="H103" i="4"/>
  <c r="G103" i="4"/>
  <c r="F103" i="4"/>
  <c r="L102" i="4"/>
  <c r="K102" i="4"/>
  <c r="J102" i="4"/>
  <c r="I102" i="4"/>
  <c r="H102" i="4"/>
  <c r="G102" i="4"/>
  <c r="F102" i="4"/>
  <c r="L101" i="4"/>
  <c r="K101" i="4"/>
  <c r="J101" i="4"/>
  <c r="I101" i="4"/>
  <c r="H101" i="4"/>
  <c r="G101" i="4"/>
  <c r="F101" i="4"/>
  <c r="L100" i="4"/>
  <c r="K100" i="4"/>
  <c r="J100" i="4"/>
  <c r="I100" i="4"/>
  <c r="H100" i="4"/>
  <c r="G100" i="4"/>
  <c r="F100" i="4"/>
  <c r="L99" i="4"/>
  <c r="K99" i="4"/>
  <c r="J99" i="4"/>
  <c r="I99" i="4"/>
  <c r="H99" i="4"/>
  <c r="G99" i="4"/>
  <c r="F99" i="4"/>
  <c r="L98" i="4"/>
  <c r="K98" i="4"/>
  <c r="J98" i="4"/>
  <c r="I98" i="4"/>
  <c r="H98" i="4"/>
  <c r="G98" i="4"/>
  <c r="F98" i="4"/>
  <c r="L97" i="4"/>
  <c r="K97" i="4"/>
  <c r="J97" i="4"/>
  <c r="I97" i="4"/>
  <c r="H97" i="4"/>
  <c r="G97" i="4"/>
  <c r="F97" i="4"/>
  <c r="L96" i="4"/>
  <c r="K96" i="4"/>
  <c r="J96" i="4"/>
  <c r="I96" i="4"/>
  <c r="H96" i="4"/>
  <c r="G96" i="4"/>
  <c r="F96" i="4"/>
  <c r="L95" i="4"/>
  <c r="K95" i="4"/>
  <c r="J95" i="4"/>
  <c r="I95" i="4"/>
  <c r="H95" i="4"/>
  <c r="G95" i="4"/>
  <c r="F95" i="4"/>
  <c r="L94" i="4"/>
  <c r="K94" i="4"/>
  <c r="J94" i="4"/>
  <c r="I94" i="4"/>
  <c r="H94" i="4"/>
  <c r="G94" i="4"/>
  <c r="F94" i="4"/>
  <c r="L93" i="4"/>
  <c r="K93" i="4"/>
  <c r="J93" i="4"/>
  <c r="I93" i="4"/>
  <c r="H93" i="4"/>
  <c r="G93" i="4"/>
  <c r="F93" i="4"/>
  <c r="L92" i="4"/>
  <c r="K92" i="4"/>
  <c r="J92" i="4"/>
  <c r="I92" i="4"/>
  <c r="H92" i="4"/>
  <c r="G92" i="4"/>
  <c r="F92" i="4"/>
  <c r="L91" i="4"/>
  <c r="K91" i="4"/>
  <c r="J91" i="4"/>
  <c r="I91" i="4"/>
  <c r="H91" i="4"/>
  <c r="G91" i="4"/>
  <c r="F91" i="4"/>
  <c r="L90" i="4"/>
  <c r="K90" i="4"/>
  <c r="J90" i="4"/>
  <c r="I90" i="4"/>
  <c r="H90" i="4"/>
  <c r="G90" i="4"/>
  <c r="F90" i="4"/>
  <c r="L89" i="4"/>
  <c r="K89" i="4"/>
  <c r="J89" i="4"/>
  <c r="I89" i="4"/>
  <c r="H89" i="4"/>
  <c r="G89" i="4"/>
  <c r="F89" i="4"/>
  <c r="L88" i="4"/>
  <c r="K88" i="4"/>
  <c r="J88" i="4"/>
  <c r="I88" i="4"/>
  <c r="H88" i="4"/>
  <c r="G88" i="4"/>
  <c r="F88" i="4"/>
  <c r="L87" i="4"/>
  <c r="K87" i="4"/>
  <c r="J87" i="4"/>
  <c r="I87" i="4"/>
  <c r="H87" i="4"/>
  <c r="G87" i="4"/>
  <c r="F87" i="4"/>
  <c r="J86" i="4"/>
  <c r="H86" i="4"/>
  <c r="G86" i="4"/>
  <c r="F86" i="4"/>
  <c r="L85" i="4"/>
  <c r="K85" i="4"/>
  <c r="J85" i="4"/>
  <c r="I85" i="4"/>
  <c r="H85" i="4"/>
  <c r="G85" i="4"/>
  <c r="F85" i="4"/>
  <c r="J84" i="4"/>
  <c r="H84" i="4"/>
  <c r="G84" i="4"/>
  <c r="F84" i="4"/>
  <c r="L83" i="4"/>
  <c r="K83" i="4"/>
  <c r="J83" i="4"/>
  <c r="I83" i="4"/>
  <c r="H83" i="4"/>
  <c r="G83" i="4"/>
  <c r="F83" i="4"/>
  <c r="L82" i="4"/>
  <c r="K82" i="4"/>
  <c r="J82" i="4"/>
  <c r="I82" i="4"/>
  <c r="H82" i="4"/>
  <c r="G82" i="4"/>
  <c r="F82" i="4"/>
  <c r="L81" i="4"/>
  <c r="K81" i="4"/>
  <c r="J81" i="4"/>
  <c r="I81" i="4"/>
  <c r="H81" i="4"/>
  <c r="G81" i="4"/>
  <c r="F81" i="4"/>
  <c r="L80" i="4"/>
  <c r="K80" i="4"/>
  <c r="J80" i="4"/>
  <c r="I80" i="4"/>
  <c r="H80" i="4"/>
  <c r="G80" i="4"/>
  <c r="F80" i="4"/>
  <c r="L79" i="4"/>
  <c r="K79" i="4"/>
  <c r="J79" i="4"/>
  <c r="I79" i="4"/>
  <c r="H79" i="4"/>
  <c r="G79" i="4"/>
  <c r="F79" i="4"/>
  <c r="L78" i="4"/>
  <c r="K78" i="4"/>
  <c r="J78" i="4"/>
  <c r="I78" i="4"/>
  <c r="H78" i="4"/>
  <c r="G78" i="4"/>
  <c r="F78" i="4"/>
  <c r="L77" i="4"/>
  <c r="K77" i="4"/>
  <c r="J77" i="4"/>
  <c r="I77" i="4"/>
  <c r="H77" i="4"/>
  <c r="G77" i="4"/>
  <c r="F77" i="4"/>
  <c r="L76" i="4"/>
  <c r="K76" i="4"/>
  <c r="J76" i="4"/>
  <c r="I76" i="4"/>
  <c r="H76" i="4"/>
  <c r="G76" i="4"/>
  <c r="F76" i="4"/>
  <c r="L75" i="4"/>
  <c r="K75" i="4"/>
  <c r="J75" i="4"/>
  <c r="I75" i="4"/>
  <c r="H75" i="4"/>
  <c r="G75" i="4"/>
  <c r="F75" i="4"/>
  <c r="L74" i="4"/>
  <c r="K74" i="4"/>
  <c r="J74" i="4"/>
  <c r="I74" i="4"/>
  <c r="H74" i="4"/>
  <c r="G74" i="4"/>
  <c r="F74" i="4"/>
  <c r="L73" i="4"/>
  <c r="K73" i="4"/>
  <c r="J73" i="4"/>
  <c r="I73" i="4"/>
  <c r="H73" i="4"/>
  <c r="G73" i="4"/>
  <c r="F73" i="4"/>
  <c r="L72" i="4"/>
  <c r="K72" i="4"/>
  <c r="J72" i="4"/>
  <c r="I72" i="4"/>
  <c r="H72" i="4"/>
  <c r="G72" i="4"/>
  <c r="F72" i="4"/>
  <c r="L71" i="4"/>
  <c r="K71" i="4"/>
  <c r="J71" i="4"/>
  <c r="I71" i="4"/>
  <c r="H71" i="4"/>
  <c r="G71" i="4"/>
  <c r="F71" i="4"/>
  <c r="L70" i="4"/>
  <c r="K70" i="4"/>
  <c r="J70" i="4"/>
  <c r="I70" i="4"/>
  <c r="H70" i="4"/>
  <c r="G70" i="4"/>
  <c r="F70" i="4"/>
  <c r="L69" i="4"/>
  <c r="K69" i="4"/>
  <c r="J69" i="4"/>
  <c r="I69" i="4"/>
  <c r="H69" i="4"/>
  <c r="G69" i="4"/>
  <c r="F69" i="4"/>
  <c r="L68" i="4"/>
  <c r="K68" i="4"/>
  <c r="J68" i="4"/>
  <c r="I68" i="4"/>
  <c r="H68" i="4"/>
  <c r="G68" i="4"/>
  <c r="F68" i="4"/>
  <c r="L67" i="4"/>
  <c r="K67" i="4"/>
  <c r="J67" i="4"/>
  <c r="I67" i="4"/>
  <c r="H67" i="4"/>
  <c r="G67" i="4"/>
  <c r="F67" i="4"/>
  <c r="L66" i="4"/>
  <c r="K66" i="4"/>
  <c r="J66" i="4"/>
  <c r="I66" i="4"/>
  <c r="H66" i="4"/>
  <c r="G66" i="4"/>
  <c r="F66" i="4"/>
  <c r="L65" i="4"/>
  <c r="K65" i="4"/>
  <c r="J65" i="4"/>
  <c r="I65" i="4"/>
  <c r="H65" i="4"/>
  <c r="G65" i="4"/>
  <c r="F65" i="4"/>
  <c r="L64" i="4"/>
  <c r="K64" i="4"/>
  <c r="J64" i="4"/>
  <c r="I64" i="4"/>
  <c r="H64" i="4"/>
  <c r="G64" i="4"/>
  <c r="F64" i="4"/>
  <c r="L63" i="4"/>
  <c r="K63" i="4"/>
  <c r="J63" i="4"/>
  <c r="I63" i="4"/>
  <c r="H63" i="4"/>
  <c r="G63" i="4"/>
  <c r="F63" i="4"/>
  <c r="L62" i="4"/>
  <c r="K62" i="4"/>
  <c r="J62" i="4"/>
  <c r="I62" i="4"/>
  <c r="H62" i="4"/>
  <c r="G62" i="4"/>
  <c r="F62" i="4"/>
  <c r="L61" i="4"/>
  <c r="K61" i="4"/>
  <c r="J61" i="4"/>
  <c r="I61" i="4"/>
  <c r="H61" i="4"/>
  <c r="G61" i="4"/>
  <c r="F61" i="4"/>
  <c r="L60" i="4"/>
  <c r="K60" i="4"/>
  <c r="J60" i="4"/>
  <c r="I60" i="4"/>
  <c r="H60" i="4"/>
  <c r="G60" i="4"/>
  <c r="F60" i="4"/>
  <c r="L59" i="4"/>
  <c r="K59" i="4"/>
  <c r="J59" i="4"/>
  <c r="I59" i="4"/>
  <c r="H59" i="4"/>
  <c r="G59" i="4"/>
  <c r="F59" i="4"/>
  <c r="L58" i="4"/>
  <c r="K58" i="4"/>
  <c r="J58" i="4"/>
  <c r="I58" i="4"/>
  <c r="H58" i="4"/>
  <c r="G58" i="4"/>
  <c r="F58" i="4"/>
  <c r="L57" i="4"/>
  <c r="K57" i="4"/>
  <c r="J57" i="4"/>
  <c r="I57" i="4"/>
  <c r="H57" i="4"/>
  <c r="G57" i="4"/>
  <c r="F57" i="4"/>
  <c r="L56" i="4"/>
  <c r="K56" i="4"/>
  <c r="J56" i="4"/>
  <c r="I56" i="4"/>
  <c r="H56" i="4"/>
  <c r="G56" i="4"/>
  <c r="F56" i="4"/>
  <c r="L55" i="4"/>
  <c r="K55" i="4"/>
  <c r="J55" i="4"/>
  <c r="I55" i="4"/>
  <c r="H55" i="4"/>
  <c r="G55" i="4"/>
  <c r="F55" i="4"/>
  <c r="L54" i="4"/>
  <c r="K54" i="4"/>
  <c r="J54" i="4"/>
  <c r="I54" i="4"/>
  <c r="H54" i="4"/>
  <c r="G54" i="4"/>
  <c r="F54" i="4"/>
  <c r="L53" i="4"/>
  <c r="K53" i="4"/>
  <c r="J53" i="4"/>
  <c r="I53" i="4"/>
  <c r="H53" i="4"/>
  <c r="G53" i="4"/>
  <c r="F53" i="4"/>
  <c r="L52" i="4"/>
  <c r="K52" i="4"/>
  <c r="J52" i="4"/>
  <c r="I52" i="4"/>
  <c r="H52" i="4"/>
  <c r="G52" i="4"/>
  <c r="F52" i="4"/>
  <c r="L51" i="4"/>
  <c r="K51" i="4"/>
  <c r="J51" i="4"/>
  <c r="I51" i="4"/>
  <c r="H51" i="4"/>
  <c r="G51" i="4"/>
  <c r="F51" i="4"/>
  <c r="L49" i="4"/>
  <c r="K49" i="4"/>
  <c r="J49" i="4"/>
  <c r="I49" i="4"/>
  <c r="H49" i="4"/>
  <c r="G49" i="4"/>
  <c r="F49" i="4"/>
  <c r="L48" i="4"/>
  <c r="K48" i="4"/>
  <c r="J48" i="4"/>
  <c r="I48" i="4"/>
  <c r="H48" i="4"/>
  <c r="G48" i="4"/>
  <c r="F48" i="4"/>
  <c r="L47" i="4"/>
  <c r="K47" i="4"/>
  <c r="J47" i="4"/>
  <c r="I47" i="4"/>
  <c r="H47" i="4"/>
  <c r="G47" i="4"/>
  <c r="F47" i="4"/>
  <c r="L46" i="4"/>
  <c r="K46" i="4"/>
  <c r="J46" i="4"/>
  <c r="I46" i="4"/>
  <c r="H46" i="4"/>
  <c r="G46" i="4"/>
  <c r="F46" i="4"/>
  <c r="L45" i="4"/>
  <c r="K45" i="4"/>
  <c r="J45" i="4"/>
  <c r="I45" i="4"/>
  <c r="H45" i="4"/>
  <c r="G45" i="4"/>
  <c r="F45" i="4"/>
  <c r="L44" i="4"/>
  <c r="K44" i="4"/>
  <c r="J44" i="4"/>
  <c r="I44" i="4"/>
  <c r="H44" i="4"/>
  <c r="G44" i="4"/>
  <c r="F44" i="4"/>
  <c r="L43" i="4"/>
  <c r="K43" i="4"/>
  <c r="J43" i="4"/>
  <c r="I43" i="4"/>
  <c r="H43" i="4"/>
  <c r="G43" i="4"/>
  <c r="F43" i="4"/>
  <c r="L42" i="4"/>
  <c r="K42" i="4"/>
  <c r="J42" i="4"/>
  <c r="I42" i="4"/>
  <c r="H42" i="4"/>
  <c r="G42" i="4"/>
  <c r="F42" i="4"/>
  <c r="L41" i="4"/>
  <c r="K41" i="4"/>
  <c r="J41" i="4"/>
  <c r="I41" i="4"/>
  <c r="H41" i="4"/>
  <c r="G41" i="4"/>
  <c r="F41" i="4"/>
  <c r="L40" i="4"/>
  <c r="K40" i="4"/>
  <c r="J40" i="4"/>
  <c r="I40" i="4"/>
  <c r="H40" i="4"/>
  <c r="G40" i="4"/>
  <c r="F40" i="4"/>
  <c r="L39" i="4"/>
  <c r="K39" i="4"/>
  <c r="J39" i="4"/>
  <c r="I39" i="4"/>
  <c r="H39" i="4"/>
  <c r="G39" i="4"/>
  <c r="F39" i="4"/>
  <c r="L38" i="4"/>
  <c r="K38" i="4"/>
  <c r="J38" i="4"/>
  <c r="I38" i="4"/>
  <c r="H38" i="4"/>
  <c r="G38" i="4"/>
  <c r="F38" i="4"/>
  <c r="L37" i="4"/>
  <c r="K37" i="4"/>
  <c r="J37" i="4"/>
  <c r="I37" i="4"/>
  <c r="H37" i="4"/>
  <c r="G37" i="4"/>
  <c r="F37" i="4"/>
  <c r="L36" i="4"/>
  <c r="K36" i="4"/>
  <c r="J36" i="4"/>
  <c r="I36" i="4"/>
  <c r="H36" i="4"/>
  <c r="G36" i="4"/>
  <c r="F36" i="4"/>
  <c r="L35" i="4"/>
  <c r="K35" i="4"/>
  <c r="J35" i="4"/>
  <c r="I35" i="4"/>
  <c r="H35" i="4"/>
  <c r="G35" i="4"/>
  <c r="F35" i="4"/>
  <c r="L34" i="4"/>
  <c r="K34" i="4"/>
  <c r="J34" i="4"/>
  <c r="I34" i="4"/>
  <c r="H34" i="4"/>
  <c r="G34" i="4"/>
  <c r="F34" i="4"/>
  <c r="L33" i="4"/>
  <c r="K33" i="4"/>
  <c r="J33" i="4"/>
  <c r="I33" i="4"/>
  <c r="H33" i="4"/>
  <c r="G33" i="4"/>
  <c r="F33" i="4"/>
  <c r="L32" i="4"/>
  <c r="K32" i="4"/>
  <c r="J32" i="4"/>
  <c r="I32" i="4"/>
  <c r="H32" i="4"/>
  <c r="G32" i="4"/>
  <c r="F32" i="4"/>
  <c r="L31" i="4"/>
  <c r="K31" i="4"/>
  <c r="J31" i="4"/>
  <c r="I31" i="4"/>
  <c r="H31" i="4"/>
  <c r="G31" i="4"/>
  <c r="F31" i="4"/>
  <c r="L30" i="4"/>
  <c r="K30" i="4"/>
  <c r="J30" i="4"/>
  <c r="I30" i="4"/>
  <c r="H30" i="4"/>
  <c r="G30" i="4"/>
  <c r="F30" i="4"/>
  <c r="L29" i="4"/>
  <c r="K29" i="4"/>
  <c r="J29" i="4"/>
  <c r="I29" i="4"/>
  <c r="H29" i="4"/>
  <c r="G29" i="4"/>
  <c r="F29" i="4"/>
  <c r="L28" i="4"/>
  <c r="K28" i="4"/>
  <c r="J28" i="4"/>
  <c r="I28" i="4"/>
  <c r="H28" i="4"/>
  <c r="G28" i="4"/>
  <c r="F28" i="4"/>
  <c r="J27" i="4"/>
  <c r="I27" i="4"/>
  <c r="H27" i="4"/>
  <c r="G27" i="4"/>
  <c r="F27" i="4"/>
  <c r="L26" i="4"/>
  <c r="K26" i="4"/>
  <c r="J26" i="4"/>
  <c r="I26" i="4"/>
  <c r="H26" i="4"/>
  <c r="G26" i="4"/>
  <c r="F26" i="4"/>
  <c r="L25" i="4"/>
  <c r="K25" i="4"/>
  <c r="J25" i="4"/>
  <c r="I25" i="4"/>
  <c r="H25" i="4"/>
  <c r="G25" i="4"/>
  <c r="F25" i="4"/>
  <c r="L24" i="4"/>
  <c r="K24" i="4"/>
  <c r="J24" i="4"/>
  <c r="I24" i="4"/>
  <c r="H24" i="4"/>
  <c r="G24" i="4"/>
  <c r="F24" i="4"/>
  <c r="L23" i="4"/>
  <c r="K23" i="4"/>
  <c r="J23" i="4"/>
  <c r="I23" i="4"/>
  <c r="H23" i="4"/>
  <c r="G23" i="4"/>
  <c r="F23" i="4"/>
  <c r="L22" i="4"/>
  <c r="K22" i="4"/>
  <c r="J22" i="4"/>
  <c r="I22" i="4"/>
  <c r="H22" i="4"/>
  <c r="G22" i="4"/>
  <c r="F22" i="4"/>
  <c r="L21" i="4"/>
  <c r="K21" i="4"/>
  <c r="J21" i="4"/>
  <c r="I21" i="4"/>
  <c r="H21" i="4"/>
  <c r="G21" i="4"/>
  <c r="F21" i="4"/>
  <c r="L20" i="4"/>
  <c r="K20" i="4"/>
  <c r="J20" i="4"/>
  <c r="I20" i="4"/>
  <c r="H20" i="4"/>
  <c r="G20" i="4"/>
  <c r="F20" i="4"/>
  <c r="L19" i="4"/>
  <c r="K19" i="4"/>
  <c r="J19" i="4"/>
  <c r="I19" i="4"/>
  <c r="H19" i="4"/>
  <c r="G19" i="4"/>
  <c r="F19" i="4"/>
  <c r="L18" i="4"/>
  <c r="K18" i="4"/>
  <c r="J18" i="4"/>
  <c r="I18" i="4"/>
  <c r="H18" i="4"/>
  <c r="G18" i="4"/>
  <c r="F18" i="4"/>
  <c r="L17" i="4"/>
  <c r="K17" i="4"/>
  <c r="J17" i="4"/>
  <c r="I17" i="4"/>
  <c r="H17" i="4"/>
  <c r="G17" i="4"/>
  <c r="F17" i="4"/>
  <c r="L16" i="4"/>
  <c r="K16" i="4"/>
  <c r="J16" i="4"/>
  <c r="I16" i="4"/>
  <c r="H16" i="4"/>
  <c r="G16" i="4"/>
  <c r="F16" i="4"/>
  <c r="L15" i="4"/>
  <c r="K15" i="4"/>
  <c r="J15" i="4"/>
  <c r="I15" i="4"/>
  <c r="H15" i="4"/>
  <c r="G15" i="4"/>
  <c r="F15" i="4"/>
  <c r="L14" i="4"/>
  <c r="K14" i="4"/>
  <c r="J14" i="4"/>
  <c r="I14" i="4"/>
  <c r="H14" i="4"/>
  <c r="G14" i="4"/>
  <c r="F14" i="4"/>
  <c r="L13" i="4"/>
  <c r="K13" i="4"/>
  <c r="J13" i="4"/>
  <c r="I13" i="4"/>
  <c r="H13" i="4"/>
  <c r="G13" i="4"/>
  <c r="F13" i="4"/>
  <c r="L12" i="4"/>
  <c r="K12" i="4"/>
  <c r="J12" i="4"/>
  <c r="I12" i="4"/>
  <c r="H12" i="4"/>
  <c r="G12" i="4"/>
  <c r="F12" i="4"/>
  <c r="L11" i="4"/>
  <c r="K11" i="4"/>
  <c r="J11" i="4"/>
  <c r="I11" i="4"/>
  <c r="H11" i="4"/>
  <c r="G11" i="4"/>
  <c r="F11" i="4"/>
  <c r="L10" i="4"/>
  <c r="K10" i="4"/>
  <c r="J10" i="4"/>
  <c r="I10" i="4"/>
  <c r="H10" i="4"/>
  <c r="G10" i="4"/>
  <c r="F10" i="4"/>
  <c r="L9" i="4"/>
  <c r="K9" i="4"/>
  <c r="J9" i="4"/>
  <c r="I9" i="4"/>
  <c r="H9" i="4"/>
  <c r="G9" i="4"/>
  <c r="F9" i="4"/>
  <c r="L8" i="4"/>
  <c r="K8" i="4"/>
  <c r="J8" i="4"/>
  <c r="I8" i="4"/>
  <c r="H8" i="4"/>
  <c r="G8" i="4"/>
  <c r="F8" i="4"/>
  <c r="L7" i="4"/>
  <c r="K7" i="4"/>
  <c r="J7" i="4"/>
  <c r="I7" i="4"/>
  <c r="H7" i="4"/>
  <c r="G7" i="4"/>
  <c r="F7" i="4"/>
  <c r="L6" i="4"/>
  <c r="K6" i="4"/>
  <c r="J6" i="4"/>
  <c r="I6" i="4"/>
  <c r="H6" i="4"/>
  <c r="G6" i="4"/>
  <c r="F6" i="4"/>
  <c r="L5" i="4"/>
  <c r="K5" i="4"/>
  <c r="J5" i="4"/>
  <c r="I5" i="4"/>
  <c r="H5" i="4"/>
  <c r="G5" i="4"/>
  <c r="F5" i="4"/>
  <c r="L4" i="4"/>
  <c r="K4" i="4"/>
  <c r="J4" i="4"/>
  <c r="I4" i="4"/>
  <c r="H4" i="4"/>
  <c r="G4" i="4"/>
  <c r="F4" i="4"/>
  <c r="L2" i="4"/>
  <c r="K2" i="4"/>
  <c r="J2" i="4"/>
  <c r="I2" i="4"/>
  <c r="H2" i="4"/>
  <c r="G2" i="4"/>
  <c r="F2" i="4"/>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L154"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L122"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G30" i="3"/>
  <c r="E30" i="3"/>
  <c r="E29" i="3"/>
  <c r="E28" i="3"/>
  <c r="E27" i="3"/>
  <c r="E26" i="3"/>
  <c r="E25" i="3"/>
  <c r="E24" i="3"/>
  <c r="E23" i="3"/>
  <c r="E22" i="3"/>
  <c r="E21" i="3"/>
  <c r="E20" i="3"/>
  <c r="E19" i="3"/>
  <c r="E18" i="3"/>
  <c r="E17" i="3"/>
  <c r="E16" i="3"/>
  <c r="E15" i="3"/>
  <c r="E14" i="3"/>
  <c r="E13" i="3"/>
  <c r="E12" i="3"/>
  <c r="E11" i="3"/>
  <c r="E10" i="3"/>
  <c r="E9" i="3"/>
  <c r="E8" i="3"/>
  <c r="E7" i="3"/>
  <c r="E6" i="3"/>
  <c r="E5" i="3"/>
  <c r="E4" i="3"/>
  <c r="L2" i="3"/>
  <c r="L158" i="3" s="1"/>
  <c r="K2" i="3"/>
  <c r="J2" i="3"/>
  <c r="J30" i="3" s="1"/>
  <c r="I2" i="3"/>
  <c r="I29" i="3" s="1"/>
  <c r="H2" i="3"/>
  <c r="H97" i="3" s="1"/>
  <c r="G2" i="3"/>
  <c r="F2" i="3"/>
  <c r="F26" i="3" s="1"/>
  <c r="L2" i="2"/>
  <c r="K2" i="2"/>
  <c r="J2" i="2"/>
  <c r="I2" i="2"/>
  <c r="H2" i="2"/>
  <c r="G2" i="2"/>
  <c r="F2" i="2"/>
  <c r="L2" i="1"/>
  <c r="K2" i="1"/>
  <c r="J2" i="1"/>
  <c r="I2" i="1"/>
  <c r="H2" i="1"/>
  <c r="G2" i="1"/>
  <c r="F2" i="1"/>
  <c r="F5" i="3" l="1"/>
  <c r="F11" i="3"/>
  <c r="F19" i="3"/>
  <c r="F27"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4" i="3"/>
  <c r="G5" i="3"/>
  <c r="G6" i="3"/>
  <c r="G7" i="3"/>
  <c r="G8" i="3"/>
  <c r="G9" i="3"/>
  <c r="G10" i="3"/>
  <c r="G11" i="3"/>
  <c r="G12" i="3"/>
  <c r="G13" i="3"/>
  <c r="G14" i="3"/>
  <c r="G15" i="3"/>
  <c r="G16" i="3"/>
  <c r="G17" i="3"/>
  <c r="G18" i="3"/>
  <c r="G19" i="3"/>
  <c r="G20" i="3"/>
  <c r="G21" i="3"/>
  <c r="G22" i="3"/>
  <c r="G23" i="3"/>
  <c r="G24" i="3"/>
  <c r="G25" i="3"/>
  <c r="G26" i="3"/>
  <c r="G27" i="3"/>
  <c r="G28" i="3"/>
  <c r="G29" i="3"/>
  <c r="I30" i="3"/>
  <c r="G33" i="3"/>
  <c r="G37" i="3"/>
  <c r="G41" i="3"/>
  <c r="G45" i="3"/>
  <c r="G49" i="3"/>
  <c r="G53" i="3"/>
  <c r="G57" i="3"/>
  <c r="G61" i="3"/>
  <c r="G65" i="3"/>
  <c r="G69" i="3"/>
  <c r="G73" i="3"/>
  <c r="G77" i="3"/>
  <c r="G81" i="3"/>
  <c r="G85" i="3"/>
  <c r="G89" i="3"/>
  <c r="G93" i="3"/>
  <c r="L110" i="3"/>
  <c r="L142" i="3"/>
  <c r="F6" i="3"/>
  <c r="F10" i="3"/>
  <c r="F17" i="3"/>
  <c r="F24"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4" i="3"/>
  <c r="H5" i="3"/>
  <c r="H6" i="3"/>
  <c r="H7" i="3"/>
  <c r="H8" i="3"/>
  <c r="H9" i="3"/>
  <c r="H10" i="3"/>
  <c r="H11" i="3"/>
  <c r="H12" i="3"/>
  <c r="H13" i="3"/>
  <c r="H14" i="3"/>
  <c r="H15" i="3"/>
  <c r="H16" i="3"/>
  <c r="H17" i="3"/>
  <c r="H18" i="3"/>
  <c r="H19" i="3"/>
  <c r="H20" i="3"/>
  <c r="H21" i="3"/>
  <c r="H22" i="3"/>
  <c r="H23" i="3"/>
  <c r="H24" i="3"/>
  <c r="H25" i="3"/>
  <c r="H26" i="3"/>
  <c r="H27" i="3"/>
  <c r="H28" i="3"/>
  <c r="H29" i="3"/>
  <c r="L130" i="3"/>
  <c r="I4" i="3"/>
  <c r="I5" i="3"/>
  <c r="I7" i="3"/>
  <c r="I8" i="3"/>
  <c r="I9" i="3"/>
  <c r="I10" i="3"/>
  <c r="I11" i="3"/>
  <c r="I12" i="3"/>
  <c r="I13" i="3"/>
  <c r="I14" i="3"/>
  <c r="I15" i="3"/>
  <c r="I16" i="3"/>
  <c r="I17" i="3"/>
  <c r="I18" i="3"/>
  <c r="I19" i="3"/>
  <c r="I20" i="3"/>
  <c r="I21" i="3"/>
  <c r="I22" i="3"/>
  <c r="I23" i="3"/>
  <c r="I24" i="3"/>
  <c r="I25" i="3"/>
  <c r="I26" i="3"/>
  <c r="I27" i="3"/>
  <c r="I28" i="3"/>
  <c r="L30" i="3"/>
  <c r="G34" i="3"/>
  <c r="G38" i="3"/>
  <c r="G42" i="3"/>
  <c r="G46" i="3"/>
  <c r="G50" i="3"/>
  <c r="G54" i="3"/>
  <c r="G58" i="3"/>
  <c r="G62" i="3"/>
  <c r="G66" i="3"/>
  <c r="G70" i="3"/>
  <c r="G74" i="3"/>
  <c r="G78" i="3"/>
  <c r="G82" i="3"/>
  <c r="G86" i="3"/>
  <c r="G90" i="3"/>
  <c r="G94" i="3"/>
  <c r="L118" i="3"/>
  <c r="L150" i="3"/>
  <c r="F7" i="3"/>
  <c r="F15" i="3"/>
  <c r="F29"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97"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1" i="3"/>
  <c r="J237" i="3"/>
  <c r="J233" i="3"/>
  <c r="J229" i="3"/>
  <c r="J225" i="3"/>
  <c r="J221" i="3"/>
  <c r="J217" i="3"/>
  <c r="J213" i="3"/>
  <c r="J209" i="3"/>
  <c r="J205" i="3"/>
  <c r="J201" i="3"/>
  <c r="J197" i="3"/>
  <c r="J193" i="3"/>
  <c r="J189" i="3"/>
  <c r="J185" i="3"/>
  <c r="J181" i="3"/>
  <c r="J177" i="3"/>
  <c r="J173" i="3"/>
  <c r="J169" i="3"/>
  <c r="J165"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244" i="3"/>
  <c r="J240" i="3"/>
  <c r="J236" i="3"/>
  <c r="J232" i="3"/>
  <c r="J228" i="3"/>
  <c r="J224" i="3"/>
  <c r="J220" i="3"/>
  <c r="J216" i="3"/>
  <c r="J212" i="3"/>
  <c r="J208" i="3"/>
  <c r="J204" i="3"/>
  <c r="J200" i="3"/>
  <c r="J196" i="3"/>
  <c r="J192" i="3"/>
  <c r="J188" i="3"/>
  <c r="J184" i="3"/>
  <c r="J180" i="3"/>
  <c r="J176" i="3"/>
  <c r="J172" i="3"/>
  <c r="J168" i="3"/>
  <c r="J164" i="3"/>
  <c r="J243" i="3"/>
  <c r="J239" i="3"/>
  <c r="J235" i="3"/>
  <c r="J231" i="3"/>
  <c r="J227" i="3"/>
  <c r="J223" i="3"/>
  <c r="J219" i="3"/>
  <c r="J215" i="3"/>
  <c r="J211" i="3"/>
  <c r="J207" i="3"/>
  <c r="J203" i="3"/>
  <c r="J199" i="3"/>
  <c r="J195" i="3"/>
  <c r="J191" i="3"/>
  <c r="J187" i="3"/>
  <c r="J183" i="3"/>
  <c r="J179" i="3"/>
  <c r="J175" i="3"/>
  <c r="J171" i="3"/>
  <c r="J167" i="3"/>
  <c r="J163" i="3"/>
  <c r="J226" i="3"/>
  <c r="J194" i="3"/>
  <c r="J162" i="3"/>
  <c r="J238" i="3"/>
  <c r="J206" i="3"/>
  <c r="J174" i="3"/>
  <c r="J218" i="3"/>
  <c r="J186" i="3"/>
  <c r="J230" i="3"/>
  <c r="J198" i="3"/>
  <c r="J166" i="3"/>
  <c r="J242" i="3"/>
  <c r="J210" i="3"/>
  <c r="J178"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222" i="3"/>
  <c r="J190" i="3"/>
  <c r="J97" i="3"/>
  <c r="J234" i="3"/>
  <c r="J202" i="3"/>
  <c r="J170" i="3"/>
  <c r="J4" i="3"/>
  <c r="J5" i="3"/>
  <c r="J6" i="3"/>
  <c r="J7" i="3"/>
  <c r="J8" i="3"/>
  <c r="J9" i="3"/>
  <c r="J10" i="3"/>
  <c r="J11" i="3"/>
  <c r="J12" i="3"/>
  <c r="J13" i="3"/>
  <c r="J14" i="3"/>
  <c r="J15" i="3"/>
  <c r="J16" i="3"/>
  <c r="J17" i="3"/>
  <c r="J18" i="3"/>
  <c r="J19" i="3"/>
  <c r="J20" i="3"/>
  <c r="J21" i="3"/>
  <c r="J22" i="3"/>
  <c r="J23" i="3"/>
  <c r="J24" i="3"/>
  <c r="J25" i="3"/>
  <c r="J26" i="3"/>
  <c r="J27" i="3"/>
  <c r="J28" i="3"/>
  <c r="J29" i="3"/>
  <c r="L106" i="3"/>
  <c r="L138" i="3"/>
  <c r="F4" i="3"/>
  <c r="F9" i="3"/>
  <c r="F14" i="3"/>
  <c r="F18" i="3"/>
  <c r="F22"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97" i="3"/>
  <c r="K4" i="3"/>
  <c r="K5" i="3"/>
  <c r="K6" i="3"/>
  <c r="K7" i="3"/>
  <c r="K8" i="3"/>
  <c r="K9" i="3"/>
  <c r="K10" i="3"/>
  <c r="K11" i="3"/>
  <c r="K12" i="3"/>
  <c r="K13" i="3"/>
  <c r="K14" i="3"/>
  <c r="K15" i="3"/>
  <c r="K16" i="3"/>
  <c r="K17" i="3"/>
  <c r="K18" i="3"/>
  <c r="K19" i="3"/>
  <c r="K20" i="3"/>
  <c r="K21" i="3"/>
  <c r="K22" i="3"/>
  <c r="K23" i="3"/>
  <c r="K24" i="3"/>
  <c r="K25" i="3"/>
  <c r="K26" i="3"/>
  <c r="K27" i="3"/>
  <c r="K28" i="3"/>
  <c r="K29" i="3"/>
  <c r="G31" i="3"/>
  <c r="G35" i="3"/>
  <c r="G39" i="3"/>
  <c r="G43" i="3"/>
  <c r="G47" i="3"/>
  <c r="G51" i="3"/>
  <c r="G55" i="3"/>
  <c r="G59" i="3"/>
  <c r="G63" i="3"/>
  <c r="G67" i="3"/>
  <c r="G71" i="3"/>
  <c r="G75" i="3"/>
  <c r="G79" i="3"/>
  <c r="G83" i="3"/>
  <c r="G87" i="3"/>
  <c r="G91" i="3"/>
  <c r="G95" i="3"/>
  <c r="L126"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98" i="3"/>
  <c r="F99" i="3"/>
  <c r="F13" i="3"/>
  <c r="F21" i="3"/>
  <c r="F28" i="3"/>
  <c r="I6"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98" i="3"/>
  <c r="L157" i="3"/>
  <c r="L153" i="3"/>
  <c r="L149" i="3"/>
  <c r="L145" i="3"/>
  <c r="L141" i="3"/>
  <c r="L137" i="3"/>
  <c r="L133" i="3"/>
  <c r="L129" i="3"/>
  <c r="L125" i="3"/>
  <c r="L121" i="3"/>
  <c r="L117" i="3"/>
  <c r="L113" i="3"/>
  <c r="L109" i="3"/>
  <c r="L105" i="3"/>
  <c r="L101"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160" i="3"/>
  <c r="L156" i="3"/>
  <c r="L152" i="3"/>
  <c r="L148" i="3"/>
  <c r="L144" i="3"/>
  <c r="L140" i="3"/>
  <c r="L136" i="3"/>
  <c r="L132" i="3"/>
  <c r="L128" i="3"/>
  <c r="L124" i="3"/>
  <c r="L120" i="3"/>
  <c r="L116" i="3"/>
  <c r="L112" i="3"/>
  <c r="L108" i="3"/>
  <c r="L104" i="3"/>
  <c r="L100" i="3"/>
  <c r="L97" i="3"/>
  <c r="L159" i="3"/>
  <c r="L155" i="3"/>
  <c r="L151" i="3"/>
  <c r="L147" i="3"/>
  <c r="L143" i="3"/>
  <c r="L139" i="3"/>
  <c r="L135" i="3"/>
  <c r="L131" i="3"/>
  <c r="L127" i="3"/>
  <c r="L123" i="3"/>
  <c r="L119" i="3"/>
  <c r="L115" i="3"/>
  <c r="L111" i="3"/>
  <c r="L107" i="3"/>
  <c r="L103" i="3"/>
  <c r="L99" i="3"/>
  <c r="L4" i="3"/>
  <c r="L5" i="3"/>
  <c r="L6" i="3"/>
  <c r="L7" i="3"/>
  <c r="L8" i="3"/>
  <c r="L9" i="3"/>
  <c r="L10" i="3"/>
  <c r="L11" i="3"/>
  <c r="L12" i="3"/>
  <c r="L13" i="3"/>
  <c r="L14" i="3"/>
  <c r="L15" i="3"/>
  <c r="L16" i="3"/>
  <c r="L17" i="3"/>
  <c r="L18" i="3"/>
  <c r="L19" i="3"/>
  <c r="L20" i="3"/>
  <c r="L21" i="3"/>
  <c r="L22" i="3"/>
  <c r="L23" i="3"/>
  <c r="L24" i="3"/>
  <c r="L25" i="3"/>
  <c r="L26" i="3"/>
  <c r="L27" i="3"/>
  <c r="L28" i="3"/>
  <c r="L29" i="3"/>
  <c r="L114" i="3"/>
  <c r="L146" i="3"/>
  <c r="J182" i="3"/>
  <c r="F8" i="3"/>
  <c r="F12" i="3"/>
  <c r="F16" i="3"/>
  <c r="F20" i="3"/>
  <c r="F23" i="3"/>
  <c r="F25" i="3"/>
  <c r="G32" i="3"/>
  <c r="G36" i="3"/>
  <c r="G40" i="3"/>
  <c r="G44" i="3"/>
  <c r="G48" i="3"/>
  <c r="G52" i="3"/>
  <c r="G56" i="3"/>
  <c r="G60" i="3"/>
  <c r="G64" i="3"/>
  <c r="G68" i="3"/>
  <c r="G72" i="3"/>
  <c r="G76" i="3"/>
  <c r="G80" i="3"/>
  <c r="G84" i="3"/>
  <c r="G88" i="3"/>
  <c r="G92" i="3"/>
  <c r="G96" i="3"/>
  <c r="L102" i="3"/>
  <c r="L134" i="3"/>
  <c r="J214" i="3"/>
</calcChain>
</file>

<file path=xl/sharedStrings.xml><?xml version="1.0" encoding="utf-8"?>
<sst xmlns="http://schemas.openxmlformats.org/spreadsheetml/2006/main" count="6201" uniqueCount="1130">
  <si>
    <t>gravy_food_info</t>
  </si>
  <si>
    <t>Recommendations</t>
  </si>
  <si>
    <t>id</t>
  </si>
  <si>
    <t>food_name</t>
  </si>
  <si>
    <t>serving_description</t>
  </si>
  <si>
    <t>serving_units</t>
  </si>
  <si>
    <t>calories_per_serving</t>
  </si>
  <si>
    <t>carbs_per_serving</t>
  </si>
  <si>
    <t>protein_per_serving</t>
  </si>
  <si>
    <t>fat_per_serving</t>
  </si>
  <si>
    <t>sugar_per_serving</t>
  </si>
  <si>
    <t>sodium_per_serving</t>
  </si>
  <si>
    <t>fiber_per_serving</t>
  </si>
  <si>
    <t>cholesterol_per_serving</t>
  </si>
  <si>
    <t>ingredients</t>
  </si>
  <si>
    <t>e9414d5d-92b2-4066-8505-ded947ba53e5</t>
  </si>
  <si>
    <t>Stonewall Kitchen Maine Maple Syrup</t>
  </si>
  <si>
    <t>cup</t>
  </si>
  <si>
    <t>0</t>
  </si>
  <si>
    <t>100% Pure Maine Maple Syrup</t>
  </si>
  <si>
    <t>7e073271-8aa7-400f-85a6-c9d0b20a0219</t>
  </si>
  <si>
    <t>Brown Cow Greek Whole Milk Yogurt</t>
  </si>
  <si>
    <t>Culture pasteurized whole milk, pectin.</t>
  </si>
  <si>
    <t>23156c72-8ed5-437f-abe7-ef680362dcf6</t>
  </si>
  <si>
    <t>Maple Hill Creamery Plain Greek Yogurt</t>
  </si>
  <si>
    <t>Organic milk, live and active cultures.</t>
  </si>
  <si>
    <t>7a81ec94-21bd-4194-a5e2-559b738d9e5a</t>
  </si>
  <si>
    <t>Stonyfield Organic 100% Grassfed Plain Greek Yogurt</t>
  </si>
  <si>
    <t>Cultured Pasteurized Grassfed Organic Whole Milk.</t>
  </si>
  <si>
    <t>ae150fb3-7ffb-4d2f-919d-bbb5b0cd9d67</t>
  </si>
  <si>
    <t>Hikari Organic Miso Paste, White</t>
  </si>
  <si>
    <t>tbsp</t>
  </si>
  <si>
    <t>Water, organic soybeans, organic rice, salt, yeast, koji culture.</t>
  </si>
  <si>
    <t>517d1540-b9c9-4673-b8af-b72f766c0f66</t>
  </si>
  <si>
    <t>Kellogg's Special K Cereal, Protein Plus</t>
  </si>
  <si>
    <t>3/4</t>
  </si>
  <si>
    <t>Meatballs: Cooked Meatball Made with Beef and Chicken (Beef, Mechanically Separated Chicken, Water, Textured Vegetable Protein [Soy Flour, Caramel Color, Zinc Oxide, Ferrous Sulfate, Niacinamide, Calcium Pantothenate, Pyridoxine Hydrochloride, Riboflavin, Thiamin Mononitrate, Vitamin A Palmitate, Vitamin B12], Bread Crumbs [Wheat Flour, Salt, Yeast], Seasoning [Salt, Dried Onions, Flavorings, Dried Celery], Tomato Puree [Tomato Puree, Citric Acid], Parmesan Cheese [Cultured Part-Skim Milk, Salt, Enzymes], Romano Cheese from Cow's Milk [Cultured Pasteurized Part-Skim Milk, Salt, Enzymes], Salt, Sodium Phosphate). Sauce: Tomato Puree (Water, Tomato Paste), Tomatoes, Tomato Juice, Water, Onions, Canola Oil, Spices, Sugar, Garlic Puree, Modified Cornstarch, Salt, Dried Red Bell Peppers, Bleached Wheat Flour, Extra Virgin Olive Oil, Citric Acid, Calcium Chloride.</t>
  </si>
  <si>
    <t>2fa79a77-620a-4f05-ba2b-470596a04fcb</t>
  </si>
  <si>
    <t>General Mills Honey Nut Cheerios Cereal</t>
  </si>
  <si>
    <t>Whole Grain Oats, Sugar, Oat Bran, Modified Corn Starch, Honey, Brown Sugar Syrup, Salt, Tripotassium Phosphate, Canola and/or Rice Bran Oil, Natural Almond Flavor, Vitamin E (Mixed Tocopherols) Added to Preserve Freshness. Vitamins and Minerals: Calcium Carbonate, Zinc and Iron (Mineral Nutrients), Vitamin C (Sodium Ascorbate), a B Vitamin (Niacinamide), Vitamin B6 (Pyridoxine Hydrochloride), Vitamin B2 (Riboflavin), Vitamin B1 (Thiamin Mononitrate), Vitamin A (Palmitate), a B Vitamin (Folic Acid), Vitamin B12, Vitamin D3. Contains Almond Ingredients.</t>
  </si>
  <si>
    <t>ad92c748-6cbe-47cd-a9b1-470e9ef24d58</t>
  </si>
  <si>
    <t>Tandoor Chef Chicken Tandoori with Spinach</t>
  </si>
  <si>
    <t>Chicken Breast, Spinach, Tomatoes, (Tomatoes, Tomato Juice, Salt, Calcium Chloride, Citric Acid), Cream, Onions, Tomato Puree (Water, Tomato Paste, Citric Acid), Milk, Canola Oil (Expeller Pressed), Water, Yogurt (Whole Milk, Active Yogurt Culture), Spices, Sea Salt, Lemon Juice, Garlic, Vinegar, Turmeric, Oleoresin of Paprika, Bay Leaves, Citric Acid, Sodium Phosphate. CONTAINS: Milk.</t>
  </si>
  <si>
    <t>595af790-029f-4501-a37f-2a0315db2bb8</t>
  </si>
  <si>
    <t>Tandoor Chef Palak Paneer</t>
  </si>
  <si>
    <t>Spinach, Paneer (Pasteurized Whole Milk, Skim Milk, Vinegar, Salt), Onions, Tomatoes (Tomatoes, Tomato Juice, Salt), Canola Oil (Expeller Pressed), Broccoli, Cream, Water, Spices, Tomato Puree (Water, Tomato Paste), Nonfat Dry Milk, Garlic, Salt, Peppers, Chickpea Flour, Sugar, Turmeric, Ghee (Clarified Butter). CONTAINS: Milk. May contain peanuts and tree nuts.</t>
  </si>
  <si>
    <t>63069e8f-5144-40e8-ae7a-9407f88a0f24</t>
  </si>
  <si>
    <t>Tandoor Chef Channa Masala</t>
  </si>
  <si>
    <t>Onions, Tomatoes (Tomatoes, Tomato Juice, Salt, Citric Acid), Chickpeas, Water, Canola Oil, Spices, Garlic, Salt, Peppers, Cilantro, Mango Powder, Turmeric, Bay Leaves. May contain peanuts and tree nuts.</t>
  </si>
  <si>
    <t>bcddd4c6-d919-45bb-898b-ba05f710c5a3</t>
  </si>
  <si>
    <t>Talenti Cold Brew Coffee Dairy Free Frozen Sorbetto</t>
  </si>
  <si>
    <t>Water, Sugar, Egg Yolk And Whole Egg, Coconut Oil, Almonds, Dextrose, Coffee, Carob Bean Gum, Vanilla Extract.</t>
  </si>
  <si>
    <t>9a592566-5179-4b83-b19e-bbad4b252bd7</t>
  </si>
  <si>
    <t>Siggi's Icelandic-Style Skyr</t>
  </si>
  <si>
    <t>2/3</t>
  </si>
  <si>
    <t>Pasteurized Skim Milk, Live Active Cultures</t>
  </si>
  <si>
    <t>df48d7aa-8696-4de1-bd6c-0876c17a4f35</t>
  </si>
  <si>
    <t>Jeni's Darkest Chocolate Ice Cream</t>
  </si>
  <si>
    <t>Cup</t>
  </si>
  <si>
    <t>Milk, Cane Sugar, Cream, Cocoa Powder (Processed With Alkali), Tapioca Syrup, Nonfat Milk</t>
  </si>
  <si>
    <t>46e9b937-e4d1-4142-920f-8280056d0a45</t>
  </si>
  <si>
    <t>Shrooms Mushroom Crisps, Original</t>
  </si>
  <si>
    <t>cups</t>
  </si>
  <si>
    <t>Mushrooms, Brown Sugar, Soy Sauce (Water, Wheat, Soybeans, Salt), Apple Cider Vinegar, Paprika, Natural Hickory Smoke Flavor, Celery Juice Powder, Onion Powder, Ginger Powder.</t>
  </si>
  <si>
    <t>973f8f44-ab1f-430c-a3a9-f4d82b1f1020</t>
  </si>
  <si>
    <t>YolÃ©lÃ© Jollof Fonio Pilaf</t>
  </si>
  <si>
    <t>Fonio, tomato, salt. Contains 2% or less of: carrot, onion, tamarind, sunflowers oil, paprika, spices. annatto seed, garlic, turmeric, baobab leaf powder. Contains: mustard.</t>
  </si>
  <si>
    <t>717e5ecb-6c57-452a-a145-7539664090b9</t>
  </si>
  <si>
    <t>Banza Chickpea Rice</t>
  </si>
  <si>
    <t>1/4</t>
  </si>
  <si>
    <t>Chickpeas, potato starch, xanthan gum, sea salt</t>
  </si>
  <si>
    <t>ffb96d66-31c1-473d-bb8e-5a68a1b704b9</t>
  </si>
  <si>
    <t>Pole &amp; Line, Albacore Tuna in Olive Oil</t>
  </si>
  <si>
    <t>Albacore Tuna, Olive Oil, Water, Salt</t>
  </si>
  <si>
    <t>ab369bdc-743e-437d-b124-d5ed2a6c3b6f</t>
  </si>
  <si>
    <t>Maldon Sea Salt Flakes</t>
  </si>
  <si>
    <t>tsp</t>
  </si>
  <si>
    <t>Sea salt flakes with no additives</t>
  </si>
  <si>
    <t>580bf9b2-fdff-4226-8177-aee0e539392f</t>
  </si>
  <si>
    <t>Go Raw Sprouted Organic Pumpkin Seeds w/ Sea Salt</t>
  </si>
  <si>
    <t>Sprouted Pumpkin Seeds*, Celtic Sea Salt</t>
  </si>
  <si>
    <t>c03b1baf-2191-4b53-b88c-23ce057b936a</t>
  </si>
  <si>
    <t>Pasta's Daily Spicy Hot Tomato Oil</t>
  </si>
  <si>
    <t>Tomatoes (tomato, tomato puree, salt, citric acid), Pure Olive Oil, Honey, Garlic, Spiced Oil (soybean oil, spices), Salt, Chili Peppers (chili peppers, vinegar, salt, sodium benzoate). Contains: Soybeans. May contain citric acid.</t>
  </si>
  <si>
    <t>60c84e5e-7722-4195-a1d1-1fc5838a01c6</t>
  </si>
  <si>
    <t>Lao Gan Ma Spicy Chili Crisp</t>
  </si>
  <si>
    <t>Soybean oil, chili, onion, soybean, monosodium glutamate, prickly ash powder, sugar, salt, sulfur dioxide, sodium sulfite.</t>
  </si>
  <si>
    <t>1f8d9a71-23c4-493d-a491-07634ab8e03f</t>
  </si>
  <si>
    <t>Lao Gan Ma Chili Oil with Black Bean</t>
  </si>
  <si>
    <t>Soybean oil, soybean, chili, monosodium glutamate, salt, sugar, sulfur dioxide, sodium sulfite.</t>
  </si>
  <si>
    <t>31a5a07c-fd75-4923-890a-dbc6f115f564</t>
  </si>
  <si>
    <t>YolÃ©lÃ© Fonio</t>
  </si>
  <si>
    <t>37</t>
  </si>
  <si>
    <t>Premium Raw Fonio</t>
  </si>
  <si>
    <t>d9ec9ecf-62cb-4d08-94d7-7f6126eec0f9</t>
  </si>
  <si>
    <t>Fineapple Vegan Liquid Gold Cheese Sauce</t>
  </si>
  <si>
    <t>Coconut milk, Nutritional Yeast, Red bell peppers, Green bell peppers, Yellow Onions, Tomato Paste, Garlic, Vinegar, Spices, Natural flavors</t>
  </si>
  <si>
    <t>d02b2c74-fc1f-4b60-903b-93814ffd308c</t>
  </si>
  <si>
    <t>Sahale Snacks Maple Pecans Glazed Mix</t>
  </si>
  <si>
    <t>Pecans, Walnuts, Dried Cherries (Cherries, Sugar, Sunflower Oil), Dried Apples (Unsulfured Apples, Sugar), Organic Cane Sugar, Maple Sugar, Organic Tapioca Syrup, Caramelized Sugar Syrup, Brown Sugar, Sea Salt, Cinnamon, Natural Flavor.</t>
  </si>
  <si>
    <t>c08d0047-2be9-484e-9baa-b6f8f23d7b85</t>
  </si>
  <si>
    <t>SuperSeedz Gourmet Pumpkin Seeds Somewhat Spicy</t>
  </si>
  <si>
    <t>Shelled Pumpkin Seeds, Cayenne Pepper Sauce, Granulated Garlic, Granulated Onion, Cayenne, Paprika, Black Pepper, Oregano, Basil, Thyme, Rosemary, Marjoram, Sage, Unrefined Sea Salt.</t>
  </si>
  <si>
    <t>7a98e04f-ba6e-414a-929f-c9a92d81d379</t>
  </si>
  <si>
    <t>Paleonola Grain Free Granola, Original</t>
  </si>
  <si>
    <t>Almonds, Pecans, Pepitas, Honey, Walnuts, Coconut Oil, Sunflower Seeds, Flax Seeds, Sweetened Dried Cranberries (Cranberries, Apple Juice Concentrate, Sunflower Oil), Dried Coconut, Vanilla Extract, Cinnamon. CONTAINS: Pecans, Almonds, Walnuts, Coconut.</t>
  </si>
  <si>
    <t>3eb75ef3-3aae-4b3e-a863-eff31d082ab2</t>
  </si>
  <si>
    <t>Paleonola Grain Free Granola, Pina Colada</t>
  </si>
  <si>
    <t>5</t>
  </si>
  <si>
    <t>Dried Coconut, Almonds, Honey, Maple Syrup, Coconut Oil, Sunflower Seeds, Pepitas, Pecans, Flax Seeds, Dried Pineapple, Vanilla Extract. Contains Pecans, Almonds, Coconut.</t>
  </si>
  <si>
    <t>db29a86d-c76a-4a32-856a-ac134778796d</t>
  </si>
  <si>
    <t>Rao's Homemade Pizza Sauce</t>
  </si>
  <si>
    <t>2</t>
  </si>
  <si>
    <t>Italian whole peeled tomatoes, italian cherry tomatoes, olive oil, carrots, onions, salt, dried oregano, garlic, basil</t>
  </si>
  <si>
    <t>fe93964b-476c-4e6a-aaf4-4cbfc292f1ae</t>
  </si>
  <si>
    <t>Paleonola Grain Free Granola, Apple Pie</t>
  </si>
  <si>
    <t>Almonds, Pecans, Pepitas, Honey, Walnuts, Coconut Oil, Sunflower Seeds, Flax Seeds, Dried Apple, Dried Coconut, Spices, Vanilla Extract. CONTAINS: Pecans, Almonds, Walnuts, Coconut.</t>
  </si>
  <si>
    <t>39ea9078-7312-42f2-b1c6-e2aa05f4a13e</t>
  </si>
  <si>
    <t>Bob's Red Mill Paleo Muesli Cereal</t>
  </si>
  <si>
    <t>Coconut Flakes, Sunflower Seeds, Cashews, Sliced Almonds, Currants, Pumpkin Seeds, Macadamia Nuts, Cranberries (Cranberries, Pineapple Syrup, Clarified Pineapple Juice Concentrate, Sunflower Oil), Blueberries, Freeze-Dried Strawberry Pieces.</t>
  </si>
  <si>
    <t>bffb6664-ec20-41cf-a192-7273fd7a45a4</t>
  </si>
  <si>
    <t>Jacobsen Salt Co. Pure Flake Finishing Salt</t>
  </si>
  <si>
    <t>Jacobsen sea salt</t>
  </si>
  <si>
    <t>cedebd67-61f1-4554-8284-c106141a11fb</t>
  </si>
  <si>
    <t>Bobâ€™s Red Mill Hard Red Wheat Berries</t>
  </si>
  <si>
    <t>6</t>
  </si>
  <si>
    <t>Hard red spring wheat berries</t>
  </si>
  <si>
    <t>e7eb93e8-999f-4d6e-bbae-5b98d929e7e4</t>
  </si>
  <si>
    <t>Purely Elizabeth Original Granola</t>
  </si>
  <si>
    <t>Organic gluten-free oats, organic coconut palm sugar, organic raw virgin coconut oil, organic sunflower seeds, organic puffed amaranth, organic millet flakes, organic quinoa flakes, organic chia seeds, organic cinnamon, salt.</t>
  </si>
  <si>
    <t>c7876834-0305-4605-aeab-ba195e69f9ed</t>
  </si>
  <si>
    <t>Purely Elizabeth Blueberry Hemp Ancient Grain Granola</t>
  </si>
  <si>
    <t>Organic Gluten-Free Oats, Organic Coconut Sugar, Organic Raw Virgin Coconut Oil, Dried Blueberries (Blueberries, Sugar, Sunflower Oil), Organic Sunflower Seeds, Organic Puffed Amaranth, Organic Hemp Seeds, Organic Millet Flakes, Organic Quinoa Flakes, Organic Chia Seeds, Organic Cinnamon, Salt.</t>
  </si>
  <si>
    <t>20b34685-6644-4728-a3f6-ceca412b0b84</t>
  </si>
  <si>
    <t>Ba-Tampte Half Sour Pickles</t>
  </si>
  <si>
    <t>pickle</t>
  </si>
  <si>
    <t>Cucumbers, Water, Garlic, Salt, Spices, Potassium Sorbate (Preservative), Calcium Chloride.</t>
  </si>
  <si>
    <t>9f300b56-41c6-43e1-a770-21eee05cee25</t>
  </si>
  <si>
    <t>Moon Cheese White Chedda Black Peppa</t>
  </si>
  <si>
    <t>White Cheddar Cheese (Pasteurized Milk, Salt, Cheese Cultures, Enzymes), Black Pepper Seasoning (Spices, Salt, Onion, Garlic Powder, Yeast Extract, Citric Acid, Silicon Dioxide).</t>
  </si>
  <si>
    <t>fc9e035e-af39-4c38-a805-cf9c3a8533cd</t>
  </si>
  <si>
    <t>Purely Elizabeth Coconut Cashew Grain-Free Granola</t>
  </si>
  <si>
    <t>Organic sunflower seeds, cashews, organic pumpkin seeds, organic coconut palm sugar, organic raw virgin coconut oil, organic coconut flakes, almond flour, organic chia seeds, cashew butter, organic hemp seeds, vanilla extract, organic cinnamon, sea salt.</t>
  </si>
  <si>
    <t>f8aa9671-0d16-4b48-b90d-32dc5cd7415b</t>
  </si>
  <si>
    <t>Purely Elizabeth Chocolate Sea Salt Probiotic Granola</t>
  </si>
  <si>
    <t>1/3</t>
  </si>
  <si>
    <t>Organic Gluten-Free Oats, Organic Coconut Palm Sugar, Organic Raw Virgin Coconut Oil, Organic Fair Trade Dark Chocolate Chunks (Organic Cane Sugar, Organic Chocolate Liquor, Organic Cocoa Butter, Organic Vanilla Extract), Sunflower Seeds, Organic Puffed Amaranth, Cacao Powder, Organic Quinoa Flakes, Organic Millet Flakes, Organic Chia Seeds, Cinnamon, Sea Salt, Probiotic Cultures (Organic Inulin, Palm Oil, Bacillus Coagulans GBI-30 6086)</t>
  </si>
  <si>
    <t>9302bc5c-2f95-4651-bfa0-478ea7463698</t>
  </si>
  <si>
    <t>Bob's Red Mill Paleo Pancake &amp; Waffle Mix</t>
  </si>
  <si>
    <t>Almond flour, arrowroot starch, organic coconut flour, organic coconut sugar, sea salt, cream of tartar, baking soda.</t>
  </si>
  <si>
    <t>0d2aa021-72b9-4206-8a88-33a3e2ec2740</t>
  </si>
  <si>
    <t>Green Giant Broccoli &amp; Cheese Mashed Cauliflower</t>
  </si>
  <si>
    <t>Cauliflower, Broccoli, Milk, Water, Roasted Garlic, Butter (Cream, Salt), Modified Rice Starch, White Cheddar Cheese (Milk, Cultures, Salt, Enzymes), Sea Salt, White Pepper. CONTAINS: Milk.</t>
  </si>
  <si>
    <t>b470072e-64b2-43e7-9f4e-5a5398c48e9f</t>
  </si>
  <si>
    <t>Muir Glen Organic San Marzano-Style Whole Peeled Tomatoes</t>
  </si>
  <si>
    <t>1/2</t>
  </si>
  <si>
    <t>Organic tomatoes, organic tomato juice, citric acid, sea salt, calcium chloride</t>
  </si>
  <si>
    <t>fc3d1d20-e9f0-4885-a482-4054d2e0f385</t>
  </si>
  <si>
    <t>Cento San Marzano Certified Peeled Tomatoes with Basil Leaf</t>
  </si>
  <si>
    <t>San Marzano Whole Peeled Tomatoes, San Marzano Puree, Basil Leaf, Naturally Derived Citric Acid And Salt.</t>
  </si>
  <si>
    <t>1de4caf9-a4b1-492d-98ed-d475269a4d8e</t>
  </si>
  <si>
    <t>Kodiak Cakes Protein Packed Buttermilk Flapjack &amp; Waffle Mix</t>
  </si>
  <si>
    <t>100% whole grain wheat flour, 100% whole grain oat flour, Power Cakes Protein Blend (wheat protein isolate, whey protein isolate, milk protein isolate, egg whites), non-fat sweet cream buttermilk powder, brown sugar, leavening (monocalcium phosphate, sodium bicarbonate), sea salt.</t>
  </si>
  <si>
    <t>95c8ec38-fb54-4b07-bbac-1c6022f60edf</t>
  </si>
  <si>
    <t>Zoup! Veggie Broth</t>
  </si>
  <si>
    <t>Water, Vegan Broth, Natural Flavor, Yeast Extract, Sea Salt</t>
  </si>
  <si>
    <t>60ebf075-6625-44ee-b9fd-d92bef1ea392</t>
  </si>
  <si>
    <t>Maya Kaimal Tikka Masala</t>
  </si>
  <si>
    <t>Water, *Tomato Paste (Fresh Vine-Ripened Tomatoes), Milk, Buttermilk (Cultured Lowfat Milk, Vitamin A Palmitate, Vitamin D3), Cream, *Safflower Oil, *Ginger, Unsalted Butter (Cream, Natural Flavor), *Spices (including *Paprika), *Garlic, *Evaporated Cane Sugar, Sea Salt, *Lemon Juice Concentrate, *Cilantro, *Serrano Chili, *Organic Tapioca Starch, *Fenugreek Leaves. *Non-GMO Ingredients</t>
  </si>
  <si>
    <t>6c5a968c-6bd8-44df-8405-8a9ae717da92</t>
  </si>
  <si>
    <t>Stouffer's Spinach Souffle</t>
  </si>
  <si>
    <t>150</t>
  </si>
  <si>
    <t>9</t>
  </si>
  <si>
    <t>10</t>
  </si>
  <si>
    <t>4</t>
  </si>
  <si>
    <t>390</t>
  </si>
  <si>
    <t>1</t>
  </si>
  <si>
    <t>110</t>
  </si>
  <si>
    <t>Spinach, Skim Milk, Eggs, Water, Soybean Oil, Modified Tapioca Starch, 2% or Less of Bleached Wheat Flour, Sugar, Salt, Spice.</t>
  </si>
  <si>
    <t>6ed30022-ee6a-4016-ae2a-932a74eaa0dc</t>
  </si>
  <si>
    <t>Pipcorn Heirloom Popcorn, Vegan Caramel</t>
  </si>
  <si>
    <t>Non-GMO Popcorn, Brown Sugar, Coconut Oil, Non-GMO Dextrose, Cane Sugar, Sea Salt, Sunflower oil, Baking Soda, Sunflower Lecithan</t>
  </si>
  <si>
    <t>c8e30f49-200f-4c5b-be79-f8632f41c650</t>
  </si>
  <si>
    <t>Glory Foods Seasoned Southern Style Collard Greens</t>
  </si>
  <si>
    <t>Collards Greens, Water, less than 2% of Sugar, Salt, Hydrolyzed Soy Protein, Dried Onion, Spice, Natural Flavor, Dried Red Bell Pepper, Bacon Fat, Sodium Diacetate for Vinegar Flavor, Natural Smoke Flavor, Garlic Powder, Caramel Color, Pork Broth, Country Ham Broth, Brown Sugar, Pork, Yeast Extract.</t>
  </si>
  <si>
    <t>11b870fd-2602-4100-bfea-0d070ab133b6</t>
  </si>
  <si>
    <t>Halo Top Ice Cream, Vanilla Bean</t>
  </si>
  <si>
    <t>Skim Milk, Eggs, Erythritol, Prebiotic Fiber, Milk Protein Concentrate, Cream, Organic Cane Sugar, Vegetable Glycerin, Natural Flavor, Sea Salt, Vanilla Beans, Organic Carob Gum, Organic Guar Gum, Organic Stevia Leaf Extract.</t>
  </si>
  <si>
    <t>72b7a76e-5f0f-4f17-8f12-2cc9efe303a0</t>
  </si>
  <si>
    <t>Rao's Homemade Marinara Sauce</t>
  </si>
  <si>
    <t>Imported Italian Tomatoes, Imported Olive Oil, Fresh Onions, Salt, Fresh Garlic, Fresh Basil, Black Pepper, Oregano.</t>
  </si>
  <si>
    <t>d333f60e-5e3a-4b4a-9cb1-c257e9ec7ee6</t>
  </si>
  <si>
    <t>Bear Naked Granola, Honey Almond Protein</t>
  </si>
  <si>
    <t>11</t>
  </si>
  <si>
    <t>Whole grain oats, honey, roasted soybeans, expeller pressed canola oil, almonds, soy crisps (soy protein isolate, rice starch), ground flax seeds, soy protein isolate, natural flavor.</t>
  </si>
  <si>
    <t>45e66528-0415-4edd-a5b7-e8d9c2ffdf41</t>
  </si>
  <si>
    <t>Nutritious Living Hi-Lo Cereal, Vanilla Almond</t>
  </si>
  <si>
    <t>Soy grits, wheat gluten, soy protein isolate, corn bran, rice flour, corn meal, polydextrose, corn starch, maltodextrin, canola oil, sliced natural almonds. natural flavor, salt, caramel color, vitamin E (mixed tocopherols) as natural antioxidants, sucralose. CONTAINS: Soy and almond ingredients. May contain other tree nuts.</t>
  </si>
  <si>
    <t>a50b26c4-a2c0-4362-8c8f-eb138fcc2a70</t>
  </si>
  <si>
    <t>Ezekiel 4:9 Food for Life Sprouted Grain English Muffins</t>
  </si>
  <si>
    <t>muffin</t>
  </si>
  <si>
    <t>15</t>
  </si>
  <si>
    <t>Organic Sprouted Wheat, Organic Sprouted Barley, Organic Sprouted Millet, Organic Malted Barley, Organic Sprouted Lentils, Organic Sprouted Soybeans, Organic Sprouted Spelt, Filtered Water, Fresh Yeast, Organic Wheat Gluten, Sea Salt.</t>
  </si>
  <si>
    <t>922dbc9c-33a2-49bb-b7e6-c9c44d5a9eef</t>
  </si>
  <si>
    <t>4505 Meats Green Chili Lime Cracklins</t>
  </si>
  <si>
    <t>oz</t>
  </si>
  <si>
    <t>Pork Cracklings, Sea Salt, Inactive Yeast, Green Chili Powder, Habanero Powder, Lime Oil, Fried in Rendered Pork Fat.</t>
  </si>
  <si>
    <t>b0150581-0c72-4237-bb38-4b2aba0754bb</t>
  </si>
  <si>
    <t>Catalina Crunch Dark Chocolate Artisan Cereal</t>
  </si>
  <si>
    <t>Catalina Flour (Organic Pea Protein, Potato Fiber, Non-GMO Corn Fiber, Chicory Fiber, Acacia Fiber, Guar Gum, Turmeric, Tapioca, Organic Sunflower Oil, Cocoa, Baking Powder, Natural Flavors, Sea Salt, Calcium Carbonate, Vitamin E, Organic Monk Fruit</t>
  </si>
  <si>
    <t>ba556f9e-a133-43ac-91cd-780bd70589a4</t>
  </si>
  <si>
    <t>Trader Giotto's Oven-Baked Cheese Snacks</t>
  </si>
  <si>
    <t>package</t>
  </si>
  <si>
    <t>Semi Aged Cheese (Milk, Salt, Vegetable Rennet), Grana Padano Cheese (Milk, Salt, Egg Lysozyme, Animal Rennet)</t>
  </si>
  <si>
    <t>592838f1-c8ea-41cd-90fd-a3ef28ba8da8</t>
  </si>
  <si>
    <t>Ezekiel 4:9 Food for Life English Muffins</t>
  </si>
  <si>
    <t>af98876e-2799-4dfb-b4a4-12584a7569c4</t>
  </si>
  <si>
    <t>Olio Santo Olive Oil</t>
  </si>
  <si>
    <t>-</t>
  </si>
  <si>
    <t>100% extra-virgin olive oil.</t>
  </si>
  <si>
    <t>79a68e78-1ac0-4016-a35a-d1e20921b7ab</t>
  </si>
  <si>
    <t>KeVita Sparkling Probiotic Drinks, Mojita, Lime Mint Coconut</t>
  </si>
  <si>
    <t>ml</t>
  </si>
  <si>
    <t>Sparkling Water, Water Kefir Culture* (Water, Lactic Acid, Kefir Culture, Natural Flavor), Coconut Water Concentrate*, Apple Cider Vinegar*, Lactic Acid, Coconut Flavor*, Mojito Flavor, Bacillus Coagulans GBI-30 6086, Lime Extract*, Vanilla Extract*, Stevia Leaf Extract*, Lactobacillus Plantarum.</t>
  </si>
  <si>
    <t>f749ec78-38ce-465b-89b4-c1cc5b2efeed</t>
  </si>
  <si>
    <t>Har Bracha Tahini Paste</t>
  </si>
  <si>
    <t>g</t>
  </si>
  <si>
    <t>Ethiopian sesame seeds</t>
  </si>
  <si>
    <t>8b8ae107-1a56-447d-b2c8-91fab0ec92a4</t>
  </si>
  <si>
    <t>Stouffer's Italian-Style Meatballs &amp; Zesty Marinara</t>
  </si>
  <si>
    <t>Meatballs: Cooked Meatball Made with Beef and Chicken (Beef, Mechanically Separated Chicken, Water, Textured Vegetable Protein [Soy Flour, Caramel Color, Zinc Oxide, Ferrous Sulfate, Niacinamide, Calcium Pantothenate, Pyridoxine Hydrochloride, Riboflavin, Thiamin Mononitrate, Vitamin A Palmitate, Vitamin B12], Bread Crumbs [Wheat Flour, Salt, Yeast], Seasoning [Salt, Dried Onions, Flavorings, Dried Celery], Tomato Puree [Tomato Puree, Citric Acid], Parmesan Cheese [Cultured Part-Skim Milk, Salt, Enzymes], Romano Cheese From Cow's Milk [Cultured Pasteurized Part-Skim Milk, Salt, Enzymes], Salt, Sodium Phosphate). Sauce: Tomato Puree (Water, Tomato Paste), Tomatoes, Tomato Juice, Water, Onions, Canola Oil, Spices, Sugar, Garlic Puree, Modified Cornstarch, Salt, Dried Red Bell Peppers, Bleached Wheat Flour, Extra Virgin Olive Oil, Citric Acid, Calcium Chloride.</t>
  </si>
  <si>
    <t>d8b56c18-328e-48fe-afe8-4f318d4642c6</t>
  </si>
  <si>
    <t>The Jackfruit Company Smoked Jackfruit</t>
  </si>
  <si>
    <t>Young Jackfruit, Water, Expeller Pressed Canola Oil, Pea Protein, Sea Salt, Yeast, Smoked Sugar, Onion Powder, Garlic Powder, Black Pepper.</t>
  </si>
  <si>
    <t>faee2575-2187-4f16-a86e-fe019cb6876e</t>
  </si>
  <si>
    <t>Bohana Wild White Cheddar Popped Lily Seeds</t>
  </si>
  <si>
    <t>pieces</t>
  </si>
  <si>
    <t>Water Lily Seeds (Phool Makhana), Sunflower Oil, Seasoning (Cheddar Cheese [Cultured Milk, Salt, Enzymes], Whey, Salt, Buttermilk, Natural Flavor, Lactic Acid)</t>
  </si>
  <si>
    <t>b127183a-b1ba-45a4-b9fe-000e4d2d5873</t>
  </si>
  <si>
    <t>Bohana Soulful Spice Popped Water Lily Seeds</t>
  </si>
  <si>
    <t>Water Lily Seeds (Phool Makhana), Sunflower Oil, Spice Seasoning (Spices [Red Pepper, Chili Pepper], Sugar, Salt, Vinegar Powder [Maltodextrin, White Distilled Vinegar], Granulated Garlic, Extractive of Paprika)</t>
  </si>
  <si>
    <t>0657e826-652c-4329-9a8b-aaa2733b3742</t>
  </si>
  <si>
    <t>Bohana Popped Water Lily Seeds, Soulful Spice</t>
  </si>
  <si>
    <t>36e95c99-90a3-4d26-9c82-6c7a5d90aaf9</t>
  </si>
  <si>
    <t>Bohana Popped Water Lily Seeds, Wild White Cheddar</t>
  </si>
  <si>
    <t>0f7d05be-d8f8-4aca-a714-fea466a513ba</t>
  </si>
  <si>
    <t>Seedlip, Grove 42, Citrus</t>
  </si>
  <si>
    <t>Water, Natural Botanical Distillates and Extracts (15%), Preservative: Potassium Sorbate, Acid: Citric Acid</t>
  </si>
  <si>
    <t>e2a22bb0-427e-4316-a904-b40a676d16e4</t>
  </si>
  <si>
    <t>Seedlip, Spice 94</t>
  </si>
  <si>
    <t>Water, Natural Botanical Distillates and Extracts (15%), Acid: Citric Acid</t>
  </si>
  <si>
    <t>741f42a2-ed88-4a09-95c8-0c5ecb4278e1</t>
  </si>
  <si>
    <t>Seedlip, Garden 108, Leaf Herb Pod</t>
  </si>
  <si>
    <t>ecc9663b-c978-411a-bea5-8b93ed86cce8</t>
  </si>
  <si>
    <t>Cheddar Folios Cheese Wraps</t>
  </si>
  <si>
    <t>PASTEURIZED MILK, SALT, ENZYMES, ANNATTO COLORING</t>
  </si>
  <si>
    <t>6276a18e-a75c-4501-b1cc-5a8a9ba4f609</t>
  </si>
  <si>
    <t>Notty Lemonberry White Protein Chocolate</t>
  </si>
  <si>
    <t>Cocoa Butter, Whey Protein Concentrate (Milk), Inulin (Fiber), Erythritol (Natural Sweetener), Whole Milk Powder, Freeze Dried Strawberries, Sunflower Lecithin, Natural Flavors, Stevia Leaf Extract.</t>
  </si>
  <si>
    <t>89806b79-72a9-47b2-9bb9-f2aad9052b2e</t>
  </si>
  <si>
    <t>Notty Cold Brew Dark Protein Chocolate</t>
  </si>
  <si>
    <t>Cocoa Mass, Whey Protein Concentrate (Milk), Cocoa Butter, Cocoa Powder, Inulin (Fiber), Erythritol (Natural Sweetener), Whole Milk Powder, Sunflower Lecithin, Espresso Beans, Stevia Leaf Extract, Natural Flavor</t>
  </si>
  <si>
    <t>c4b67635-c7a7-4d6b-93ac-6d832a7757bf</t>
  </si>
  <si>
    <t>Valrhona Le Noir Amer 71% Cacao Dark Chocolate</t>
  </si>
  <si>
    <t>Cocoa Beans, Sugar, Cocoa Butter, Emulsifier (Soya Lecithin), Natural Vanilla Extract, Milk</t>
  </si>
  <si>
    <t>dee12cdc-75fa-4280-8021-3032d7828c25</t>
  </si>
  <si>
    <t>From The Ground Up Crackers, Cauliflower Pretzels, Original</t>
  </si>
  <si>
    <t>sticks</t>
  </si>
  <si>
    <t>Cassava flour, cauliflower, non-gmo corn starch, non-gmo expeller pressed canola oil, cane sugar syrup, yeast, salt, vegetable blend powder (spinach, broccoli, carrots, tomatoes, beets, shiitake mushrooms).</t>
  </si>
  <si>
    <t>ccc2ac9c-c20c-434a-848d-b399adfc2a92</t>
  </si>
  <si>
    <t>Justin's Maple Almond Butter</t>
  </si>
  <si>
    <t>Dry Roasted Almonds, Organic Maple Sugar, Palm Oil, Sea Salt. Contains almonds. Produced on equipment that also processes tree nuts, peanuts, and soy.</t>
  </si>
  <si>
    <t>cfef3e6b-31f4-465b-9d93-3076973b7c33</t>
  </si>
  <si>
    <t>Divine Organics Organic Pili Nuts With Turmeric</t>
  </si>
  <si>
    <t>Organic raw pili nuts, tumeric, black pepper, ginger, and garlic.</t>
  </si>
  <si>
    <t>ec1c4717-f1ab-4004-bfb2-50a7f2e1d43c</t>
  </si>
  <si>
    <t>BjornQorn Sun-Popped Popcorn, Classic</t>
  </si>
  <si>
    <t>Popcorn, safflower oil, nutrional yeast, salt</t>
  </si>
  <si>
    <t>4f56f707-4af1-457e-967f-f0c8c9c738c2</t>
  </si>
  <si>
    <t>Citterio Fresco Genoa Salame &amp; Provolone Cheese</t>
  </si>
  <si>
    <t>Genoa Salame: Pork, Salt, Dextrose, Natural Spices, Lactic Acid Starter Culture, Sodium Erythorbate, Potassium Nitrate, Garlic, Sodium Nitrite. Provolone Cheese: Cultured Pasteurized Milk, Enzymes, Salt.</t>
  </si>
  <si>
    <t>ce3879cf-3d1e-46a0-8b97-c7969e5d81cc</t>
  </si>
  <si>
    <t>Lesser Evil Paleo Puffs "No Cheese" Cheesiness</t>
  </si>
  <si>
    <t>Organic Cassava Flour, Organic Coconut Oil, Organic Tapioca Starch, Organic Tapioca Native Starch, Organic Coconut Flour, Organic Tapioca Solids, Himalayan Crystal Salt, Organic Sweet Potato Powder, Organic Nutritional Yeast, Organic Flavor Yeast Extract, Organic Garlic Powder, Organic Onion Powder, Lactic Acid, Organic Ground Mustard, Organic Spices.</t>
  </si>
  <si>
    <t>f48ffd13-b1d7-4bb2-a2e5-4f418fe2f681</t>
  </si>
  <si>
    <t>Brami Lupini Snack with Chili &amp; Lime</t>
  </si>
  <si>
    <t>beans</t>
  </si>
  <si>
    <t>Water, Lupini Beans, Sea Salt, Organic White Distilled Vinegar, Lime Juice from Concentrate, Chili Peppers, Spices.</t>
  </si>
  <si>
    <t>170a99cc-3738-43fc-bc4a-2a533f73883b</t>
  </si>
  <si>
    <t>Brami Sea Salt Lupini Snack</t>
  </si>
  <si>
    <t>Water, Lupini Beans, Sea Salt, Organic Vinegar, Garlic, Rosemary, Lactic Acid (from vegetable fermentation).</t>
  </si>
  <si>
    <t>ca664d76-e5eb-4525-a30a-7f9b96c1eb73</t>
  </si>
  <si>
    <t>Brami Garlic &amp; Herb Lupini Snack</t>
  </si>
  <si>
    <t>7</t>
  </si>
  <si>
    <t>eece1d73-581d-48cb-935c-50b24bdd94ee</t>
  </si>
  <si>
    <t>Brami Lupini Snack w/ Chili &amp; Lime</t>
  </si>
  <si>
    <t>25</t>
  </si>
  <si>
    <t>2c31953d-f667-4360-a8f7-14708aadec7f</t>
  </si>
  <si>
    <t>Cello Whisps Asiago &amp; Pepper Jack Cheese Crisps</t>
  </si>
  <si>
    <t>crisps</t>
  </si>
  <si>
    <t>Asiago Cheese (Pasteurized Cow's Milk, Cheese Cultures, Salt, Enzymes), Pepper Jack Cheese (Pasteurized Part-Skimmed Cow's Milk, Cheese Cultures, Peppers, Chipotles [Smoked Jalapenos] Salt, Enzymes).</t>
  </si>
  <si>
    <t>4f53316d-7f77-40a8-9111-e9717912f4c0</t>
  </si>
  <si>
    <t>Drizzilicious Crunchy Drizzle Bites Cinnamon Swirl</t>
  </si>
  <si>
    <t>Cake (white rice flour, tapioca starch, whole grain yellow corn flour, corn starch, cane sugar, flax, whole quinoa, cinnamon, chia), flavored coating (sugar, palm kernel oil, natural flavors), sugar, cinnamon, sunflower oil.</t>
  </si>
  <si>
    <t>61cd4d52-b647-4e92-8537-1f3a34ba7e27</t>
  </si>
  <si>
    <t>Dona Masala Chai Concentrate</t>
  </si>
  <si>
    <t>fl oz</t>
  </si>
  <si>
    <t>Purified water, sugar, ginger, cinnamon, green cardamom, organic black tea, molasses, black pepper, cloves, citric acid.</t>
  </si>
  <si>
    <t>a2f35abb-af1e-4c4f-b18f-5e2ed45c02ad</t>
  </si>
  <si>
    <t>Dona Turmeric Concentrate</t>
  </si>
  <si>
    <t>Purified Water, Sugar, Ginger, Turmeric, Pink Peppercorn, Allspice, Lemongrass, Black Pepper, Citric Acid.Produced in a facility that processes nuts. Pink peppercorns are a member of the cashew family. May cause allergic reaction.</t>
  </si>
  <si>
    <t>4520da67-383c-43f9-9f96-b19e2519c2b9</t>
  </si>
  <si>
    <t>Squid Fish Sauce</t>
  </si>
  <si>
    <t>Anchovy, salt, sugar.</t>
  </si>
  <si>
    <t>08049a89-323a-4754-9aa0-5c2a03ba9872</t>
  </si>
  <si>
    <t>Trader Joe's Restaurant Style White Corn Tortilla Chips</t>
  </si>
  <si>
    <t>chips</t>
  </si>
  <si>
    <t>Tortillas (water, whole corn, white corn flour, lime), vegetable oil (sunflower oil, safflower oil, canola oil), sea salt and lime seasoning (sea salt, maltodextrin, citric acid, lime juice concentrate, natural flavor).</t>
  </si>
  <si>
    <t>8075e93a-bfdd-4884-9645-2df4623472b7</t>
  </si>
  <si>
    <t>Mary's Gone Crackers Original Crackers, 6.5 OZ</t>
  </si>
  <si>
    <t>crackers</t>
  </si>
  <si>
    <t>Organic whole grain brown rice, organic whole grain quinoa, organic brown flax seeds, organic brown sesame seeds, filtered water, sea salt, organic wheat-free tamari (water, organic whole soybeans, salt, organic vinegar). Contains soy.</t>
  </si>
  <si>
    <t>554f5ff1-7045-4a5f-8105-8a9581d8d257</t>
  </si>
  <si>
    <t>Hippie Snacks Avocado Crisps, Guacamole</t>
  </si>
  <si>
    <t>Avocado, Coconut Milk, Pumpkin Seeds, Vinegar, Sunflower Seeds, Tomato Juice, Brown Rice Flour, Flax Seeds, Tapioca Starch, Water, Onion Powder, Sea Salt, Lime Juice, Black Pepper, Cayenne Pepper</t>
  </si>
  <si>
    <t>ad5542ed-17eb-4929-8abb-0feb16462789</t>
  </si>
  <si>
    <t>ParmCrisps Pizza Real Cheese Crisps</t>
  </si>
  <si>
    <t>Aged Parmesan Cheese (Part Skim Milk, Cheese Cultures, Salt &amp; Non-animal Rennet), Mozzarella Cheese (Pasteurized Milk, Vinegar, Enzymes, Salt), Quinoa Flour, Uncured Turkey Pepperoni (Turkey, Sea Salt, Turbinado Sugar, Water, Spices, Cultured Celery Powder, Granulated Garlic, Cherry Powder, Lactic Acid Starter Culture (not from milk), Rosemary Extract, Oleoresin of Paprika, Lime Juice Concentrate), Seasonings (Maltodextrin, Tomato Powder, Salt, Onion Powder, Garlic Powder, Spices, Natural Flavors, Lactic Acid, Citric Acid), Red Pepper Flakes.</t>
  </si>
  <si>
    <t>3b3f7071-8a5c-4780-993f-6188ce38889d</t>
  </si>
  <si>
    <t>Trader Joe's Parsnip Chips</t>
  </si>
  <si>
    <t>Parsnips, sunflower oil and/or canola oil, sea salt.</t>
  </si>
  <si>
    <t>817ee433-8604-48a2-853b-43ae88c85b32</t>
  </si>
  <si>
    <t>Topo-Chico Sparkling Mineral Water</t>
  </si>
  <si>
    <t>Mineral water and carbon dioxide.</t>
  </si>
  <si>
    <t>aeae25e0-3fb0-40ff-99b2-1c54e055509c</t>
  </si>
  <si>
    <t>Wilde Chicken &amp; Waffle Chicken Chips</t>
  </si>
  <si>
    <t>Chicken chips (natural chicken, tapioca flour, coconut oil, black pepper, garlic powder), seasoning blend (pure maple sugar, tapioca starch, sea salt, natural flavor, cinnamon)</t>
  </si>
  <si>
    <t>a5db9b33-df56-48b7-b4e9-1c5048d3972d</t>
  </si>
  <si>
    <t>Beanfields Bean Chips, Pico de Gallo</t>
  </si>
  <si>
    <t>Black Beans, Navy Beans, Brown Rice, Safflower or Sunflower Oil, Seasoning Blend (Tomato Powder, Sea Salt, Torula Yeast, Onion Powder, Spices, Tapioca Maltodextrin, Yeast Extract, Dehydrated Green Bell Pepper, Garlic Powder, Dehydrated Parsley, Extractives of Paprika, Safflower Oil, Natural Smoke Flavor, Dehydrated Cilantro, Spice Extractive).</t>
  </si>
  <si>
    <t>f6b9df05-c4a0-4119-a056-db21fbf2afc3</t>
  </si>
  <si>
    <t>Pipcorn Corn Dippers, Sea Salt</t>
  </si>
  <si>
    <t>Stone Ground Heirloom Corn, Sunflower Oil, Sea Salt</t>
  </si>
  <si>
    <t>221c89c8-733f-43ca-9cbc-145fd67b11bb</t>
  </si>
  <si>
    <t>Late July Snacks Chia &amp; Quinoa Tortilla Chips</t>
  </si>
  <si>
    <t>Organic Whole Ground Corn, Organic Sunflower Oil and/or Organic Safflower Oil, Organic Chia Seeds, Organic Quinoa, Sea Salt</t>
  </si>
  <si>
    <t>fb48d998-3588-40d0-8af0-6ab8cd38fbd1</t>
  </si>
  <si>
    <t>Doctor in the Kitchen Flackers Organic Flax Seed Crackers - Sea Salt</t>
  </si>
  <si>
    <t>Organic Flax Seeds, Organic Apple Cider Vinegar, Sea Salt</t>
  </si>
  <si>
    <t>8cc27226-8a7b-4b51-ba96-766fcec43c44</t>
  </si>
  <si>
    <t>Egunsi Foods - OBE ATA SOUP (WEST AFRICAN TOMATO SOUP)</t>
  </si>
  <si>
    <t>8.6</t>
  </si>
  <si>
    <t>Water, Tomato, Red Pepper, Onion, Non-GMO Expeller Pressed Canola Oil, Vegetable Base (Onion, Carrot, Celery, Mushroom, Corn, Water, Non-GMO Expeller Pressed Canola Oil, Tomato Paste, Spices, Sea Salt, Garlic, Smoked Paprika), Organic Lemon Juice, Sea Salt, Habanero Pepper</t>
  </si>
  <si>
    <t>33d0901e-ca97-41e2-b609-1d537e7d2242</t>
  </si>
  <si>
    <t>Egunsi Foods - EGUNSI SOUP (MELON EGUSI SOUP)</t>
  </si>
  <si>
    <t>Water, Tomato, Red Pepper, Onion, Vegetable Base (Onion, Carrot, Celery, Mushroom, Corn, Water, Non-GMO Expeller Pressed Canola Oil, Tomato Paste, Spices, Sea Salt, Garlic, Smoked Paprika), Egusi Seed, Collard Green, Non-GMO Expeller Pressed Canola Oil, Organic Lemon Juice, Palm Oil , Organic Cane Sugar, Sea Salt, Habanero Pepper</t>
  </si>
  <si>
    <t>b4b30a3b-67b7-4a6a-976b-7e7e633a8edb</t>
  </si>
  <si>
    <t>Egunsi Foods - GBEGIRI SOUP (BLACK-EYED PEA SOUP)</t>
  </si>
  <si>
    <t>Brown-Eyed Pea, Water, Onion, Vegetable Base (Onion, Carrot, Celery, Mushroom, Corn, Water, Non-GMO Expeller Pressed Canola Oil, Tomato Paste, Spices, Sea Salt, Garlic, Smoked Paprika), Non-GMO Expeller Pressed Canola Oil, Palm Oil, Sea Salt, Habanero Pepper</t>
  </si>
  <si>
    <t>88955bfa-7f96-4c1f-b363-94b018f8b003</t>
  </si>
  <si>
    <t>Whole Foods365 Everyday Value Coconut Water</t>
  </si>
  <si>
    <t>100% Coconut Juice. Contains Tree Nut (Coconut) Ingredients. Produced in a Facility that processes milk and soy.</t>
  </si>
  <si>
    <t>f753c088-9069-4cd8-9472-551688fa2f39</t>
  </si>
  <si>
    <t>Me &amp; The Bees Lemonade, with Mint</t>
  </si>
  <si>
    <t>FILTERED WATER, HONEY, LEMON JUICE CONCENTRATE, CANE SUGAR,ORGANIC SPERAMINT FLAVOR, MONK FRUIT EXTRACT, FLAXSEED</t>
  </si>
  <si>
    <t>9ceace6a-665f-48e8-93b6-4041d7f41773</t>
  </si>
  <si>
    <t>Me &amp; The Bees Lemonade, with Ginger</t>
  </si>
  <si>
    <t>FILTERED WATER, CANE SUGAR, GINGER JUICE, LEMON JUICE CONCENTRATE, HONEY, PECTIN, MONK FRUIT EXTRACT, FLAXSEED</t>
  </si>
  <si>
    <t>30b69aef-bca8-45f4-b711-3ee89997f14b</t>
  </si>
  <si>
    <t>Me &amp; The Bees Lemonade, with Iced Tea</t>
  </si>
  <si>
    <t>FILTERED WATER, HONEY, CANE SUGAR, LEMON JUICE CONCENTRATE, BLACK TEA, MONK FRUIT EXTRACT, FLAXSEED.</t>
  </si>
  <si>
    <t>78b5d926-f07b-4e72-806a-95198dd261a1</t>
  </si>
  <si>
    <t>Me &amp; The Bees Lemonade, with Prickly Pear</t>
  </si>
  <si>
    <t>FILTERED WATER, HONEY, PRICKLY PEAR SYRUP, CANE SUGAR, LEMON JUICE CONCENTRATE, NATURAL COLOR, MONK FRUIT EXTRACT, FLAXSEED</t>
  </si>
  <si>
    <t>73b3c255-e184-4363-8daa-aca2fb445997</t>
  </si>
  <si>
    <t>Me &amp; The Bees Classic Lemonade</t>
  </si>
  <si>
    <t>FILTERED WATER, HONEY, CANE SUGAR, LEMON JUICE CONCENTRATE, MONK FRUIT EXTRACT, FLAXSEED</t>
  </si>
  <si>
    <t>fe8eae36-2d13-4442-9671-1912271a6c73</t>
  </si>
  <si>
    <t>Bai Antioxidant Infusion Malawi Mango</t>
  </si>
  <si>
    <t>Filtered Water, BaiÂ® Proprietary Sweetener Blendâ„¢ (Erythritol, Stevia Leaf Extract), Mango Juice Concentrate, Natural Flavors, Citric Acid, Coffeefruit Extract, White Tea Extract, Malic Acid, Beta Carotene (For Color), Vitamin C (Ascorbic Acid), Sodium Citrate.</t>
  </si>
  <si>
    <t>05dbb883-d4dd-43ee-8ee1-e8133eba2b4a</t>
  </si>
  <si>
    <t>Bai Antioxidant Infusion Panama Peach</t>
  </si>
  <si>
    <t>Filtered Water, Bai Proprietary Sweetener Blend (Erythritol, Stevia Leaf Extract), Peach Juice Concentrate, Natural Flavors, Citric Acid, Fruit And Vegetable Juice (For Color), Coffeefruit Extract, White Tea Extract, Vitamin C (Ascorbic Acid), Sodium Citrate</t>
  </si>
  <si>
    <t>d2572387-973f-48d7-8f3f-8e01e3a1f3bc</t>
  </si>
  <si>
    <t>Bai Antioxidant Infusion Costa Rica Clementine</t>
  </si>
  <si>
    <t>Filtered Carbonated Water, Bai Proprietary Sweetener Blend (Erythritol, Stevia Extract), Orange Juice Concentrate, Natural Flavors, Citric Acid, Coffeefruit Extract, Beta Carotene and Vegetable Juice (For Color), White Tea Extract, Ascorbic Acid, Malic Acid, Sodium Citrate.</t>
  </si>
  <si>
    <t>70b4f651-224d-4425-9647-b5d4e49159c5</t>
  </si>
  <si>
    <t>Whole Foods 365 Everyday Value Coconut Water</t>
  </si>
  <si>
    <t>14</t>
  </si>
  <si>
    <t>63360c46-a671-454f-9231-288c69584508</t>
  </si>
  <si>
    <t>Yogi Soothing Caramel BedtimeTea</t>
  </si>
  <si>
    <t>Organic Caramel Flavor, Natural Vanilla Flavor, Cinnamon Bark Oil, Cardamom Seed Oil, Ginger Root Oil.</t>
  </si>
  <si>
    <t>dc27497e-8b2e-4b05-9005-ca3dc07912f1</t>
  </si>
  <si>
    <t>Malk Organics, Unsweetened Cashew Milk</t>
  </si>
  <si>
    <t>Filtered Water, Organic Sprouted Cashews, Himalayan Salt</t>
  </si>
  <si>
    <t>c8a045ba-f809-4798-91c8-926d5cfb8e05</t>
  </si>
  <si>
    <t>Tazo Dessert Delights Tea Bags, Glazed Lemon Loaf</t>
  </si>
  <si>
    <t>APPLE, NATURAL FLAVORS, GREEN ROOIBOS, ORANGE PEEL, CHAMOMILE, ROSE PETALS, LICORICE ROOT, GINGER.</t>
  </si>
  <si>
    <t>eb8e6831-7f5b-473a-8ea0-10b315a55c58</t>
  </si>
  <si>
    <t>Yogi Soothing Caramel Bedtime Tea</t>
  </si>
  <si>
    <t>8</t>
  </si>
  <si>
    <t>a64635a9-957b-4626-a780-8069f2278045</t>
  </si>
  <si>
    <t>Malk Organics, Maple Pecan Malk</t>
  </si>
  <si>
    <t>140</t>
  </si>
  <si>
    <t>75</t>
  </si>
  <si>
    <t>Organic pecans, organic maple syrup, natural vanilla flavor derived from vanilla beans, Himalayan salt, filtered water</t>
  </si>
  <si>
    <t>36320330-c9bc-4d5a-81c5-3ae343264c09</t>
  </si>
  <si>
    <t>Califia Farms Unsweetened Oat Milk</t>
  </si>
  <si>
    <t>Oatmilk (Water, Oats), Sunflower Oil, Minerals (Dipotassium Phosphate, Calcium Carbonate, Tricalcium Phosphate), Sea Salt</t>
  </si>
  <si>
    <t>db6a1591-0467-435e-8746-bdb0cf5ff2de</t>
  </si>
  <si>
    <t>Epic Maple Glazed &amp; Smoked Salmon Bites</t>
  </si>
  <si>
    <t>Wild Caught Salmon, Maple Sugar, Sea Salt, Dill, Onion Powder, Garlic Powder</t>
  </si>
  <si>
    <t>d003cd91-a5bc-4dae-bddd-ef8f20a1f750</t>
  </si>
  <si>
    <t>Trader Joe's Gone Berry Crazy Dark Chocolate Covered Strawberry Pieces</t>
  </si>
  <si>
    <t>Strawberries, Dark Chooclate (cane sugar, cocoa butter, cocoa mass, cocoa powder, soy lechithin, skim milk powder, natural vanilla flavor), coconut oil.</t>
  </si>
  <si>
    <t>c8f3c2d7-a827-4a7e-b49c-73d2e0b18321</t>
  </si>
  <si>
    <t>Green Giant Veggie Tots Broccoli &amp; Cheese</t>
  </si>
  <si>
    <t>Broccoli, Soybean Oil, Modified Food Starch, Water, Cheddar Cheese (Milk, Cheese Cultures, Salt, Enzymes), Cornstarch, Contains less than 2% of Artificial Color, Baking Soda, Citric Acid, Dextrin, Dextrose, Dried Eggs, Enriched Flour (Wheat Flour, Niacin, Reduced Iron, Thiamin Mononitrate, Riboflavin, Folic Acid), Garlic Powder, Methylcellulose, Milk Fat, Onion Powder, Rice Flour, Salt, Sodium Acid Pyrophosphate, Sodium Alginate, Sodium hexametaphosphate, Sodium Phosphate, Soy Flour, Spices, Sugar, Wheat Gluten, Wheat Starch, Whey, Xanthan Gum, Yellow Corn Flour. CONTAINS: Egg, Milk, Soy, Wheat.</t>
  </si>
  <si>
    <t>71f903b4-311a-4d4b-ba53-20cf3c556914</t>
  </si>
  <si>
    <t>Ak-Mak Sesame Crackers</t>
  </si>
  <si>
    <t>Organically grown whole wheat flour stone ground, clover honey, sesame oil, dairy butter, sesame seeds, yeast, and salt.</t>
  </si>
  <si>
    <t>526ac1c8-c31a-483f-9428-6a9fa4096e62</t>
  </si>
  <si>
    <t>Kidfresh Super Duper Chicken Nuggets</t>
  </si>
  <si>
    <t>nuggets</t>
  </si>
  <si>
    <t>30</t>
  </si>
  <si>
    <t>Chicken Breast Meat, Whole Wheat Flour, Water, Cauliflower, Onions, Unbleached Wheat Flour, Natural Flavors, Salt, Corn Starch, Yellow Corn Flour, Rice Starch, Yeast, Molasses, Sea Salt, Leavening (Cream Of Tartar, Baking Soda), Whole Grain Millet Flour. Breading Set In Expeller Pressed Canola Oil.</t>
  </si>
  <si>
    <t>5bc5b5cf-b33b-41a1-80e6-25cbd4ad939f</t>
  </si>
  <si>
    <t>Egunsi Foods - ATA DIN DIN SAUCE (WEST AFRICAN PEPPER SAUCE)</t>
  </si>
  <si>
    <t>Red Pepper, Onion, Tomato, Water, Non-GMO Expeller Pressed Canola Oil, Vegetable Base (Onion, Carrot, Celery, Mushroom, Corn, Water, Non-GMO Expeller Pressed Canola Oil, Tomato Paste, Spices, Sea Salt, Garlic, Smoked Paprika), Tomato Paste, Habanero Pepper, Sea Salt</t>
  </si>
  <si>
    <t>afc103ad-6a71-488f-ade6-8fed10c23453</t>
  </si>
  <si>
    <t>Impossible Burger</t>
  </si>
  <si>
    <t>Water, Soy Protein Concentrate, Coconut Oil, Sunflower Oil, Natural Flavors, 2% or less of: Potato Protein, Methylcellulose, Yeast Extract, Cultured Dextrose, Food Starch Modified, Soy Leghemoglobin, Salt, Soy Protein Isolate, Mixed Tocopherols (Vitamin E), Zinc Gluconate, Thiamine Hydrochloride (Vitamin B1), Sodium Ascorbate (Vitamin C), Niacin, Pyridoxine Hydrochloride (Vitamin B6), Riboflavin (Vitamin B2), Vitamin B12.</t>
  </si>
  <si>
    <t>5263ad33-a991-4f36-ad31-9701883ab421</t>
  </si>
  <si>
    <t>Trader Joe's Gone Bananas Dark Chocolate Covered Banana Slices</t>
  </si>
  <si>
    <t>Banana, Chooclate (cocoa butter, cane sugar, coconut oil, cocoa powder, soy lecithin, milk powder, natural vanilla)</t>
  </si>
  <si>
    <t>e252681e-78e7-4cfc-9b33-6e5b54424a4e</t>
  </si>
  <si>
    <t>Chung Jung One Gochujang</t>
  </si>
  <si>
    <t>Corn syrup, Red pepper mixed seasoning(red pepper powder, water, salt, garlic), Brown rice, Water, Fermented soybean paste(water, soybean, roasted soybean powder, salt), Isomalto oligosaccharide, Salt, Red pepper powder, Alcohol(to preserve freshness), Yeast extract powder(yeast extracts, dextrin)</t>
  </si>
  <si>
    <t>b50c77fe-6888-426a-9883-98fea8fc1414</t>
  </si>
  <si>
    <t>Applegate Natural Breakfast Sausage, Savory Turkey, No Antibiotics, Cooked</t>
  </si>
  <si>
    <t>links</t>
  </si>
  <si>
    <t>Turkey, Water. Contains Less Than 2% Of The Following: Cane Sugar, Salt, Spices, Rosemary Extract.</t>
  </si>
  <si>
    <t>147f3f4e-33e9-4dc1-a7c2-35af364c0cb1</t>
  </si>
  <si>
    <t>Wild Planet, Wild Albacore Tuna, No Salt Added</t>
  </si>
  <si>
    <t>Albacore tuna (Thunnus alalunga)</t>
  </si>
  <si>
    <t>98ce2712-26e9-406c-9ce2-e66026d3dd3d</t>
  </si>
  <si>
    <t>Miracle Noodle Angel Hair Shirataki Noodles</t>
  </si>
  <si>
    <t>Purified Water, Konjac Flour, and Limewater</t>
  </si>
  <si>
    <t>e59ab0d7-0932-431d-8ed1-f43ffbb9144c</t>
  </si>
  <si>
    <t>Partake Chocolate Chip Cookies</t>
  </si>
  <si>
    <t>cookies</t>
  </si>
  <si>
    <t>Gluten-Free Flour Blend (Cassava Flour, Sprouted Buckwheat Flour, Oat Flour), Organic Cane Sugar, Expeller Pressed Non-GMO Canola Oil, Water, Chocolate Chips (Sugar, Unsweetened Chocolate, Cocoa Butter), Gluten Free Oats, Lentil Protein, Dehydrated Pumpkin Powder, Dried Plum Juice Concentrate, Vanilla Extract, Baking Soda, Sea Salt, Rosemary Extract.</t>
  </si>
  <si>
    <t>3358eb49-2402-4fbf-bed4-6c5e8760b902</t>
  </si>
  <si>
    <t>Saffron Road Chicken Tenders</t>
  </si>
  <si>
    <t>Chicken Breast Strips, Water. Contains 2% or Less of: Rice Starch, Lemon Juice Concentrate, Sea Salt, Vinegar. Predusted, Battered, and Breaded with: Dried Potatoes, Water, Rice Flour, Corn Starch, Corn Flour. Contains 2% or Less of: Corn Meal, Garlic Powder, Salt, Onion Powder, Expeller Pressed Canola Oil, Spices, Cream Of Tartar, Sodium Bicarbonate, Xanthan Gum. Breading Set In Expeller Pressed Canola Oil.</t>
  </si>
  <si>
    <t>7b85586a-e60a-4674-b416-c66fd11109a5</t>
  </si>
  <si>
    <t>Applegate Natural Breakfast Sausage, Chicken &amp; Maple, No Antibiotics, Cooked</t>
  </si>
  <si>
    <t>3</t>
  </si>
  <si>
    <t>Chicken, Water, Cane Sugar, Maple Syrup. Contains Less Than 2% Of The Following: Salt, Spices, Natural Maple Flavor (Maple Syrup, Natural Flavor, Brown Sugar Molasses).</t>
  </si>
  <si>
    <t>3487305f-eebd-4a9a-90ec-e421ce0070b9</t>
  </si>
  <si>
    <t>Applegate Natural Breakfast Sausage, Classic Pork, No Antibiotics, Cooked</t>
  </si>
  <si>
    <t>Pork, Water, Contains Less Than 2% Of The Following: Cane Sugar, Salt, Spices.</t>
  </si>
  <si>
    <t>77289207-754e-4ffc-a3f2-e90d99fd5048</t>
  </si>
  <si>
    <t>Saffron Road Chicken Nuggets</t>
  </si>
  <si>
    <t>White Meat Chicken, Water. Contains 2% or Less of: Rice Starch, Lemon Juice Concentrate, Sea Salt, Vinegar. Predusted, Battered, and Breaded with: Dried Potatoes, Water, Rice Flour, Corn Flour, Corn Starch. Contains 2% or Less of: Corn Meal, Salt, Garlic Powder, Onion Powder, Expeller Pressed Canola Oil, Spices, Cream Of Tartar, Sodium Bicarbonate, Xanthan Gum. Breading Set In Expeller Pressed Canola Oil.</t>
  </si>
  <si>
    <t>08966ae2-d194-47bd-b312-96cc24c2bff2</t>
  </si>
  <si>
    <t>Wasa Crisp'n Light 7 Grain</t>
  </si>
  <si>
    <t>slices</t>
  </si>
  <si>
    <t>Seven Grain Flour Blend (Wheat, Whole Grain Wheat, Whole Grain Rye, Yellow Corn, Whole Grain Barley, Spelt, Whole Grain Amaranth, Whole Grain Quinoa), Sugar, Apple Extract, Salt, Canola Oil.</t>
  </si>
  <si>
    <t>f9f4c38a-7fe9-439c-a90c-b317b1613bb5</t>
  </si>
  <si>
    <t>nudge. brazilian coffee butter</t>
  </si>
  <si>
    <t>cane sugar, vegetable oil (sunflower, palm, canola), arabica coffee (whole coffee matterâ„¢), skim milk, milk, whey, lactose, sunflower lecithin, natural flavors, salt. | caffeine: 40mg caffeine per serving</t>
  </si>
  <si>
    <t>015184dc-a601-43db-812f-49c5886787fa</t>
  </si>
  <si>
    <t>SkinnyPop White Cheddar Popcorn Cakes</t>
  </si>
  <si>
    <t>cakes</t>
  </si>
  <si>
    <t>Popcorn, Sunflower Oil, Rice Flour, Sea Salt, Natural Non-Dairy Cheddar Flavor and Lactic Acid.</t>
  </si>
  <si>
    <t>f256dced-3680-48ce-88a3-9c07a8566b4e</t>
  </si>
  <si>
    <t>Temp Tee Whipped Cream Cheese</t>
  </si>
  <si>
    <t>Pasteurized milk and cream, salt, carob bean gum, cheese culture</t>
  </si>
  <si>
    <t>7515978e-16d4-4bd9-808a-f708ff644867</t>
  </si>
  <si>
    <t>Jif Natural Creamy Peanut Butter</t>
  </si>
  <si>
    <t>Peanuts, Sugar, Palm Oil, Contains 2% Or Less Of: Salt, Molasses.</t>
  </si>
  <si>
    <t>89207b90-e4dc-42a0-9c25-ba651fc750e3</t>
  </si>
  <si>
    <t>Banza Chickpea Pasta Elbows</t>
  </si>
  <si>
    <t>Chickpeas, tapioca, pea protein, xanthan gum.</t>
  </si>
  <si>
    <t>259ba800-ff6d-46fb-a83d-11200bd84a8c</t>
  </si>
  <si>
    <t>Explore Cuisine Organic Edamame Spaghetti</t>
  </si>
  <si>
    <t>180</t>
  </si>
  <si>
    <t>20</t>
  </si>
  <si>
    <t>24</t>
  </si>
  <si>
    <t>3.5</t>
  </si>
  <si>
    <t>13</t>
  </si>
  <si>
    <t>Organic edamame bean flour (green soybeans). Contains soy.</t>
  </si>
  <si>
    <t>6e9f7e48-de21-4504-8192-143a1a08c4be</t>
  </si>
  <si>
    <t>MaraNatha Almond Butter, Creamy No Stir</t>
  </si>
  <si>
    <t>Dry roasted almonds, organic evaporated cane sugar, palm oil, sea salt. Contains: almonds. May contain peanuts.</t>
  </si>
  <si>
    <t>0b860f59-343c-4dcc-907b-07c2fb26a8d6</t>
  </si>
  <si>
    <t>Bragg Ginger and Sesame Salad Dressing</t>
  </si>
  <si>
    <t>Bragg Organic Apple Cider Vinegar, Bragg Organic Extra Virgin Olive Oil, Bragg Coconut Aminos, organic honey, organic lemon juice, organic garlic, organic ginger, organic sesame seeds, natural xanthan gum.</t>
  </si>
  <si>
    <t>828604db-d3c0-4b2d-913c-11d13384aa4c</t>
  </si>
  <si>
    <t>Annie's Naturals Organic Shiitake &amp; Sesame Vinaigrette</t>
  </si>
  <si>
    <t>Expeller-pressed canola oil*, apple cider vinegar*, soy sauce* (water, soybeans*, wheat*, salt, alcohol*), water, expeller-pressed toasted sesame seed oil*, toasted sesame seeds*, dried shiitake mushrooms*, xanthan gum. *organic</t>
  </si>
  <si>
    <t>c28f9d27-6187-42b2-a57b-588aa1a31c70</t>
  </si>
  <si>
    <t>Annie's Organic Goddess Dressing</t>
  </si>
  <si>
    <t>Expeller-pressed canola oil, water, apple cider vinegar*, tahini* (toasted sesame seed paste), soy sauce* (water, soybeans*, wheat*, salt, alcohol*), lemon juice concentrate*, sea salt, dried garlic*, toasted sesame seeds*, dried parsley*, dried chives*, xanthan gum. *organic</t>
  </si>
  <si>
    <t>ee63ab59-42f3-4025-895d-6221801763ef</t>
  </si>
  <si>
    <t>Barney Butter Almond Butter, Bare Smooth</t>
  </si>
  <si>
    <t>Blanched Roasted Almonds and Palm Fruit Oil. Barney Bare does not contain added sugar and salt.</t>
  </si>
  <si>
    <t>1e737227-c62e-4fdb-b9ad-7d4b4a7e4005</t>
  </si>
  <si>
    <t>Siete Spicy Blanco Cashew Queso</t>
  </si>
  <si>
    <t>Water, Cashews, Tomatoes, Nutritional Yeast, Onion, Green Bell Peppers, Distilled White Vinegar, JalapeÃ±os, Sea Salt, Flax Seed, Fermented Extract (Oregano, Flax Seed, and Plum), Coconut Milk Powder, Lactic Acid, Onion Powder, Garlic Powder</t>
  </si>
  <si>
    <t>9cc0375b-7885-4913-af8a-268cd685175f</t>
  </si>
  <si>
    <t>Trader Joe's Everything But the Bagel Greek-Style Yogurt Dip</t>
  </si>
  <si>
    <t>Greek yogurt (light cream, water, nonfat dried milk powder, cornstarch, cultures), seasoning blend (sesame seeds, sea salt flakes, dried garlic, dried onion, black sesame seeds, poppy seeds).</t>
  </si>
  <si>
    <t>473f91ca-0dfa-4211-a2b1-25f69e4e661e</t>
  </si>
  <si>
    <t>Duke's Cajun Style Andouille Smoked Shorty Sausages</t>
  </si>
  <si>
    <t>Pork, Sea Salt, Chopped Parsley, Cane Sugar, Natural Flavors, Spices, Vinegar, Roasted Garlic, Made with Collagen Casing</t>
  </si>
  <si>
    <t>81b20493-9233-4a0b-8acb-45765b14fdbc</t>
  </si>
  <si>
    <t>Seed + Mill Organic Tahini</t>
  </si>
  <si>
    <t>Ethiopian sesame seeds, salt</t>
  </si>
  <si>
    <t>c9923c97-5600-49f1-8d89-93314f3b53cc</t>
  </si>
  <si>
    <t>Soom Chocolate Sweet Tahini Halva Spread</t>
  </si>
  <si>
    <t>Tahini (ground sesame seeds), powdered pure cane sugar, cocoa powder</t>
  </si>
  <si>
    <t>89809faa-0a66-4453-99cb-82982e3882be</t>
  </si>
  <si>
    <t>Soom Foods Pure Ground Sesame Tahini</t>
  </si>
  <si>
    <t>100% Sesame seeds</t>
  </si>
  <si>
    <t>7e0bb04c-d5e1-448f-a7c9-c7ca4b9b21e1</t>
  </si>
  <si>
    <t>Kween Granola Butter, Original</t>
  </si>
  <si>
    <t>Organic gluten-free oats, organic flax, organic olive oil, organic maple syrup, organic coconut oil, salt, organic spices.</t>
  </si>
  <si>
    <t>feb3618d-24b8-465b-b41e-46a66ea4f06f</t>
  </si>
  <si>
    <t>CAULIPOWER All Natural Spicy(ish) Chicken Tenders</t>
  </si>
  <si>
    <t>Chicken Breast, Water, Rice Flour, Dried Cauliflower, Brown Rice Flour, Organic Yellow Corn Flour, Rice Starch.</t>
  </si>
  <si>
    <t>326a618e-1bbb-4008-b239-67aa9012f879</t>
  </si>
  <si>
    <t>Siete Cassava Flour Grain-Free Tortillas</t>
  </si>
  <si>
    <t>tortillas</t>
  </si>
  <si>
    <t>Cassava flour, water, coconut flour, coconut oil, apple cider vinegar, sea salt, xanthan gum.</t>
  </si>
  <si>
    <t>57025ce1-8297-403d-baf1-3dee0d1bbc16</t>
  </si>
  <si>
    <t>Golde Original Turmeric Latte Blend</t>
  </si>
  <si>
    <t>coconut milk powder (coconut milk, tapioca starch, acacia gum), turmeric, ginger, cinnamon, cardamom, black pepper</t>
  </si>
  <si>
    <t>a1f1d5e5-ed73-4ec7-a3a4-b52110b9d860</t>
  </si>
  <si>
    <t>Golde Cacao Turmeric Latte Blend</t>
  </si>
  <si>
    <t>coconut milk powder (coconut milk, tapioca starch, acacia gum), turmeric, cacao, ginger, cinnamon, cardamom, black pepper</t>
  </si>
  <si>
    <t>e1bb7de1-5259-4bcd-a55c-336e566add28</t>
  </si>
  <si>
    <t>Popsicle Fruit Twister Raspberry Peach &amp; Vanilla</t>
  </si>
  <si>
    <t>pops</t>
  </si>
  <si>
    <t>Water, Skim Milk, Peach Puree, Fructose, Raspberry Puree, Corn Syrup, Maltodextrin, Sugar, Less Than 2% Of: Cream, Locust Bean Gum, Citric Acid, Guar Gum, Beet Juice (For Color), Mono And Diglycerides, Ascorbic Acid, (Vitamin C), Natural Flavor, Carrageenan, Palm Oil, Dextrose (Wheat), Beta Carotene.</t>
  </si>
  <si>
    <t>a65cb358-f82d-45e7-bce0-b50a64882acd</t>
  </si>
  <si>
    <t>Golde Matcha Turmeric Latte Blend</t>
  </si>
  <si>
    <t>coconut milk powder (coconut milk, tapioca starch, acacia gum), turmeric, matcha green tea, ginger, cinnamon, cardamom, black pepper</t>
  </si>
  <si>
    <t>83deba30-38dd-4e22-b507-ded232c841a1</t>
  </si>
  <si>
    <t>Popsicle Fruit Twister Strawberry Blueberry &amp; Vanilla</t>
  </si>
  <si>
    <t>Water, Nonfat Milk, Strawberry Puree, Fructose, Blueberry Puree, Corn Syrup, Maltodextrin, Sugar, Less Than 2% Of: Cream, Locust Bean Gum, Citric Acid, Guar Gum, Citric Acid, Guar Gum, Mono And Diglycerides, Beet Juice (For Color), Invert Sugar Syrup, Ascorbic Acid (Vitamin C), Spirulina Extract (For Color), Carrageenan, Natural Flavor, Strawberry Juice Concentrate, Dextrose (Wheat).</t>
  </si>
  <si>
    <t>5e5b592b-2eee-4779-9a12-fbf566e551c2</t>
  </si>
  <si>
    <t>Capital City Mild Mambo Sauce</t>
  </si>
  <si>
    <t>Tbsp</t>
  </si>
  <si>
    <t>Tomato Ketchup (tomato concentrate (water and tomato paste), sugar, distilled vinegar, salt, less than 2% of: onion powder, spice, natural flavor.), Sugar, Water, Soy Sauce (water, wheat, soybeans, salt, sodium benzoate: less than 1/10 of 1% as a preservative), Vinegar, Cayenne Pepper Hot Sauce (aged cayenne red peppers, distilled vinegar, water, salt, garlic), Paprika.</t>
  </si>
  <si>
    <t>1a452001-b29b-4c5f-ab63-3d494566d763</t>
  </si>
  <si>
    <t>Kyvan Mild Honey Apple Salsa</t>
  </si>
  <si>
    <t>Tablespoons</t>
  </si>
  <si>
    <t>Tomatoes, Peppers, Sugar, Vinegar, Dried Onions, Dried Apples, Salt, Garlic, Honey, Spices, Calcium Chloride, Citric Acid</t>
  </si>
  <si>
    <t>6056a808-a90e-4d9c-a5cf-1e0fe8a1017f</t>
  </si>
  <si>
    <t>Kashi Waffles, Blueberry</t>
  </si>
  <si>
    <t>waffles</t>
  </si>
  <si>
    <t>Water, whole wheat flour, wild blueberries, Kashi Seven Whole Grain flour (whole: oats, hard red wheat, rye, brown rice, triticale, barley, buckwheat), oat fiber, cracked grain flour (rye, wheat bran, oats, hard red wheat, barley, millet), expeller pressed canola oil, cane sugar, ground flax seed, leavening (sodium acid pyrophosphate, baking soda, monocalcium phosphate), soy lecithin, molasses, natural flavors, sea salt, xanthan gum.</t>
  </si>
  <si>
    <t>4b5cbe59-fef6-40cb-936c-495e4be063fc</t>
  </si>
  <si>
    <t>Kashi Waffles, 7 Grain</t>
  </si>
  <si>
    <t>Water, whole wheat flour, Kashi Seven Whole Grain flour (whole: oats, hard red wheat, rye, brown rice, triticale, barley, buckwheat), oat fiber, cracked grain flour (rye, wheat bran, oats, hard red wheat, barley, millet), expeller pressed canola oil, cane sugar, ground flax seed, leavening (baking soda, sodium acid pyrophosphate, monocalcium phosphate), soy lecithin, molasses, natural flavors, sea salt, xanthan gum.</t>
  </si>
  <si>
    <t>9917f3e3-d0a1-4cbf-9ff3-9dcde1cdf1d1</t>
  </si>
  <si>
    <t>Applegate Uncured Sunday Bacon</t>
  </si>
  <si>
    <t>pan fried slices</t>
  </si>
  <si>
    <t>Organic Pork, Water, Sea Salt. Contains Less Than 2% Of The Following: Organic Cane Sugar, Celery Powder.</t>
  </si>
  <si>
    <t>86337709-8456-40e4-8b91-4bb180bd7d9d</t>
  </si>
  <si>
    <t>Frontera Avocado Tomatillo Salsa</t>
  </si>
  <si>
    <t>Fire Roasted Tomatillos, Filtered Water, Fire Roasted Tomatoes, Avocado, Roasted Onions, Roasted Garlic Salt, Cilantro, Fire Roasted Serrano Peppers, Cane Sugar, Extra Virgin Olive Oil, Xanthan Gum</t>
  </si>
  <si>
    <t>182fc47e-a97d-460d-8525-80949473c362</t>
  </si>
  <si>
    <t>Wasa Crispbread, Light Rye</t>
  </si>
  <si>
    <t>Whole Grain Rye Flour, Salt.</t>
  </si>
  <si>
    <t>1c09c6d4-7c8c-4f9f-99b4-f143cc8e8125</t>
  </si>
  <si>
    <t>Califia Farms, Better Half, Unsweetened Coconut Cream and Almond Milk</t>
  </si>
  <si>
    <t>Almond milk (water, almonds), Coconut Cream, Natural Flavors, Calcium Carbonate, Sunflower Lecithin, Sea Salt, Potassium Citrate, Locust Bean Gum, Gellan Gum.</t>
  </si>
  <si>
    <t>21b4e926-1a29-43ab-8184-0e7ae83d99a0</t>
  </si>
  <si>
    <t>Birch Benders Paleo Pancake &amp; Waffle Mix</t>
  </si>
  <si>
    <t>pancakes</t>
  </si>
  <si>
    <t>Cassava starch, organic coconut flour, almond flour, eggs, leavening (monocalcium phosphate, sodium bicarbonate), salt, monk fruit, spice. CONTAINS: Egg, tree nut.</t>
  </si>
  <si>
    <t>7e54dd43-2c37-4378-8b2a-e532e7c7901b</t>
  </si>
  <si>
    <t>Duke's Hot &amp; Spicy Smoked Shorty Sausages</t>
  </si>
  <si>
    <t>Pork, Serrano Peppers, Sea Salt, Cane Sugar, Spices, Natural Flavor, Dried Garlic, Yeast Extract, Vinegar, Paprika. Made With Beef Collagen Casing.</t>
  </si>
  <si>
    <t>7db4f001-7aff-41eb-b13c-d14310a3fe3c</t>
  </si>
  <si>
    <t>e11eca55-0cff-4488-961e-45331b3a5d54</t>
  </si>
  <si>
    <t>Navitas Organics Cacao Goji Power Snacks</t>
  </si>
  <si>
    <t>Organic Date Paste, Organic Cacao Powder, Organic Chia Seed, Organic Sesame Seed, Organic Raisin, Organic Sunflower Seed, Organic Goji Powder, Organic maca Powder, Organic Lucuma Powder, Organic Camu Powder, Natural Chocolate Flavor.</t>
  </si>
  <si>
    <t>793bc54d-163c-4307-a518-01ee08d9e569</t>
  </si>
  <si>
    <t>Vegan Rob's Probiotic Cauliflower Puffs</t>
  </si>
  <si>
    <t>Organic Whole Grain Sorghum Flour, Organic Sunflower Or Safflower Oil, Cauliflower Powder, Nutritional Yeast, Sea Salt, Evaporated Cane Juice, Onion Powder, Garlic Powder, Spices, Organic Inulin, Bacillus Coagulans GBI-30 6086.</t>
  </si>
  <si>
    <t>72a3213a-b771-4fce-b8d9-d0584e1aa3c0</t>
  </si>
  <si>
    <t>Birds Eye Frozen Zucchini Lentil Pasta with Cheddar Sauce</t>
  </si>
  <si>
    <t>Cooked Green Lentil Zucchini Penne Pasta (Green Lentil Flour, Water, Zucchini), Sauce (Water, Cheddar Cheese [Pasteurized Milk, Cheese Cultures, Salt, Enzymes, Annatto Color], Seasoning [Cheddar Cheese (Cultured Pasteurized Milk, Salt, Enzymes), Whey, Dry Buttermilk, Salt, Citric Acid, Paprika, Extractives of Annatto and Turmeric (Color), Cream Blend [Cream, Skim Milk, Nonfat Milk, Powder], Butter Concentrate [Butter (Cream, Salt), Natural Flavor], Corn Starch, Salt, Xanthan Gum, Annatto Extract [Color]). Contains: Milk, Eggs.</t>
  </si>
  <si>
    <t>5d9a109a-44c1-41d1-b908-7b6c39d441f8</t>
  </si>
  <si>
    <t>HÃ¤agen-Dazs Vanilla Milk Chocolate Ice Cream Bar</t>
  </si>
  <si>
    <t>bar</t>
  </si>
  <si>
    <t>Vanilla Ice Cream: Cream, Skim Milk, Sugar, Egg Yolks, Vanilla Extract. Milk Chocolate and Vegetable Oil Coating: Milk Chocolate (Sugar, Whole Milk Powder, Chocolate, Cocoa Butter, Soy Lecithin, Vanilla Extract), Coconut Oil.</t>
  </si>
  <si>
    <t>fbe62681-bab3-4de1-be7f-97dd8009d408</t>
  </si>
  <si>
    <t>Imagine Organic Creamy Broccoli Soup</t>
  </si>
  <si>
    <t>Filtered Water, Organic Broccoli, Organic Potatoes, Organic Tapioca Starch Flour, Organic Celery, Organic Onions, Organic Leeks, Organic Evaporated Cane Syrup, Sea Salt, Organic Garlic, Organic Expeller Pressed Canola Oil and/or Organic Safflower Oil and/or Organic Sunflower Oil, Organic Onion Powder, Organic Spices.</t>
  </si>
  <si>
    <t>37728b0e-397f-4aad-8184-6a8c01c70be5</t>
  </si>
  <si>
    <t>Amy's Organic Soups, Thai Coconut (Tom Kha Phak)</t>
  </si>
  <si>
    <t>can</t>
  </si>
  <si>
    <t>Filtered Water, Organic Coconut Milk (Organic Coconut, Water), Organic Sweet Potatoes, Organic Carrots, Organic Tofu (Filtered Water, Organic Soybeans, Magnesium Chloride), Organic Green Beans, Organic SautÃ©ed Onions (Organic Onions, Organic Sunflower Oil), Organic Shiitake Mushrooms, Organic Tamari (Water, Organic Soybeans, Organic Alcohol [to preserve freshness], Salt), Spices, Sea Salt, Organic Cane Sugar, Galangal, Organic Cornstarch, Organic Garlic, Shallots, Organic High Oleic Safflower and/or Sunflower Oil, Black Pepper, Lemongrass, Orange Peel.</t>
  </si>
  <si>
    <t>0ea5ce27-5808-41e0-b9d1-e124f280df58</t>
  </si>
  <si>
    <t>Birds Eye Veggie Made Frozen Cheddar Mac &amp; Cheese</t>
  </si>
  <si>
    <t>Cooked Lentil Zucchini Elbow Pasta (Lentil Flour, Water, Zucchini), Water, Cheddar Cheese (Pasteurized Milk, Cheese Cultures, Salt, Enzymes, Annatto Color), Cream, Contains 2% Or Less Of Cheddar Cheese (Cultured Pasteurized Milk, Salt, Enzymes), Corn Starch, Salt, Whey, Nonfat Milk, Sugar, Buttermilk, Xanthan Gum, Natural Flavor, Annatto Extract (Color), Citric Acid, Paprika, Turmeric Extractives, Beta Carotene (Color).</t>
  </si>
  <si>
    <t>13d1c761-e855-4c4d-ab85-154d9e61a6a5</t>
  </si>
  <si>
    <t>Healthy Choice Simply Steamers Chicken &amp; Vegetable Stir Fry</t>
  </si>
  <si>
    <t>meal</t>
  </si>
  <si>
    <t>Cooked Chicken (Chicken Breast, Water, contains 2% or less of: Sea Salt, Sugar, Olive Oil, Isolated Soy Protein, Natural Flavoring), Broccoli, Water, Carrots, Edamame, Onions, Red Bell Peppers, Soy Sauce (Water, Wheat, Soybeans, Salt, Alcohol, Vinegar, Lactic Acid), Sugar, contains 2% or less of: Rice Vinegar, Sake Wine (Contains Salt), Corn Starch, Garlic Puree, Sesame Seed Oil, Ginger Puree, Locust Bean Gum. Contains soy, wheat.</t>
  </si>
  <si>
    <t>0ace7b47-d410-4b4c-9b79-a11d238ae87a</t>
  </si>
  <si>
    <t>Tabatchnick Vegetable Soup</t>
  </si>
  <si>
    <t>pouch</t>
  </si>
  <si>
    <t>water, carrots, green beans, onions, tomato paste, celery, peas, potatoes, corn, lima beans, barley, enriched macaroni product (durum semolina, niacin, ferrous sulfate, thiamine mononitrate, riboflavin and folic acid), green split peas, corn starch, canola/soybean oil, spices, xanthan gum, garlic and garlic powder. ALLERGY WARNING: This product contains wheat and barley.</t>
  </si>
  <si>
    <t>817095e4-0d0b-4c18-b3da-a7fa5d400bfe</t>
  </si>
  <si>
    <t>Healthy Choice Simply Steamers Grilled Chicken &amp; Broccoli Alfredo</t>
  </si>
  <si>
    <t>Broccoli, cooked chicken(chicken breast, water, contains 2% or less of: sea salt, sugar, olive oil, isolated soy protein, natural flavoring), water, contains 2% or less of: Parmesan Cheese (pasteurized milk, cheese culture, salt, enzymes), Romano cheese made from cow's milk (part skim milk, cheese culture, salt, enzymes), cream, corn starch, whey protein concentrate, sea salt, flavorings, butter (cream, salt), locust bean gum.</t>
  </si>
  <si>
    <t>980f6799-6ca2-435f-a0bd-069d76f6a837</t>
  </si>
  <si>
    <t>Nush Blueberry Cake</t>
  </si>
  <si>
    <t>cake</t>
  </si>
  <si>
    <t>water, organic flax, organic erythritol, organic coconut oil, egg, organic glycerin, blueberries, organic natural flavors, leavening (sodium acid pyrophosphate, sodium bicarbonate), sunflower lecithin, organic rosemary extract, sea salt, monk fruit extract.</t>
  </si>
  <si>
    <t>b4acc53a-f580-44e0-9cf6-78592e80ee09</t>
  </si>
  <si>
    <t>Applegate Natural Breakfast Sausage Patties, Chicken &amp; Maple, No Antibiotics, Cooked</t>
  </si>
  <si>
    <t>patty</t>
  </si>
  <si>
    <t>Chicken, Water, Cane Sugar, Maple Syrup. Contains less than 2% of The Following: Salt, Spices, Natural Maple Flavor (Maple Syrup, Natural Flavor and Brown Sugar Molasses).</t>
  </si>
  <si>
    <t>3ca2104f-04e6-4448-b462-eb3dfe96a71a</t>
  </si>
  <si>
    <t>Garden Lites Veggies Made Great Blueberry Oat Muffins</t>
  </si>
  <si>
    <t>Zucchini, Egg Whites, Sugar, Whole Eggs, Blueberries, Sorghum Flour, Brown Rice Flour, Rolled Oats (Certified Gluten Free), Dried Blueberries (Blueberries, Sugar, Sunflower Oil), Corn Starch, Carrots, Soluble Corn Fiber, Canola Oil, Leavening (Baking Powder), Flaxseed Meal, Blueberry Flakes (Blueberries, Cane Sugar, Natural Blueberry Flavor), Natural Blueberry Flavor, Salt.</t>
  </si>
  <si>
    <t>699bc18d-9412-4767-83e0-d18c00f44d38</t>
  </si>
  <si>
    <t>Dasani Sparkling, Berry</t>
  </si>
  <si>
    <t>Carbonated Water, Natural Flavors</t>
  </si>
  <si>
    <t>503df6ce-db8a-4826-8b37-764f839ac694</t>
  </si>
  <si>
    <t>Zevia Zero-Calorie Soda, Ginger Root Beer</t>
  </si>
  <si>
    <t>Carbonated Water, Stevia Leaf Extract, Natural Flavors, Citric Acid</t>
  </si>
  <si>
    <t>fcc61a91-4c2b-4130-839b-90032b56d6f4</t>
  </si>
  <si>
    <t>Food Snob, Harissa</t>
  </si>
  <si>
    <t>Variety of fresh peppers, virgin olive oil, tomato paste, garlic, salt, spices, citric acid</t>
  </si>
  <si>
    <t>697dfe92-27f6-4f88-b802-7b575968d897</t>
  </si>
  <si>
    <t>Nush Pineapple Mango Cake</t>
  </si>
  <si>
    <t>Water, organic flax, organic erythritol, organic coconut oil, egg, organic natural flavors, organic glycerin, pineapple, mango, leavening (sodium acid pyrophosphate, sodium bicarbonate), sea salt, organic rosemary extract, sunflower lecithin, monk fruit extract.</t>
  </si>
  <si>
    <t>21c04ede-c6a4-4974-a6f4-9aa51b169cfb</t>
  </si>
  <si>
    <t>Bai Bubbles, Jamaica Blood Orange</t>
  </si>
  <si>
    <t>Filtered carbonated water, BaiÂ® Proprietary Sweetener Blendâ„¢ (erythritol, stevia extract), natural flavors, citric acid, orange juice concentrate, coffeefruit extract, vegetable juice and beta carotene (for color), white tea extract, malic acid, ascorbic acid, sodium citrate.</t>
  </si>
  <si>
    <t>09aec5f1-7a5c-42ed-a67b-2c8889234fa9</t>
  </si>
  <si>
    <t>Trader Joe's Lite Shredded Mozzarella Cheese</t>
  </si>
  <si>
    <t>Pasteurized part skim cow's milk, salt, cheese cultures, microbial rennet, microcrystalline cellulose (to prevent caking), natamycin (mold inhibitor)</t>
  </si>
  <si>
    <t>5b27fda0-e4a4-4b08-b0ea-f559a4bb85b6</t>
  </si>
  <si>
    <t>Trader Joe's Organic Reduced Sugar Cherry Preserves</t>
  </si>
  <si>
    <t>Organic cherries, organic dried sugar cane syrup, water; Contains 2% or less of: fruit pectin, organic lemon juice concentrate, firming agents (calcium chloride and/or calcium phosphate).</t>
  </si>
  <si>
    <t>513b1589-4c6a-4f50-bccc-cbb4fe0c7390</t>
  </si>
  <si>
    <t>New York Shuk Harissa With Preserved Lemon</t>
  </si>
  <si>
    <t>Chili Peppers, Garlic, Non-Gmo Canola Oil, Water, Preserved Lemons (Lemons, Salt, Lemon Juice), Apple Cider Vinegar, Spices, Caraway Seeds.</t>
  </si>
  <si>
    <t>513d6723-7cba-4b4e-905c-7202c946fbd4</t>
  </si>
  <si>
    <t>Imagine Free-Range Low Sodium Chicken Broth</t>
  </si>
  <si>
    <t>Organic Chicken Broth (Filtered Water, Organic Chicken), Organic Onions, Organic Celery, Organic Carrots, Natural Chicken Flavor, Organic Spices, Sea Salt.</t>
  </si>
  <si>
    <t>2f4a2168-37d4-47a2-975b-855022ee61a8</t>
  </si>
  <si>
    <t>Claussen Kosher Dill Spears</t>
  </si>
  <si>
    <t>Fresh cucumbers, water, salt, distilled vinegar, contains less than 2% of dried garlic, calcium chloride, sodium benzoate (to preserve flavor), spice, mustard seed, natural flavor, dried red bell peppers, polysorbate 80, oleoresin turmeric</t>
  </si>
  <si>
    <t>16444b03-5dad-4d49-994f-87e28a61b247</t>
  </si>
  <si>
    <t>Rick's Picks Smokra</t>
  </si>
  <si>
    <t>Cider vinegar, okra, water, garlic, salt, smoked paprika, curry powder, mustard seed, chili flakes, dried chili peppers, cayenne pepper</t>
  </si>
  <si>
    <t>20c3bb17-e61f-4e37-8630-f28467038133</t>
  </si>
  <si>
    <t>Les Moulins Mahjoub Traditional Harissa Spread</t>
  </si>
  <si>
    <t>Organic sundried piments, organic EVOO, organic garlic, organic sundried tomatoes, salt, organic coriander, organic caraway seeds.</t>
  </si>
  <si>
    <t>e8aa77af-6e20-42b8-835c-b8656299ae92</t>
  </si>
  <si>
    <t>Rick's Picks Phat Beets</t>
  </si>
  <si>
    <t>Beets, cider vinegar, water, onion, lemon juice, brown sugar, ginger, rosemary, allspice, cinnamon sticks, cloves</t>
  </si>
  <si>
    <t>cca0f7af-fe0d-480b-80a3-a80bad9200fb</t>
  </si>
  <si>
    <t>Trader Joeâ€™s Organic Low Sodium Chicken Broth</t>
  </si>
  <si>
    <t>Organic Chicken Broth (Filtered Water, Organic Chicken), Organic Flavors, Natural Chicken Flavor, Organic Evaporated Cane Juice (Natural Milled Cane Sugar), Autolyzed Yeast Extract, Organic Onion Powder, Salt, Turmeric.</t>
  </si>
  <si>
    <t>056ee293-b9ea-491f-9680-f11b094d9dc1</t>
  </si>
  <si>
    <t>Good To Go Raspberry Lemon Soft Baked Bar</t>
  </si>
  <si>
    <t>Almond flour, Inulin*, Erythritol*, Baking powder, Freeze dried raspberries, Ground chia seeds*, Sea salt, Lemon extract*, Rosemary extract*, Mixed tocopherols, Natural raspberry flavor. *Organic.</t>
  </si>
  <si>
    <t>0e587dbd-6575-4ef3-875e-c381b391ed02</t>
  </si>
  <si>
    <t>Barnana Plantain Chips, Sea Salt &amp; Vinegar</t>
  </si>
  <si>
    <t>Organic Plantains, Organic Coconut Oil, Organic Maltodextrin, Organic Vinegar Powder, Organic Apple Cider Vinegar Powder, Salt.</t>
  </si>
  <si>
    <t>2a26181c-3418-441c-a4c7-b16f34bca1fe</t>
  </si>
  <si>
    <t>Dang Unsweetened Toasted Coconut Chips, Lightly Salted</t>
  </si>
  <si>
    <t>Coconut, sea salt</t>
  </si>
  <si>
    <t>30a89268-1960-4053-ab78-f82e11bfcf36</t>
  </si>
  <si>
    <t>CHOMPS Jalapeno Grass-Fed Beef Snack Sticks</t>
  </si>
  <si>
    <t>stick</t>
  </si>
  <si>
    <t>100% Grass-fed Beef, Water, Sea Salt, Lactic Acid, JalapeÃ±o Peppers, Celery Juice, Black Pepper, Red Pepper, Garlic Powder, Coriander, Stuffed In A Collagen Casing.</t>
  </si>
  <si>
    <t>0af45f83-5091-4a56-be4a-70336342b4a0</t>
  </si>
  <si>
    <t>Frontera Chicken and Chorizo Taco Bowl</t>
  </si>
  <si>
    <t>bowl</t>
  </si>
  <si>
    <t>Red Potatoes, Seasoned Grilled Chicken Breast Strips (Chicken Breast, Water, Contains Less Than 2% Of: Sugar, Olive Oil, Salt, Dried Orange Pulp, Garlic And Onion Powder, Potato Starch, Black Pepper) And Fully Cooked Chorizo Crumbles (Pork, Salt, Black And Red Peppers, Water, Vinegar, Onion And Garlic Powder, Oregano, Paprika, Smoked Paprika, Ground Cumin), Tomato Chipotle Sauce (Fire-Roasted Tomatoes, Onions, Water, Garlic, Apple Cider Vinegar, Expeller Pressed Canola Oil, Ancho Chile, Tomato Paste, Contains Less Than 2% Of: Salt, Paprika, Cane Sugar, Chipotle Chile, Oregano), Onions, Cooked Grain Blend (Water, Brown Rice, White Rice, Red Rice, Amaranth), Red Bell Peppers, Yellow Bell Peppers, Cilantro.</t>
  </si>
  <si>
    <t>aee549d1-03ab-4804-8e0f-df93b2ed7f87</t>
  </si>
  <si>
    <t>Dang Bar, Almond Vanilla</t>
  </si>
  <si>
    <t>Almonds, Chicory Root Fiber, Cocoa Butter, Pea Protein, Sunflower Seeds, Pea Protein Crisps (Pea Protein, Rice Flour), Coconut, Chia Seeds, Natural Flavors, Vanilla Flavor, Sunflower Lecithin, Sea Salt, Stevia Extract, Mixed Tocopherols (Vitamin E).</t>
  </si>
  <si>
    <t>6aadb5fe-3783-4652-889f-0cf18bbf2ea7</t>
  </si>
  <si>
    <t>Dang Bar, Lemon Matcha</t>
  </si>
  <si>
    <t>Almonds, Chicory Root Fiber, Cocoa Butter, Pea Protein, Pea Protein Crisps (Pea Protein, Rice Flour), Sunflower Seeds, Coconut, Chia Seeds, Natural Flavors, Lemon Oil, Sunflower Lecithin, Matcha Green Tea, Citric Acid, Sea Salt, Stevia Extract, Mixed Tocopherols (Vitamin E).</t>
  </si>
  <si>
    <t>39e6cc74-3d79-455a-9859-1552017f45a9</t>
  </si>
  <si>
    <t>Dang Bar, Saigon Cinnamon Chocolate</t>
  </si>
  <si>
    <t>Almonds, Chicory Root Fiber, Chocolate, Sunflower Seeds, Pea Protein, Pea Protein Crisps (Pea Protein, Rice Flour), Cocoa Butter, Coconut, Natural Flavors, Saigon Cinnamon, Chia Seeds, Sea Salt, Sunflower Lecithin, Stevia Extract, Mixed Tocopherols (Vitamin E).</t>
  </si>
  <si>
    <t>73cfd5ee-de38-441f-9c88-2fd359ef09bc</t>
  </si>
  <si>
    <t>Dang Bar, Toasted Coconut</t>
  </si>
  <si>
    <t>Almonds, Chicory Root Fiber, Cocoa Butter, Pea Protein, Sunflower Seeds, Pea Protein Crisps (Pea Protein, Rice Flour), Toasted Coconut, Natural Flavors, Chia Seeds, Sunflower Lecithin, Sea Salt, Stevia Extract, Mixed Tocopherols (Vitamin E).</t>
  </si>
  <si>
    <t>9b774130-7605-4f51-ad2f-00048c972feb</t>
  </si>
  <si>
    <t>Nush Carrot Spice Cake</t>
  </si>
  <si>
    <t>Water, organic flax, organic erythritol, organic coconut oil, egg, walnuts, organic glycerin, organic carrot, leavening (sodium acid pyrophosphate, sodium bicarbonate), sunflower lecithin, organic natural flavors, organic rosemary extract, sea salt, organic allspice, organic cinnamon, monk fruit extract.</t>
  </si>
  <si>
    <t>5c59d84d-b1eb-4892-a551-d06b1c0571e7</t>
  </si>
  <si>
    <t>Lillabee Snacks Brownie Thins, Salted Caramel</t>
  </si>
  <si>
    <t>Almond Flour, Organic Coconut Sugar, Filtered Water, Avocado Oil, Organic Maple Syrup, Organic Raw Hemp Seed, Cocoa Powder (processed with Alkali), Organic Egg White Powder, Natural Flavors, Sea Salt, Organic Coconut Flour.</t>
  </si>
  <si>
    <t>8b0d5d26-4125-47ed-a956-ec0e22446eb0</t>
  </si>
  <si>
    <t>Kalahari Biltong, Original</t>
  </si>
  <si>
    <t>Beef, salt, vinegar, coriander, black pepper, chili powder</t>
  </si>
  <si>
    <t>d9162082-7dcb-4ecd-9d0a-d07cff61432f</t>
  </si>
  <si>
    <t>Brodo Seaweed Mushroom Broth</t>
  </si>
  <si>
    <t>Organic onion, organic carrot, organic celery, organic dried shitake mushrooms, organic dried chickpeas, organic whole tomatoes, organic wakme seaweed.</t>
  </si>
  <si>
    <t>dce267ab-0f8f-4e4c-bd13-afe000cf3df2</t>
  </si>
  <si>
    <t>Kitchen Basics Vegetable Stock</t>
  </si>
  <si>
    <t>Vegetable stock (carrot, mushroom, tomato, onion, celery, and red bell pepper), natrual flavor, and spice and herbs (bay leaf, thyme, black pepper).</t>
  </si>
  <si>
    <t>a4b24e22-1a41-4d11-9e8f-ba73e555f342</t>
  </si>
  <si>
    <t>Ayoba-Yo Spicy Biltong</t>
  </si>
  <si>
    <t>Beef, Sea Salt, Coriander, Cayenne Pepper, Worcestershire Powder (Salt, Tomato, Vinegar, Tamarind, Natural Flavor, Citric Acid, Garlic, Onion), Chili Powder (Chili Powder, Paprika, Salt, Cumin, Pepper, Oregano), Pepper, Vinegar.</t>
  </si>
  <si>
    <t>44fe90df-281d-4afa-86a8-5fa98d5093fa</t>
  </si>
  <si>
    <t>Diet Dr. Brown's Original Cream Soda</t>
  </si>
  <si>
    <t>Carbonated Water, Natural and Artificial Flavors, Aspartame, Sodium Benzoate (Preservative), Caramel Color</t>
  </si>
  <si>
    <t>a8e1b2df-4b0d-4940-bbf4-f3d299a0971c</t>
  </si>
  <si>
    <t>Hint Kick With Caffeine Water, Apple Pear</t>
  </si>
  <si>
    <t>bottle</t>
  </si>
  <si>
    <t>Purified water, natural flavors, caffeine</t>
  </si>
  <si>
    <t>5bc7bd6c-9c0a-4d33-86ab-c46f2caee4c3</t>
  </si>
  <si>
    <t>Langers Organic Flavored Sparkling Water, Ginger</t>
  </si>
  <si>
    <t>Purified filtered carbonated water, organic ginger flavor.</t>
  </si>
  <si>
    <t>78bbc222-4412-4e93-98cf-65ede3c07c8a</t>
  </si>
  <si>
    <t>Pacific Foods Organic Bone Broth, Turkey</t>
  </si>
  <si>
    <t>Water, Turkey*, Onions*, Carrots*, Celery*, Cider Vinegar*, Rosemary Extract* [Antioxidant]. *Organic.</t>
  </si>
  <si>
    <t>2b6c702d-3888-421a-8cf9-a40094b3ca27</t>
  </si>
  <si>
    <t>Kettle &amp; Fire Chicken Bone Broth</t>
  </si>
  <si>
    <t>Chicken bone broth, (Filtered water, Organic Chicken Bones, Organic Apple Cider Vinegar), Chicken Broth, Organic Celery, Organic Roasted Pepper, Organic Green Pepper, Organic Onion, Organic Carrots, Organic Garlic, Organic Scallions, Organic Tomato Puree, Organic Herbs (Parsley, Thyme, Rosemary Basil), Organic Spices, Sea Salt.</t>
  </si>
  <si>
    <t>57bf1a9c-6e86-40b0-a858-5006d2427e85</t>
  </si>
  <si>
    <t>GoMacro MacroBars, Cashew Butter</t>
  </si>
  <si>
    <t>Organic Brown Rice Syrup, Organic Cashew Butter, Organic Puffed Brown Rice, Organic Cashews.</t>
  </si>
  <si>
    <t>ae6cdc7d-2ff5-437b-9d25-a3bc8b8dd54c</t>
  </si>
  <si>
    <t>GoMacro MacroBars, Sunflower Butter + Chocolate</t>
  </si>
  <si>
    <t>Organic Brown Rice Syrup, Organic Sunflower Seed Butter, Organic Sprouted Brown Rice Protein, Organic Cacao Powder, Organic Crispy Brown Rice (Organic Brown Rice, Organic Brown Rice Syrup, Sea Salt), Organic Puffed Brown Rice, Organic Coconut Sugar, Organic Sprouted Flax, Organic Natural Flavor, Organic Cinnamon. Manufactured in a facility that processes peanuts and tree nuts.</t>
  </si>
  <si>
    <t>3f002bcf-690b-4cad-885a-4eccf35ecebc</t>
  </si>
  <si>
    <t>Spindrift Sparkling Water, Arnold Palmer</t>
  </si>
  <si>
    <t>Carbonated water, lemon juice, brewed black tea.</t>
  </si>
  <si>
    <t>f163acbd-f4a7-4c2e-9a4e-ebfc9581cf9e</t>
  </si>
  <si>
    <t>Son Fish Sauce</t>
  </si>
  <si>
    <t>Anchovy, sea salt.</t>
  </si>
  <si>
    <t>f3575910-127e-4357-8445-41d81350fa19</t>
  </si>
  <si>
    <t>Dang Bar, Cardamom Chai</t>
  </si>
  <si>
    <t>Almonds, chicory root fiber, cocoa butter, pea protein, pea protein crisps (pea protein, rice flour), sunflower seeds, coconut, chia seeds, natural flavor, chai spices (caramom, ginger, cloves), sea salt, sunflower lecithin, black tea, stevia extract, mixed tocopherols (vitamin E).</t>
  </si>
  <si>
    <t>7df2e522-4e1c-4aed-bec0-bb787694562a</t>
  </si>
  <si>
    <t>Dang Bar, Chocolate Sea Salt</t>
  </si>
  <si>
    <t>Almonds, Chicory Root Fiber, Pea Protein Crisps (Pea Protein, Rice Flour, Calcium Carbonate), Sunflower Seeds, Pea Protein, Chocolate, Cocoa Butter, Coconut, Natural Flavors, Chia Seeds, Sea Salt, Sunflower Lecithin, Stevia Extract, Mixed Tocopherols (Vitamin E)</t>
  </si>
  <si>
    <t>6ef240b6-853e-4ce9-bd35-e8bb25b0bb6d</t>
  </si>
  <si>
    <t>GoMacro MacroBars, Peanut Butter + Chocolate Chip</t>
  </si>
  <si>
    <t>Organic Brown Rice Syrup, Organic Peanut Butter, Organic Protein Blend (Organic Sprouted Brown Rice Protein, Organic Pea Protein), Organic Fair-Trade Chocolate Chips (Organic Coconut Sugar, Organic Cocoa, Organic Cocoa Butter), Organic Puffed Brown Rice, Organic Peanuts.</t>
  </si>
  <si>
    <t>1d0660d1-85e8-46e0-a670-774b6e29074d</t>
  </si>
  <si>
    <t>BLiS Bourbon Barrel Red Boat Fish Sauce</t>
  </si>
  <si>
    <t>Fresh black anchovy, sea salt.</t>
  </si>
  <si>
    <t>cc9d26d2-a004-4dde-823f-437ef75a0639</t>
  </si>
  <si>
    <t>Rufina Patis Fish Sauce</t>
  </si>
  <si>
    <t>Mackerel extract, water, salt, potassium sorbate as preservative.</t>
  </si>
  <si>
    <t>6c34d75b-c3c8-4b50-a6e6-d80698f603f4</t>
  </si>
  <si>
    <t>Megachef Fish Sauce</t>
  </si>
  <si>
    <t>Anchovy, sea salt, sugar, fructose.</t>
  </si>
  <si>
    <t>27af5416-7466-4f22-87c1-2883344661c7</t>
  </si>
  <si>
    <t>Golden Boy Fish Sauce</t>
  </si>
  <si>
    <t>Anchovy fish, salt, sugar.</t>
  </si>
  <si>
    <t>b348c776-9fbb-4037-9e08-8b9c631faf61</t>
  </si>
  <si>
    <t>Date Lady Chocolate Spread</t>
  </si>
  <si>
    <t>Organic Date Syrup, Organic Cocoa, Organic Coconut Oil, Organic Cocoa Butter, Vanilla, Sea Salt</t>
  </si>
  <si>
    <t>8628ea0a-0394-42ca-a523-bc48f69bd793</t>
  </si>
  <si>
    <t>GOODTO GO Raspberry Lemon Soft Baked Bar</t>
  </si>
  <si>
    <t>1250e1ef-062e-4a02-8c74-dedc7e643610</t>
  </si>
  <si>
    <t>Trader Joeâ€™s Reduced Guilt Mac &amp; Cheese</t>
  </si>
  <si>
    <t>container</t>
  </si>
  <si>
    <t>Cooked elbow macaroni (water, enriched semolina [durum wheat semolina, niacin, ferrous sulfate, thiamine mononitrate, riboflavin, folic acid]), nonfat milk, cheddar cheese (pasteurized cow's milk, cheese cultures, salt, enzymes, annatto [color]), enriched flour (wheat flour, niacin, reduced iron, thiamine mononitrate, riboflavin, folic acid), salt, modified rice starch, pepper.</t>
  </si>
  <si>
    <t>4aa65e7c-40d2-4896-91db-0838847258e4</t>
  </si>
  <si>
    <t>Mamma Chia Strawberry Banana Chia Squeeze</t>
  </si>
  <si>
    <t>Hydrated organic chia seeds (water, organic chia seeds), organic banana puree, organic strawberry puree, organic apple juice concentrate, organic beet puree, organic natural berry flavors, citric acid, fruit and vegetable juice for color.</t>
  </si>
  <si>
    <t>bf56efb7-0977-4d9c-bf7f-7349fdb40e8f</t>
  </si>
  <si>
    <t>Lucky Charms Treats</t>
  </si>
  <si>
    <t>Cereal (Whole Grain Oats, Sugar, Oat Flour, Corn Syrup, Corn Starch, Salt, Trisodium Phosphate, Natural And Artificial Flavor. Vitamin E [Mixed Tocopherols] Added To Preserve Freshness. Vitamins And Minerals: Calcium Carbonate, Zinc And Iron [Mineral Nutrients], Vitamin C [Sodium Ascorbate], A B Vitamin [Niacinamide], Vitamin B6 [Pyridoxine Hydrochloride], Vitamin B2 [Riboflavin], Vitamin B1 [Thiamin Mononitrate], Vitamin A [Palmitate], A B Vitamin [Folic Acid], Vitamin B12, Vitamin D3), Confectionery Coating (Sugar, Palm Kernel Oil, Whey Powder, Soy Lecithin), Corn Syrup, Marshmallows (Sugar, Corn Starch, Dextrose, Corn Syrup, Gelatin, Color [Yellow 5, Blue 1, Red 40, Yellow 6], Artificial Flavor), Crisp Rice (Rice Flour, Barley Malt Extract, Salt), Canola Oil, Fructose, High Fructose Corn Syrup, Sugar. Contains 2% Or Less Of: Vegetable Glycerin, Maltodextrin, Sorbitol, Calcium Carbonate, Gelatin, Salt, Artificial Flavor.</t>
  </si>
  <si>
    <t>56e4fd47-1f2a-4efa-816d-f6027a9c80c3</t>
  </si>
  <si>
    <t>Spindrift Sparkling Water, Orange Mango</t>
  </si>
  <si>
    <t>Carbonated water, orange juice, alphonso mango puree, citric acid</t>
  </si>
  <si>
    <t>f24300f7-722d-4ed6-8ddc-78d744f44b72</t>
  </si>
  <si>
    <t>Seggiano Super Dense Balsamic Vinegar Glaze</t>
  </si>
  <si>
    <t>Organic cooked grape must, orgagnic vinegar wine vinegar.</t>
  </si>
  <si>
    <t>5684b52f-db26-4fb5-96e9-62e959eb40df</t>
  </si>
  <si>
    <t>Brooklyn Delhi Curry Ketchup</t>
  </si>
  <si>
    <t>Water, tomato paste, concentrated crushed tomatoes, distilled vinegar, light brown sugar, sunflower oil, fresh garlic, salt, chili powder, tamarind, spices (fenugreek powder, mustard seeds, turmeric powder, asafetida).</t>
  </si>
  <si>
    <t>c33007cf-3734-4f83-8505-a40db6e2fe49</t>
  </si>
  <si>
    <t>Kikkoman Ponzu Citrus Seasoned Dressing &amp; Sauce</t>
  </si>
  <si>
    <t>Soy Sauce (Water, Soybeans, Wheat, Salt), Water, Vinegar, Sugar, Salt, Bonito Extract (Fish), Lactic Acid, Lemon Juice, Autolyzed Yeast Extract, Natural Lemon And Orange Flavors With Other Natural Flavors, Sodium Benzoate As A Preservative, Succinic Acid, Disodium Inosinate, Disodium Guanylate.</t>
  </si>
  <si>
    <t>5a5072f7-0d85-40c7-9c64-55a500a52555</t>
  </si>
  <si>
    <t>Moon Cheese Cheddar Believe It</t>
  </si>
  <si>
    <t>Cheddar Cheese [Pasteurized Milk, Cheese Culture, Salt, Enzymes, Annatto (Vegetable Color)]</t>
  </si>
  <si>
    <t>e91025ef-c519-4f16-a67e-bf58ed6c27d2</t>
  </si>
  <si>
    <t>Beyond Burger</t>
  </si>
  <si>
    <t>Water, Pea Protein Isolate*, Expeller-Pressed Canola Oil, Refined Coconut Oil, Rice Protein, Natural Flavors, Cocoa Butter, Mung Bean Protein, Methylcellulose, Potato Starch, Apple Extract, Salt, Potassium Chloride, Vinegar, Lemon Juice Concentrate, Sunflower Lecithin, Pomegranate Fruit Powder, Beet Juice Extract (For Color)</t>
  </si>
  <si>
    <t>0fe872f5-d274-4baa-83da-f283ab03e940</t>
  </si>
  <si>
    <t>Bulletproof Collagen Protein Bars, Mint Chocolate Chip</t>
  </si>
  <si>
    <t>Organic Cashew Butter, Grass-Fed Collagen Protein, Inulin (Chicory), Bulletproof(Tm) Xct(R) Oil Powder (Caprylic And Capric Acid Triglycerides From Highly Refined Coconut And/or Palm Kernel Oil, Tapioca Dextrin), Organic Unsweetened Chocolate, Organic Cashews, Bulletproof(Tm) Brain Octane(R) Oil (Caprylic Acid Triglycerides From Highly Refined Coconut Oil), Organic Cacao Nibs, Organic Coconut Oil, Non-Gmo Sunflower Lecithin, Lab-Tested Vanilla Beans, Sea Salt, Organic Stevia Leaf Extract, Peppermint Oil.</t>
  </si>
  <si>
    <t>6d8d09be-3a23-41d0-8707-1af7f33218bb</t>
  </si>
  <si>
    <t>Moon Cheese Oh My Gouda</t>
  </si>
  <si>
    <t>Gouda Cheese [Pasteurized Milk, Cheese Culture, Salt, Enzymes).</t>
  </si>
  <si>
    <t>d7f55477-5c06-4028-adc5-d41a096be9d8</t>
  </si>
  <si>
    <t>Moon Cheese Get Pepper Jacked</t>
  </si>
  <si>
    <t>Monterey Jack Cheese with JalapeÃ±o Peppers (Pasteurized Milk, JalapeÃ±o Peppers, Cheese Culture, Salt, Enzymes).</t>
  </si>
  <si>
    <t>091fa68f-b922-41a4-a959-9f3eba1054fb</t>
  </si>
  <si>
    <t>Moon Cheese Cheddar Bacon Me Crazy</t>
  </si>
  <si>
    <t>Cheddar Cheese [Pasteurized Milk, Cheese Culture, Salt, Enzymes, Annatto (Vegetable Color)], Natural Flavor</t>
  </si>
  <si>
    <t>157597c8-2042-45cd-b24d-24e4d5585ec4</t>
  </si>
  <si>
    <t>Moon Cheese Garlickin' Parmesan</t>
  </si>
  <si>
    <t>Parmesan Cheese (Cultured Milk, Salt, Enzymes), Garlic Powder.</t>
  </si>
  <si>
    <t>f8b9f0df-a2e2-4f83-887f-af9f0e76b10c</t>
  </si>
  <si>
    <t>Mega Chef Oyster Sauce</t>
  </si>
  <si>
    <t>Oyster extract (oyster, water), purified water, sugar, salt, corn starch, potassium sorbate.</t>
  </si>
  <si>
    <t>e0588b7d-f014-47bd-94e6-8e3fcf9268a5</t>
  </si>
  <si>
    <t>Olo's Chipotle Paste</t>
  </si>
  <si>
    <t>Chipotle peppers, water, salt, citric acid.</t>
  </si>
  <si>
    <t>b8980053-d07b-4140-b3da-5ddec776171b</t>
  </si>
  <si>
    <t>Tutto Calabria Hot Chili Peppers</t>
  </si>
  <si>
    <t>Calabrian Hot Chili Peppers, Sunflower Seed Oil, Extra Virgin Olive Oil, Vinegar, Salt, Natural Herbs</t>
  </si>
  <si>
    <t>e5d05424-c9ff-4b08-9792-769b2aba7962</t>
  </si>
  <si>
    <t>Maggie Tamarind Sauce</t>
  </si>
  <si>
    <t>Water, Sugar, Tamarind Paste (15%), Salt, Modified Maize Starch, Cumin Powder, Ginger Powder, Red Chilli Powder, Acid (Acetic Acid), Preservative (Sodium Benzoate).</t>
  </si>
  <si>
    <t>1cad4397-c78f-48ac-9e00-62a91fecb3bb</t>
  </si>
  <si>
    <t>Trade Street Jam Co. Smoked Peach Jam</t>
  </si>
  <si>
    <t>Peach, sugar, fresh lemon juice, apple wood smoke.</t>
  </si>
  <si>
    <t>2a3b5a15-a349-44b1-a4cc-99979aeab783</t>
  </si>
  <si>
    <t>LoAdebar - Real Dark Chocolate</t>
  </si>
  <si>
    <t>Organic Dates, Organic certified gluten-free rolled oats, Organic brown rice syrup, Organic almonds, Organic cashews, Organic walnuts, Organic sunflower seeds, Organic cranberries (infused with organic apple juice), Organic pumpkin seeds, Organic brown rice protein, Organic raisins, Organic flax seeds, Organic sesame seeds, Organic chia seeds, Organic brown rice puffs, Organic cinnamon, Organic bitter sweet chocolate (organic chocolate liqueur, organic cane sugar, organic cocoa butter, organic vanilla extract)</t>
  </si>
  <si>
    <t>12653a56-be5b-4094-82c0-e86197e47b56</t>
  </si>
  <si>
    <t>LoAdebar - Original</t>
  </si>
  <si>
    <t>Organic Dates, Organic certified gluten-free rolled oats, Organic brown rice syrup, Organic almonds, Organic cashews, Organic walnuts, Organic sunflower seeds, Organic cranberries (infused with organic apple juice), Organic pumpkin seeds, Organic brown rice protein, Organic raisins, Organic flax seeds, Organic sesame seeds, Organic chia seeds, Organic brown rice puffs, Organic cinnamon</t>
  </si>
  <si>
    <t>eca8e77f-d819-4354-9802-afdd47120406</t>
  </si>
  <si>
    <t>LoAdebar Bites - Original</t>
  </si>
  <si>
    <t>Bite</t>
  </si>
  <si>
    <t>7ff716d4-77ce-4809-afd6-5e37846fab34</t>
  </si>
  <si>
    <t>LoAdebar Bites - Dark Chocolate</t>
  </si>
  <si>
    <t>05fb6252-8d22-4431-a999-d29bf0a7236c</t>
  </si>
  <si>
    <t>Egunsi Foods - GROUNDNUT SOUP (AFRICAN PEANUT SOUP)</t>
  </si>
  <si>
    <t>Water, Tomato, Onion, Peanut Butter, Vegetable Base (Onion, Carrot, Celery, Mushroom, Corn, Water, Non-GMO Expeller Pressed Canola Oil, Tomato Paste, Spices, Sea Salt, Garlic, Smoked Paprika), Organic Lemon Juice, Tomato Paste, Ginger, Garlic, Organic Cane Sugar, Sea Salt, Habanero Pepper</t>
  </si>
  <si>
    <t>64cd3642-e19d-475b-9ac5-7e05fd6e21ec</t>
  </si>
  <si>
    <t>Brooklyn Tea, Cream Earl Grey</t>
  </si>
  <si>
    <t>handful makes 8 fl oz</t>
  </si>
  <si>
    <t>Hints of vanilla, bergamot and cornflower petals give this organic high grown Organic Sri Lankan black tea its cream taste</t>
  </si>
  <si>
    <t>b987660b-83cf-437f-b933-c613416422e6</t>
  </si>
  <si>
    <t>Vicky Cakes, Blueberry Pancake &amp; Waffle Mix</t>
  </si>
  <si>
    <t>Pancake</t>
  </si>
  <si>
    <t>Enriched Bleached Flour (Wheat Flour, Malted Barley Flour, Niacin, Iron, Thiamine, Riboflavin, Folic Acid), Baking Powder (Sodium Acid Pyrophosphate, Sodium Bicarbonate, Cornstarch, Monocalcium Phosphate), Sugar, Salt</t>
  </si>
  <si>
    <t>6b9e973f-e824-4db3-b5f7-fe29edec9b2a</t>
  </si>
  <si>
    <t>Iya Foods Fried Riced Cauliflower Seasoning</t>
  </si>
  <si>
    <t>Fennel, Sweet Corn, Turmeric, Fenugreek Chili, Ginger, Cumin, Coriander, Sugar (less than 1/2 tsp)</t>
  </si>
  <si>
    <t>20bb92b8-c63f-4528-a7c3-0f7e21db4188</t>
  </si>
  <si>
    <t>Nush Foods Pineapple Mango Cake</t>
  </si>
  <si>
    <t>7601f4c9-88dc-45b5-8055-11105cd0badc</t>
  </si>
  <si>
    <t>Nush Foods Carrot Spice Cake</t>
  </si>
  <si>
    <t>dbc73e4e-1c26-4a26-9e6f-50981c9973e5</t>
  </si>
  <si>
    <t>Nush Foods Blueberry Cake</t>
  </si>
  <si>
    <t>Water, organic flax, organic erythritol, organic coconut oil, egg, organic glycerin, blueberries, organic natural flavors, leavening (sodium acid pyrophosphate, sodium bicarbonate), sunflower lecithin, organic rosemary extract, sea salt, monk fruit extract.</t>
  </si>
  <si>
    <t>63288f81-a934-44b7-baa4-922449bba0ea</t>
  </si>
  <si>
    <t>SmartSweets, Sour Gummy Bears</t>
  </si>
  <si>
    <t>bag</t>
  </si>
  <si>
    <t>Prebiotic Soluble Fiber From Tapioca, Chicory Root Fiber, Gelatin, Lactic Acid, Citric Acid, Rice Flour, Malic Acid, Fumaric Acid, Fruit And Vegetable Juice (For Color), Natural Fruit Flavor, Coconut Oil, Stevia Leaf Extract, Carnauba Wax.</t>
  </si>
  <si>
    <t>420fce4c-3b91-42ec-9855-c5125a95cfbc</t>
  </si>
  <si>
    <t>QuestBar Cookies &amp; Cream Protein Bar</t>
  </si>
  <si>
    <t>Protein Blend (Milk Protein Isolate, Whey Protein Isolate), Soluble Corn Fiber, Almonds, Water, Cocoa Butter, Natural Flavors, Erythritol, Cocoa Processed with Alkali. Contains less than 2% of the following: Coconut Oil, Sea Salt, Sodium Caseinate,Sunflower Lecithin, Baking Soda, Steviol Glycosides (Stevia), Xanthan Gum, Sucralose. CONTAINS: Milk, Coconut, Almonds. Processed in a facility that also processes eggs, peanuts, soy, wheat, and other tree nuts.</t>
  </si>
  <si>
    <t>240da1b7-5293-4a6c-ac58-e6f14a69a4d1</t>
  </si>
  <si>
    <t>Red Boat Fish Sauce</t>
  </si>
  <si>
    <t>b6c29dee-bc3b-48d6-9565-a18747fbd7d3</t>
  </si>
  <si>
    <t>Hippeas Organic Chickpea Puffs, Bohemian Barbecue</t>
  </si>
  <si>
    <t>Organic Chick Pea Flour, Organic Rice Flour, Organic Sunflower Oil, Organic Tapioca Starch, Organic Seasoning [Sugar*, Tomato Powder*, Salt, Onion Powder*, Garlic Powder*, Citric Acid, Rice Concentrate*, Spice*, Natural Smoke Flavor (Sunflower Oil, Natural Hickory Smoke Flavor), Paprika Extract], Organic Pea Hull Fiber.</t>
  </si>
  <si>
    <t>c938a7dc-967d-4107-bea8-a08dfd3fdb6f</t>
  </si>
  <si>
    <t>Hippeas Organic Chickpea Puffs, Sriracha Sunshine</t>
  </si>
  <si>
    <t>pack</t>
  </si>
  <si>
    <t>Organic Chickpea Flour, Organic Rice Flour, Organic Sunflower Oil, Organic Tapioca Starch, Organic Seasoning [Sugar*, Salt, White Vinegar Powder (Maltodextrin*, White Distilled Vinegar*), Chili Powder*, Garlic Powder*, Jalapeno Powder*, Rice Concentrate*, Paprika Extract, Yeast Extract*, Natural Flavor], Organic Pea Hull Fiber.</t>
  </si>
  <si>
    <t>a133ee1c-b786-479e-8a71-67767376df74</t>
  </si>
  <si>
    <t>Louisville Vegan Jerky Co. Reuben's Smoky Carolina BBQ Vegan Jerky</t>
  </si>
  <si>
    <t>Textured Soy Protein, Yellow Mustard, Apple Cider Vinegar, Sugar, Water, Tamari (Water, Soybeans, Salt, Alcohol [to Preserve Freshness]), Brown Sugar, Chili Powder, Olive Oil, Molasses, Spices, Natural Smoke Flavor.</t>
  </si>
  <si>
    <t>437b6b66-57ed-4dfe-9833-55b451356a3e</t>
  </si>
  <si>
    <t>Louisville Vegan Jerky Co. Paulette's Maple Bacon Vegan Jerky</t>
  </si>
  <si>
    <t>Textured soy protein, tomari (water, soybeans, salt, alcohol [to preserve freshness]), maple syrup, olive oil, vinegar, beet juice, brown sugar, contains less than 2% of the following: Black pepper, paprika, lactic acid, natural smoke flavor.</t>
  </si>
  <si>
    <t>0f15544c-7333-42e2-aaf0-602f20785fd1</t>
  </si>
  <si>
    <t>Louisville Vegan Jerky Co. Tod's Smoked Chipotle Vegan Jerky</t>
  </si>
  <si>
    <t>Textured Soy Protein, Tamari (Water, Soybeans, Salt, Alcohol [To Preserve Freshness]), Olive Oil, Contains Less Than 2% of the following: Sorghum, Chipotle Powder, Ancho Chili Powder, Garlic, Onion, Spices, Vinegar, Natural Smoke Flavor.</t>
  </si>
  <si>
    <t>3c3877cb-9c57-441f-84d2-9c8cee8028d9</t>
  </si>
  <si>
    <t>Heinz No Sugar Added Tomato Ketchup</t>
  </si>
  <si>
    <t>Tomato Concentrate from Red Ripe Tomatoes, Distilled White Vinegar, Salt, Natural Flavoring, Onion Powder, Sucralose*, Spice.*Not Normally Found in Ketchup.</t>
  </si>
  <si>
    <t>24ddc176-9592-490b-908a-a65176a45411</t>
  </si>
  <si>
    <t>Chloe's Strawberry Fruit Pops</t>
  </si>
  <si>
    <t>pop</t>
  </si>
  <si>
    <t>Strawberry PurÃ©e (Strawberries, Lemon Juice), Water, Cane Sugar.</t>
  </si>
  <si>
    <t>f2d66b75-9fcb-4cfd-a7f3-cadfa53bfc85</t>
  </si>
  <si>
    <t>Quest Hero Protein Bar, Vanilla Caramel</t>
  </si>
  <si>
    <t>Protein Blend (Milk Protein Isolate, Whey Protein Isolate), Soluble Corn Fiber (Prebiotic Fiber), Alluloseâ€¡, Palm Kernel Oil, Erythritol, Water, Butter, Almonds, Natural Flavors. Contains less than 2% of the following: Sea Salt, Baking Soda, Palm Oil, Cellulose Gum, Xanthan Gum, Carrageenan, Sucralose, Sunflower Lecithin. CONTAINS: Milk-Derived Ingredients.</t>
  </si>
  <si>
    <t>c71d7e24-ee46-48c6-8b28-c0295a3ede11</t>
  </si>
  <si>
    <t>Chobani, Greek Yogurt, Coffee &amp; Cream</t>
  </si>
  <si>
    <t>Yogurt (Cultured Pasteurized Nonfat Milk, Cream), Cane Sugar, Water, Fruit And Vegetable Juice Concentrate (For Color), Natural Flavors, Fruit Pectin, Guar Gum, Coffee Extract, Lemon Juice Concentrate. 6 Live And Active Cultures: S. Thermophilus, L. Bulgaricus, L. Acidophilus, Bifidus, L. Casei And L. Rhamnosus.</t>
  </si>
  <si>
    <t>82021050-0739-481c-a441-59815a835cd9</t>
  </si>
  <si>
    <t>Quest Protein Bar, Mint Chocolate Chunk</t>
  </si>
  <si>
    <t>Protein Blend (Milk Protein Isolate, Whey Protein Isolate), Soluble Corn Fiber, Water, Almonds, Cocoa Butter, Cocoa Processed with Alkali, Natural Flavors, Erythritol. Contains Less than 2% of the following: Coconut Oil, Sea Salt, Baking Soda, Sodium Caseinate, Peppermint Oil, Spirulina Extract (Color), Beta Carotene (Color), Xanthan Gum, Steviol Glycosides (Stevia), Sucralose, Sunflower Lecithin. CONTAINS: Milk, Coconut, Almonds. Processed in a facility that also processes eggs, peanuts, soy, wheat, and other tree nuts.</t>
  </si>
  <si>
    <t>76313189-357b-4d69-a3d6-3c8625837e56</t>
  </si>
  <si>
    <t>Evol Lean &amp; Fit Chicken Apple Sausage, Egg White &amp; Cheddar Breakfast Sandwich</t>
  </si>
  <si>
    <t>sandwich</t>
  </si>
  <si>
    <t>Meatballs: Cooked Meatball Made with Beef and Chicken (Beef, Mechanically Separated Chicken, Water, Textured Vegetable Protein [Soy Flour, Caramel Color, Zinc Oxide, Ferrous Sulfate, Niacinamide, Calcium Pantothenate, Pyridoxine Hydrochloride, Riboflavin, Thiamin Mononitrate, Vitamin A Palmitate, Vitamin B12], Bread Crumbs [Wheat Flour, Salt, Yeast], Seasoning [Salt, Dried Onions, Flavorings, Dried Celery], Tomato Puree [Tomato Puree, Citric Acid], Parmesan Cheese [Cultured Part-Skim Milk, Salt, Enzymes], Romano Cheesefrom Cow's Milk [Cultured Pasteurized Part-Skim Milk, Salt, Enzymes], Salt, Sodium Phosphate). Sauce: Tomato Puree (Water, Tomato Paste), Tomatoes, Tomato Juice, Water, Onions, Canola Oil, Spices, Sugar, Garlic Puree, Modified Cornstarch, Salt, Dried Red Bell Peppers, Bleached Wheat Flour, Extra Virgin Olive Oil, Citric Acid, Calcium Chloride.</t>
  </si>
  <si>
    <t>fe8c87a1-a917-4e0a-bfbf-822d81c34b89</t>
  </si>
  <si>
    <t>Evol Uncured Ham, Egg &amp; Cheddar Breakfast Sandwich</t>
  </si>
  <si>
    <t>Scrambled Egg Patty (Egg Whites, Whole Eggs, Water, Corn Starch, Salt, Citric Acid, Pepper), Flatbread (Whole Wheat Flour, Water, Wheat Flour, Corn Meal (Indicates Certified Organic Ingredient), Yeast, Less than 2%: Cultured Wheat Flour, Vinegar, Non-GMO Canola Oil, Wheat Gluten, Salt, Wheat Bran, Inactive Dry Yeast, Malted Barley Flour, Nondiastatic Malt, Natural Flavors), Cheddar Cheese (Pasteurized Milk, Cheese Cultures, Salt, Enzymes), Uncured Naturally Smoked Ham Steak - No Nitrates or Nitrites Added Except for the Naturally Occurring Nitrates in Celery Powder and Sea Salt (Pork, Water, Salt, Turbinado Sugar, Celery Powder, Sea Salt).</t>
  </si>
  <si>
    <t>60c6101b-e25e-4600-996c-75f20091d917</t>
  </si>
  <si>
    <t>Garden Lites Veggies Made Great Ninja Power Muffins</t>
  </si>
  <si>
    <t>Zucchini, Gluten Free Flour Blend (Brown Rice Flour, Sorghum Flour, Corn Starch, Flaxseed Meal), Sugar, Egg Whites, Whole Eggs, Certified Gluten Free Oats, Semi-Sweet Chocolate Chips (Sugar, Unsweetened Chocolate, Dextrose, Cocoa Butter, Soy Lecithin [An Emulsifier], Vanilla Extract), Soluble Corn Fiber, Spinach, Canola Oil, Baking Powder (Sodium Acid Pyrophosphate, Sodium Bicarbonate, Corn Starch, Monocalcium Phosphate), Natural Caramel Flavor, Salt. CONTAINS: Egg, Soy.</t>
  </si>
  <si>
    <t>6c2d9b14-e4f7-43f8-a791-fd0c8bc4f496</t>
  </si>
  <si>
    <t>Garden Lites Veggies Made Great Superfood Veggie Cakes - Superblend</t>
  </si>
  <si>
    <t>Vegetable Blend (Broccoli, Carrots, Cauliflower, Red Bell Peppers, Kale, Onions, Zucchini), Brown Rice, Egg Whites, Whole Eggs, Canola Oil, Corn Starch, Seasoning Blend (Dried Onion, Spices, Salt , Sugar, Corn Starch, Natural Flavor, Tomato, Onion Garlic Powder), Black Pepper.</t>
  </si>
  <si>
    <t>4fbc7e90-8843-4380-b689-244205eac467</t>
  </si>
  <si>
    <t>Garden Lites Veggies Made Great Veggie Bacon &amp; Potato Frittata</t>
  </si>
  <si>
    <t>frittata</t>
  </si>
  <si>
    <t>Vegetable Blend (Cauliflower, Potatoes, Onions), Whole Eggs, Cheddar Cheese (Milk, Cultures, Salt, Enzyme, Annatto [Natural Color], Powdered Cellulose [To Prevent Caking]), Milk, Veggie Bacon (Pinto Beans, Sunflower Oil, Natural Flavor), Canola Oil, Corn Starch, Salt, Sugar, Egg Whites, Garlic Powder, Onion Powder, Extract Sharp Non-Dairy Cheese Powder (Torula Yeast, Organic Corn Starch, Maltodextrin, Natural Flavor, Organic Rice Concentrate, Sodium Citrate Sunflower Lecithin, Canola Oil, Vitamin E, Medium Chain Triglycerides), Citrus Fiber, Black Pepper.</t>
  </si>
  <si>
    <t>fdb4cc09-b3e0-45b4-8427-42b609a6e971</t>
  </si>
  <si>
    <t>Kellogg'sÂ® Special K Sausage, Egg &amp; Cheese Flatbread Breakfast Sandwich</t>
  </si>
  <si>
    <t>Baked Egg Patty (Eggs, Nonfat Milk, Modified Food Starch, Water, Salt, Xanthan Gum, Black Pepper Extract, Citric Acid [Preservative], Soy Lecithin), Multi Grain Flatbread (Whole Wheat Flour, Water, Enriched Flour [Wheat Flour, Malted Barley Flour, Niacin, Reduced Iron, Vitamin B1 (Thiamin Mononitrate), Vitamin B2 (Riboflavin), Folic Acid], Oat Fiber, Sugar, Wheat Gluten, Yeast, Wheat Bran, Rolled Oats, Cultured Wheat Flour, Soybean Oil, Vinegar, Cracked Rye, Salt, Xanthan Gum, Calcium Sulfate, Ascorbic Acid), Fully Cooked Sausage Patty (Pork, Mechanically Separated Turkey, Water, Salt, Spices, Corn Syrup Solids, Dextrose, Spice Extracts), Pasteurized Process White Cheddar Cheese Product (White Cheddar Cheese [Pasteurized Milk, Cheese Cultures, Salt, Enzymes], Water, Nonfat Milk, Sodium Phosphate, Casein, Natural Cheddar Cheese Flavor [Cheddar Cheese (Pasteurized Milk, Salt, Cheese Cultures, Enzymes), Water, Sodium Phosphate, Salt, Milkfat, Xanthan Gum], Salt).</t>
  </si>
  <si>
    <t>391bf91c-de20-4ad6-9007-5143bda4a304</t>
  </si>
  <si>
    <t>Food For Life, 7-Sprouted Grains Cinnamon Raisin Bread</t>
  </si>
  <si>
    <t>slice</t>
  </si>
  <si>
    <t>0.5</t>
  </si>
  <si>
    <t>Organic Sprouted Wheat, Filtered Water, Organic Raisins, Organic Malted Barley, Organic Sprouted Rye, Organic Sprouted Barley, Organic Sprouted Oats, Organic Sprouted Millet, Organic Sprouted Corn, Organic Sprouted Brown Rice, Fresh Yeast, Organic Wheat Gluten, Sea Salt, Organic Cinnamon.</t>
  </si>
  <si>
    <t>a626e0f0-f9f6-4404-9a07-94e186a5d8e6</t>
  </si>
  <si>
    <t>Siggi's Skyr Icelandic-Style Strained Non-Fat Yogurt, Vanilla</t>
  </si>
  <si>
    <t>Pasteurized Skim Milk, Organic Agave Nectar, Madagascar Bourbon Vanilla, Live Active Cultures. Live Cultures: B. Lactis, L. Acidophilus, L. Delbrueckii Subsp. Bulgaricus, L. Delbrueckii Subsp. Lactis, S. Thermophilus.</t>
  </si>
  <si>
    <t>592fb740-251d-4f96-b119-56c7a6db703f</t>
  </si>
  <si>
    <t>Mamma Chia Wild Raspberry Chia Squeeze</t>
  </si>
  <si>
    <t>Hydrated organic chia seeds (water, organic chia seeds), organic banana puree, organic raspberry puree, organic apple juice concentrate, organic beet puree, organic natural berry flavors, citric acid, fruit and vegetable juice for color</t>
  </si>
  <si>
    <t>661520da-95ba-4ef6-b4d0-fd053f9b4596</t>
  </si>
  <si>
    <t>Mamma Chia Blackberry Bliss Chia Squeeze</t>
  </si>
  <si>
    <t>Hydrated Organic Chia Seeds (Water, Organic Chia Seeds), Organic Apple Puree, Organic Grape Juice Concentrate, Organic Blackberry Puree, Organic Blackberry Juice Concentrate, Organic Purple Carrot Juice Concentrate, Citric Acid, Organic Natural Blackberry Flavor, Organic Natural Blueberry Flavor.</t>
  </si>
  <si>
    <t>90c9d0c8-e297-49f7-98fa-7b1462a44e9d</t>
  </si>
  <si>
    <t>Healthy Choice Power Bowls Pesto &amp; Egg White Scramble</t>
  </si>
  <si>
    <t>Cooked Egg Whites (Egg Whites, Corn Starch, Salt, Xanthan Gum), Sauce (Water, Leafy Greens [Kale, Chard, Spinach], Olive Oil, Basil, Parmesan Cheese [Part Skim Milk, Cheese Culture, Salt, Enzymes], Roasted And Salted Sunflower Kernels [Sunflower Kernels, Salt, Sunflower Oil], Lemon Juice Concentrate, Garlic Puree, Corn Starch, Salt, Black Pepper), Cooked Multigrains (Water, Steel Cut Oats, Farro [Wheat], Buckwheat, Red Quinoa), Cooked White Kidney Beans, Tomatoes, Chard, Kale, Parmesan Cheese (Part Skim Milk, Cheese Culture, Salt, Enzymes), Spinach. Contains: Egg, Milk, Wheat.</t>
  </si>
  <si>
    <t>b55fe8c1-4baf-40aa-bf14-c47e2611852d</t>
  </si>
  <si>
    <t>Red Duck Organic Taco Sauce (Approachably Mild)</t>
  </si>
  <si>
    <t>Water, organic tomato paste, organic white distilled vinegar, organic onion, organic tapioca starch, organic bell pepper, organic orange peel, sea salt, organic cumin, organic garlic, organic carrot puree, organic paprika, organic lime juice concentrate.</t>
  </si>
  <si>
    <t>43783043-0e5a-46ba-bd7d-fe702f0f2e1f</t>
  </si>
  <si>
    <t>Cut Da Carb Low Carb Flatbread</t>
  </si>
  <si>
    <t>flatbread</t>
  </si>
  <si>
    <t>Filtered water, whole wheat flour, unbleached flour, psyllium husk, yeast, and salt</t>
  </si>
  <si>
    <t>dfb49152-8777-4f4a-b946-a0caac1a8269</t>
  </si>
  <si>
    <t>Hint Water Mango Grapefruit</t>
  </si>
  <si>
    <t>Purified Water, Mango, Grapefruit And Other Natural Flavors.</t>
  </si>
  <si>
    <t>cdd30f53-2872-4e42-a40c-4f3df4ad63f1</t>
  </si>
  <si>
    <t>Quest Protein Cookie Double Chocolate Chip</t>
  </si>
  <si>
    <t>cookie</t>
  </si>
  <si>
    <t>Protein Blend (Milk Protein Isolate, Whey Protein Isolate), Butter (Cream), Soluble Corn Fiber, Erythritol, Palm Oil, Cocoa (Processed with Alkali), Unsweetened Chocolate, Calcium Caseinate, Natural Flavors, Water, Cocoa Butter. Contains less than 2% of the following: Sunflower Lecithin, Sea Salt, Baking Soda, Sodium Caseinate, Xanthan Gum, Yeast Extract, Steviol Glycosides (Stevia), Peanuts. CONTAINS: Milk, Peanuts.</t>
  </si>
  <si>
    <t>f2ecbcb8-e9e2-45cb-b985-ac9cca0ccb55</t>
  </si>
  <si>
    <t>Kim's Magic Pop Original Flavor Freshly Popped Rice Cakes</t>
  </si>
  <si>
    <t>piece</t>
  </si>
  <si>
    <t>Unbleached wheat flour. Rice Flour, Tapioca Starch, White Corn Flour, Water, Soy Lecithin, Long Grain Parboiled Brown Rice, Salt, Soybean Oil, Natural Flavor, Stevia (Natural Sweetener). CONTAINS: Wheat &amp; Soy.</t>
  </si>
  <si>
    <t>a132ad38-2280-4474-bc0c-fbbc9f061ce9</t>
  </si>
  <si>
    <t>Good Culture Organic Cottage Cheese, Pineapple</t>
  </si>
  <si>
    <t>Organic Skim Milk, Organic Whole Milk, Organic Cream, Organic Pineapples, Organic Cane Sugar, Organic Pineapple Flavor, Water, Pectin, Organic Lemon Juice Concentrate, Organic Turmeric, Celtic Sea Salt, Live And Active Cultures.</t>
  </si>
  <si>
    <t>8b3be1fa-a068-4c62-afd5-43e86aeb8211</t>
  </si>
  <si>
    <t>Chobani A Hint of Monterey Strawberry Low-Fat Blended Greek Yogurt</t>
  </si>
  <si>
    <t>Lowfat Yogurt (Cultured Pasteurized Nonfat Milk, Cream), Water, Evaporated Cane Sugar, Strawberry Puree, Natural Flavors, Fruit Pectin, Fruit and Vegetable Juice Concentrate (For Color), Lemon Juice Concentrate.</t>
  </si>
  <si>
    <t>55dee839-2e26-4c52-b295-aa3c3d5a791b</t>
  </si>
  <si>
    <t>Glaceau Vitaminwater Zero Power-C Dragonfruit Enhanced Water Beverage</t>
  </si>
  <si>
    <t>27</t>
  </si>
  <si>
    <t>Reverse Osmosis Water, Cane Sugar, less than 0.5% of: Vitamin C (Ascorbic Acid), Citric Acid, Natural Flavors, Stevia Leaf Extract, Vegetable Juice (Color), Magnesium Lactate and Calcium Lactate and Potassium Phosphate (Electrolyte Sources), Taurine, Vitamin B5 (Calcium Pantothenate), Zinc Gluconate, Vitamin B6 (Pyridoxine Hydrochloride), Vitamin B12, Chromium Polynicotinate.</t>
  </si>
  <si>
    <t>a1c08d62-4598-4f6b-99c1-36c462cfa05e</t>
  </si>
  <si>
    <t>La Croix Sparkling Water, Tangerine</t>
  </si>
  <si>
    <t>Only Carbonated Water, Naturally Essenced.</t>
  </si>
  <si>
    <t>a206a08a-4037-49a8-899f-21743806787b</t>
  </si>
  <si>
    <t>Diet Dr. Brownâ€™s Original Cream Soda</t>
  </si>
  <si>
    <t>Carbonated Water, Natural And Artificial Flavors, Aspartame, Sodium Benzoate (Preservative) And Caramel Color.</t>
  </si>
  <si>
    <t>b16e11c0-0b68-4e40-aed7-37d6d613c250</t>
  </si>
  <si>
    <t>bubly Sparkling Water, Strawberry</t>
  </si>
  <si>
    <t>Carbonated Water, Natural Flavor</t>
  </si>
  <si>
    <t>61c6de58-fdba-43fd-8d55-1d074ae1cbfd</t>
  </si>
  <si>
    <t>Perrier, Pink Grapefruit</t>
  </si>
  <si>
    <t>Carbonated Mineral Water, Natural Flavors</t>
  </si>
  <si>
    <t>3a128e91-1d03-4d47-9dd9-f682dd9e2882</t>
  </si>
  <si>
    <t>Jimmy Dean Broccoli &amp; Cheese Frittata Sandwich with Chicken Sausage and Cheese</t>
  </si>
  <si>
    <t>Frittata: Whole Egg, Whole Milk, Broccoli, Cheddar Cheese (Pasteurized Milk, Cheese Culture, Salt, Enzymes), Soybean Oil, Modified Food Starch, Cheddar Cheese Flavor (Whey Solids, Natural Flavor, Salt) Citrus Fiber, Sugar, Salt.Fully Cooked Chicken Sausage Patty: Chicken, Water, Contains 2% Or Less: Smoke Flavor, Salt, Mechanically Separated Turkey, Sugar, Spices, Sodium Phosphate, Canola Oil, Natural Flavor.Pasteurized Process American Cheese: Milk, Cream, Water, Sodium Citrate, Salt, Cheese Culture, Tetrasodium Pyrophosphate, Sorbic Acid (Preservative), Enzymes, Citric Acid, Soy Lecithin.</t>
  </si>
  <si>
    <t>f299387e-6c85-4dd2-be43-3fa10d1b032b</t>
  </si>
  <si>
    <t>Milkadamia, Unsweetened Vanilla Creamer</t>
  </si>
  <si>
    <t>Macadamia Milk (Filtered Water, Macadamias), Sunflower Oil, Coconut Cream, Natural Flavors, Calcium Carbonate, Sunflower Lecithin, Locust Bean Gum, Salt, Gellan Gum, Potassium Citrate, Potassium Phosphate. Contains: Macadamias, Coconut.</t>
  </si>
  <si>
    <t>562679ed-dd8d-4e53-bbf8-cdedd9bf0218</t>
  </si>
  <si>
    <t>Paleochef Maple Mustard</t>
  </si>
  <si>
    <t>Avocado Oil, Apple Cider Vinegar, Honey, Dijon Mustard, Water, Mustard, Maple Syrup, Sea Salt, Black Pepper, Parsley, Onion.</t>
  </si>
  <si>
    <t>a048a466-dba5-4010-a78b-58a299c7f806</t>
  </si>
  <si>
    <t>Sir Kensington's Chipotle Mayonnaise</t>
  </si>
  <si>
    <t>Sunflower Oil, Certified Humane Free Range Egg Yolks, Water, Distilled Vinegar, Organic Lemon Juice, Tomato Paste, Salt, Fair Trade Organic Cane Sugar, Chipotle Powder, Smoked Paprika, Onion Powder, Garlic Powder, Citric Acid, Cumin, Black Pepper.</t>
  </si>
  <si>
    <t>5dc24091-59e3-492c-9490-ac6d62daa9d6</t>
  </si>
  <si>
    <t>Lavva Plant-Based Yogurt, Mango</t>
  </si>
  <si>
    <t>160</t>
  </si>
  <si>
    <t>12</t>
  </si>
  <si>
    <t>65</t>
  </si>
  <si>
    <t>(*=organic)_x0003_ Coconut Water*, Coconut Cream*, _x0003_Mango, Plantains, Pili Nuts*, Coconut Powder*, Cassava Root*, Lime Juice*, Himalayan Salt*,_x0003_Live Vegan Cultures</t>
  </si>
  <si>
    <t>ce242bf8-3eed-47d2-8156-da1b297e94a3</t>
  </si>
  <si>
    <t>Bee Local Hot Honey</t>
  </si>
  <si>
    <t>Bee Local Honey, Vinegar, Scorpion Chili</t>
  </si>
  <si>
    <t>adf31770-e030-4942-a1d8-df7b5494ca4c</t>
  </si>
  <si>
    <t>Trader Joe's Cauliflower Gnocchi</t>
  </si>
  <si>
    <t>Cauliflower, Cassava Flour, Potato Starch, Extra Virgin Olive Oil, Sea Salt.</t>
  </si>
  <si>
    <t>90a873de-192b-4b91-bbc5-ccf84bcc7d70</t>
  </si>
  <si>
    <t>Trader Joe's Quinoa Duo with Vegetable Melange</t>
  </si>
  <si>
    <t>260</t>
  </si>
  <si>
    <t>White quinoa (water, white quinoa, salt), zucchini, sweet potato, red quinoa (red quinoa, water, salt), extra virgin olive oil, tomato sauce (tomato puree (tomato, salt), onions, galangal, spices, soy sauce (water, salt, soybean, sugar, wheat flour), garlic puree, salt, cayenne pepper, red chili, sunflower oil, roasted cumin, herbs), water, vegetable base (vegetable concentrate (carrots, onions, leeks), water, spices), salt, lemon juice, garlic, modified rice or corn starch, sugar.</t>
  </si>
  <si>
    <t>b2c2872a-498d-4e66-b36c-c4309bd8d7a5</t>
  </si>
  <si>
    <t>Lean Cuisine Comfort Roasted Turkey &amp; Vegetables</t>
  </si>
  <si>
    <t>190</t>
  </si>
  <si>
    <t>19</t>
  </si>
  <si>
    <t>670</t>
  </si>
  <si>
    <t>Green beans, glazed turkey tenderloins (cooked turkey tenderloins, water, modified cornstarch, seasoning (autolyzed yeast extract, maltodextrin, salt, turkey flavor, turkey stock, flavor, gum arabic), carrageenan, canola oil, sodium phosphate, natural flavoring, salt, potassium chloride, paprika), water, mushrooms, dried cranberries (cranberries, sugar, sunflower oil), 2% or less of soybean oil, almonds, modified cornstarch, skim milk, turkey flavor (flavor, salt, dried turkey stock, maltodextrin, sesame oil (contains soy)), sugar, salt, chicken fat, bleached wheat flour, seasoning (maltodextrin, flavor, enzyme modified butterfat), seasoning (autolyzed yeast extract, flavors, water, chicken powder, chicken fat, sugar, sodium lactate, sodium phosphate, lactic acid), dehydrated onions, potassium chloride, seasoning (wheat starch, extracts of annatto and turmeric color, natural flavor), yeast extract, caramel color, spices, cultured whey.</t>
  </si>
  <si>
    <t>fcaa7c5a-2e33-4c28-80e9-f9c0c4aa0920</t>
  </si>
  <si>
    <t>Waterloo Sparkling Water, Watermelon</t>
  </si>
  <si>
    <t>Vapor-Distilled Carbonated Water, Natural Flavors</t>
  </si>
  <si>
    <t>985f0e5a-49ed-4dab-9c89-70a71189fe9e</t>
  </si>
  <si>
    <t>OATLY! Original Oat Milk</t>
  </si>
  <si>
    <t>Oatmilk (water, oats). Contains 2% or less of: rapeseed oil, dipotassium phosphate, calcium carbonate, tricalcium phosphate, sea salt, dicalcium phosphate, riboflavin, vitamin A, vitamin D2, vitamin B12.</t>
  </si>
  <si>
    <t>ba3eff75-004f-44a4-838f-2e5c5ff6f30f</t>
  </si>
  <si>
    <t>Spindrift Sparkling Water, Grapefruit</t>
  </si>
  <si>
    <t>Carbonated Water, Fresh Grapefruit Juice, Fresh Orange Juice, Fresh Lemon Juice, Hibiscus (for Color)</t>
  </si>
  <si>
    <t>18d5f917-c311-4d29-8d9c-d31ad9d94cb5</t>
  </si>
  <si>
    <t>California Olive Ranch Extra Virgin Olive Oil</t>
  </si>
  <si>
    <t>Extra virgin olive oil</t>
  </si>
  <si>
    <t>11ce4c19-1ca0-4efe-b203-48e344645f9d</t>
  </si>
  <si>
    <t>Eden Foods Gomasio Sesame Salt</t>
  </si>
  <si>
    <t>Organic whole sesame seeds, sea salt, sea vegetables (organic dulse, nori, kumbu)</t>
  </si>
  <si>
    <t>8b11e94a-077f-4554-845b-df6c7bc4f284</t>
  </si>
  <si>
    <t>Evol Egg &amp; Smoked Gouda Breakfast Sandwich</t>
  </si>
  <si>
    <t>Scrambled Egg Patty (Egg Whites, Whole Eggs, Water, Corn Starch, Salt, Citric Acid, Pepper), Flatbread (Whole Wheat Flour, Water, Wheat Flour, Corn Meal*, Yeast, Less Than 2%: Cultured Wheat Flour, Vinegar, Canola Oil, Wheat Gluten, Salt, Wheat Bran, Inactive Dry Yeast, Malted Barley Flour, Nondiastatic Malt, Natural Flavors), Smoked Gouda (Pasteurized Part Skim Milk, Cultures, Salt, Liquid Smoke Flavoring, Enzymes, Annatto). CONTAINS: Milk, Eggs and Wheat.</t>
  </si>
  <si>
    <t>bc9cb643-a9c7-4ae6-9b23-013409c4cd11</t>
  </si>
  <si>
    <t>Red Duck Approachably Mild Taco Sauce</t>
  </si>
  <si>
    <t>Water, Organic Tomatoes, Organic White Vinegar, Organic Dried Bell Pepper, Organic Onion Flakes, Organic Tapioca Powder, Organic Carrot Powder, Organic Lime Juice Concentrate, Organic Orange Peel, Organic Dried Garlic, Sea Salt, Organic Cumin, Organic Paprika.</t>
  </si>
  <si>
    <t>09360a76-cb1e-4d72-ac15-45b63922502b</t>
  </si>
  <si>
    <t>California Olive Ranch Extra Virgin Olive Oil Every Day</t>
  </si>
  <si>
    <t>4fec0e2d-b90c-4082-8f8e-aa6a7a100602</t>
  </si>
  <si>
    <t>Maille Dijon Mustard</t>
  </si>
  <si>
    <t>Water, mustard seed, distilled vinegar, salt, citric acid, sodium metabisulfite (used to protect quality).</t>
  </si>
  <si>
    <t>417a3737-8d16-4bee-a99b-5696b2c8b3b1</t>
  </si>
  <si>
    <t>Red Boat Fish Salt</t>
  </si>
  <si>
    <t>Anchovy, sea salt</t>
  </si>
  <si>
    <t>eb1563e8-fd5b-48bc-b605-4e14feab44d5</t>
  </si>
  <si>
    <t>bb731533-f336-4c8d-a605-d55e550e8212</t>
  </si>
  <si>
    <t>Mother in Lawâ€™s Kimchi</t>
  </si>
  <si>
    <t>Napa cabbage, yellow onion, green onion, salt, red chile pepper flakes, fresh ginger, fresh peeled garlic, organic sugar, beef bone broth, salted shrimp, fish sauce (anchovies, salt)</t>
  </si>
  <si>
    <t>70dec3cb-d1d4-4b98-9d43-2903a1756612</t>
  </si>
  <si>
    <t>Grey Poupon Dijon Mustard</t>
  </si>
  <si>
    <t>Water, vinegar, mustard seed, salt, white wine, fruit pectin, citric acid, tartaric acid, sugar, spice</t>
  </si>
  <si>
    <t>a8c3f1f3-e1f4-46af-8ac9-0f449871c0bc</t>
  </si>
  <si>
    <t>Maille Old Style Whole Grain Dijon Mustard</t>
  </si>
  <si>
    <t>Water, mustard seeds, distilled vinegar, salt, white wine, sugar, lactic acid, natural flavor.</t>
  </si>
  <si>
    <t>045a3856-8c06-479d-ad24-0504ff31f34e</t>
  </si>
  <si>
    <t>Beyond Beef Beefy Crumbles</t>
  </si>
  <si>
    <t>Water, Pea Protein Isolate, Canola and Sunflower Oil, Contains 2% or Less: Rice Flour, Spice, Yeast Extract, Tomato Powder, Maltodextrin, Sugar, Potassium Bicarbonate, Potassium Chloride, Caramel Color, Citric Acid, Salt, Calcium Sulfate, Onion Extract, Natural Flavor, Garlic Extract</t>
  </si>
  <si>
    <t>c42fb3e0-68bd-4b07-b061-287ee46949cd</t>
  </si>
  <si>
    <t>Epic Chili Lime Pork Rinds</t>
  </si>
  <si>
    <t>Baked pork skins, pork fat, paprika, spices (jalapeno pepper, chili pepper, red pepper) citric acid, sea salt, onion powder, lime garlic powder.</t>
  </si>
  <si>
    <t>75692fc1-446b-4fe8-ba0c-19ea2ab6b8b4</t>
  </si>
  <si>
    <t>Food For Life, 7-Sprouted Grains English Muffins</t>
  </si>
  <si>
    <t>Organic Sprouted Wheat, Filtered Water, Organic: Malted Barley, Organic Sprouted Rye, Organic Sprouted Barley, Organic Sprouted Oats, Organic Sprouted Millet, Organic Sprouted Corn, Organic Sprouted Brown Rice, Fresh Yeast, Organic Wheat Gluten, Sea Salt.</t>
  </si>
  <si>
    <t>09e40974-ad37-40b9-af41-9386279fd366</t>
  </si>
  <si>
    <t>Rhythm Superfoods Kale Chips Original</t>
  </si>
  <si>
    <t>200</t>
  </si>
  <si>
    <t>Kale, Sunflower Seeds, Tahini (Ground Sesame Seeds), Carrot, Apple Cider Vinegar, Cane Sugar, Onion, *Sea Salt, Lemon Juice.</t>
  </si>
  <si>
    <t>9676ede1-7deb-45d5-b5bb-90edbc91366c</t>
  </si>
  <si>
    <t>Go Raw Sprouted Organic Pumpkin Seeds with Sea Salt</t>
  </si>
  <si>
    <t>Häagen-Dazs Vanilla Milk Chocolate Ice Cream Bar</t>
  </si>
  <si>
    <t>cane sugar, vegetable oil (sunflower, palm, canola), arabica coffee (whole coffee matter™), skim milk, milk, whey, lactose, sunflower lecithin, natural flavors, salt. | caffeine: 40mg caffeine per serving</t>
  </si>
  <si>
    <t>Filtered Water, Organic Coconut Milk (Organic Coconut, Water), Organic Sweet Potatoes, Organic Carrots, Organic Tofu (Filtered Water, Organic Soybeans, Magnesium Chloride), Organic Green Beans, Organic Sautéed Onions (Organic Onions, Organic Sunflower Oil), Organic Shiitake Mushrooms, Organic Tamari (Water, Organic Soybeans, Organic Alcohol [to preserve freshness], Salt), Spices, Sea Salt, Organic Cane Sugar, Galangal, Organic Cornstarch, Organic Garlic, Shallots, Organic High Oleic Safflower and/or Sunflower Oil, Black Pepper, Lemongrass, Orange Peel.</t>
  </si>
  <si>
    <t>Yolélé Jollof Fonio Pilaf</t>
  </si>
  <si>
    <t xml:space="preserve">water, carrots, green beans, onions, tomato paste, celery, peas, potatoes, corn, lima beans, barley, enriched macaroni product (durum semolina, niacin, ferrous sulfate, thiamine mononitrate, riboflavin and folic acid), green split peas, corn starch, canola/soybean oil, spices, xanthan gum, garlic and garlic powder. ALLERGY WARNING: This product contains wheat and barley.
</t>
  </si>
  <si>
    <t>Filtered carbonated water, Bai® Proprietary Sweetener Blend™ (erythritol, stevia extract), natural flavors, citric acid, orange juice concentrate, coffeefruit extract, vegetable juice and beta carotene (for color), white tea extract, malic acid, ascorbic acid, sodium citrate.</t>
  </si>
  <si>
    <t>Blanched Roasted Almonds and Palm Fruit Oil.  Barney Bare does not contain added sugar and salt.</t>
  </si>
  <si>
    <t>Trader Joe’s Organic Low Sodium Chicken Broth</t>
  </si>
  <si>
    <t>ceecc7ee-cffe-4f0b-a1e1-52eb277e1fcf</t>
  </si>
  <si>
    <t>RX Bar, Apple Cinnamon</t>
  </si>
  <si>
    <t>Water, Cashews, Tomatoes, Nutritional Yeast, Onion, Green Bell Peppers, Distilled White Vinegar, Jalapeños, Sea Salt, Flax Seed, Fermented Extract (Oregano, Flax Seed, and Plum), Coconut Milk Powder, Lactic Acid, Onion Powder, Garlic Powder</t>
  </si>
  <si>
    <t>100% Grass-fed Beef, Water, Sea Salt, Lactic Acid, Jalapeño Peppers, Celery Juice, Black Pepper, Red Pepper, Garlic Powder, Coriander, Stuffed In A Collagen Casing.</t>
  </si>
  <si>
    <t xml:space="preserve">Brodo Seaweed Mushroom Broth </t>
  </si>
  <si>
    <t>Black Beans, Navy Beans, Brown Rice, Safflower or Sunflower Oil, Seasoning Blend (Tomato Powder, Sea Salt, Torula Yeast, Onion Powder, Spices, Tapioca Maltodextrin, Yeast Extract,  Dehydrated Green Bell Pepper, Garlic Powder, Dehydrated Parsley, Extractives of Paprika, Safflower Oil, Natural Smoke Flavor, Dehydrated Cilantro, Spice Extractive).</t>
  </si>
  <si>
    <t>5f57527f-b05d-40e1-9c10-6435189bf775</t>
  </si>
  <si>
    <t>Diaspora Co. Single-Origin Pragati Turmeric</t>
  </si>
  <si>
    <t>9263fa0a-ac51-4b1a-a7a1-6519d9d8a341</t>
  </si>
  <si>
    <t>Rancho Gordo Royal Corona Beans</t>
  </si>
  <si>
    <t>Trader Joe’s Reduced Guilt Mac &amp; Cheese</t>
  </si>
  <si>
    <t xml:space="preserve">pouch </t>
  </si>
  <si>
    <t>Monterey Jack Cheese with Jalapeño Peppers (Pasteurized Milk, Jalapeño Peppers, Cheese Culture, Salt, Enzymes).</t>
  </si>
  <si>
    <t>3954d85d-4c27-4270-b854-dd8f53b954c1</t>
  </si>
  <si>
    <t>Junzi Chili Oil</t>
  </si>
  <si>
    <t>Canola oil, tianjin chili flakes, cayenne pepper, zhenjiang vinegar, brown cane sugar.</t>
  </si>
  <si>
    <t>Yolélé Fonio</t>
  </si>
  <si>
    <t xml:space="preserve">Cocoa Mass, Whey Protein Concentrate (Milk), Cocoa Butter, Cocoa Powder, Inulin (Fiber), Erythritol (Natural Sweetener), Whole Milk Powder, Sunflower Lecithin, Espresso Beans, Stevia Leaf Extract, Natural Flavor </t>
  </si>
  <si>
    <t xml:space="preserve"> cup</t>
  </si>
  <si>
    <t>Strawberry Purée (Strawberries, Lemon Juice), Water, Cane Sugar.</t>
  </si>
  <si>
    <t>6b5d2a22-9c98-46ef-aa51-04cfc0eca5b4</t>
  </si>
  <si>
    <t>SkinnyPop Popcorn Cakes, White Cheddar Popcorn Cakes</t>
  </si>
  <si>
    <t xml:space="preserve">Soy grits, wheat gluten, soy protein isolate, corn bran, rice flour, corn meal, polydextrose, corn starch, maltodextrin, canola oil, sliced natural almonds. natural flavor, salt, caramel color, vitamin E (mixed tocopherols) as natural antioxidants, sucralose. CONTAINS: Soy and almond ingredients. May contain other tree nuts. </t>
  </si>
  <si>
    <t>Protein Blend (Milk Protein Isolate, Whey Protein Isolate), Soluble Corn Fiber (Prebiotic Fiber), Allulose‡, Palm Kernel Oil, Erythritol, Water, Butter, Almonds, Natural Flavors. Contains less than 2% of the following: Sea Salt, Baking Soda, Palm Oil, Cellulose Gum, Xanthan Gum, Carrageenan, Sucralose, Sunflower Lecithin. CONTAINS: Milk-Derived Ingredients.</t>
  </si>
  <si>
    <t>Kellogg's® Special K Sausage, Egg &amp; Cheese Flatbread Breakfast Sandwich</t>
  </si>
  <si>
    <t xml:space="preserve">Fire Roasted Tomatillos, Filtered Water, Fire Roasted Tomatoes, Avocado, Roasted Onions, Roasted Garlic Salt, Cilantro, Fire Roasted Serrano Peppers, Cane Sugar, Extra Virgin Olive Oil, Xanthan Gum </t>
  </si>
  <si>
    <t>Filtered Water, Bai® Proprietary Sweetener Blend™ (Erythritol, Stevia Leaf Extract), Mango Juice Concentrate, Natural Flavors, Citric Acid, Coffeefruit Extract, White Tea Extract, Malic Acid, Beta Carotene (For Color), Vitamin C (Ascorbic Acid), Sodium Citrate.</t>
  </si>
  <si>
    <t>Protein Blend (Milk Protein Isolate, Whey Protein Isolate), Butter (Cream), Soluble Corn Fiber, Erythritol, Palm Oil, Cocoa (Processed with Alkali), Unsweetened Chocolate, Calcium Caseinate, Natural Flavors, Water, Cocoa Butter. Contains less than 2% of the following:  Sunflower Lecithin, Sea Salt, Baking Soda, Sodium Caseinate, Xanthan Gum, Yeast Extract, Steviol Glycosides (Stevia), Peanuts. CONTAINS: Milk, Peanuts.</t>
  </si>
  <si>
    <t xml:space="preserve">Onions, Tomatoes (Tomatoes, Tomato Juice, Salt, Citric Acid), Chickpeas, Water, Canola Oil, Spices, Garlic, Salt, Peppers, Cilantro, Mango Powder, Turmeric, Bay Leaves. May contain peanuts and tree nuts.
</t>
  </si>
  <si>
    <t>Diet Dr. Brown’s Original Cream Soda</t>
  </si>
  <si>
    <t xml:space="preserve">Avocado Oil, Apple Cider Vinegar, Honey, Dijon Mustard, Water, Mustard, Maple Syrup, Sea Salt, Black Pepper, Parsley, Onion. </t>
  </si>
  <si>
    <t>6fcffdc5-f07a-493a-9086-8c8d64f33e12</t>
  </si>
  <si>
    <t>Harney &amp; Sons Fine Teas, Green Tea with Coconut</t>
  </si>
  <si>
    <t>Green tea, lemongrass, coconut flavor, vanilla flavor, ginger flavor. Contains natural flavors.</t>
  </si>
  <si>
    <t>403c8642-38c4-4e51-9220-d04cbb3c1e1c</t>
  </si>
  <si>
    <t>Harney &amp; Sons Fine Teas, Hot Cinnamon Sunset</t>
  </si>
  <si>
    <t>Black tea, orange peel, three types of cinnamon, cloves. Contains Natural &amp; Artificial flavors.</t>
  </si>
  <si>
    <t xml:space="preserve">Wasa Crispbread, Light Rye </t>
  </si>
  <si>
    <t>57950650-289a-4148-84ef-bae2b8b73f2b</t>
  </si>
  <si>
    <t>Brightland Awake 100% Extra Virgin Olive Oil</t>
  </si>
  <si>
    <t>Hand-picked Coratina Olives</t>
  </si>
  <si>
    <t xml:space="preserve">Eden Foods Gomasio Sesame Salt </t>
  </si>
  <si>
    <t>Bob’s Red Mill Hard Red Wheat Berries</t>
  </si>
  <si>
    <t>Mother in Law’s Kimchi</t>
  </si>
  <si>
    <t>Category</t>
  </si>
  <si>
    <t>Condiment</t>
  </si>
  <si>
    <t>Snack</t>
  </si>
  <si>
    <t>Ingredient</t>
  </si>
  <si>
    <t>Meal</t>
  </si>
  <si>
    <t>Drink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</si>
</sst>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
  </numFmts>
  <fonts count="7">
    <font>
      <sz val="10"/>
      <color rgb="FF000000"/>
      <name val="Helvetica Neue"/>
    </font>
    <font>
      <sz val="12"/>
      <color rgb="FF000000"/>
      <name val="Helvetica Neue"/>
    </font>
    <font>
      <b/>
      <sz val="10"/>
      <color rgb="FF000000"/>
      <name val="Helvetica Neue"/>
    </font>
    <font>
      <sz val="11"/>
      <color rgb="FF000000"/>
      <name val="Calibri"/>
      <family val="2"/>
    </font>
    <font>
      <sz val="11"/>
      <color rgb="FFFF0000"/>
      <name val="Calibri"/>
      <family val="2"/>
    </font>
    <font>
      <sz val="11"/>
      <color theme="1"/>
      <name val="Calibri"/>
      <family val="2"/>
    </font>
    <font>
      <sz val="11"/>
      <color rgb="FFFF0000"/>
      <name val="Calibri"/>
      <family val="2"/>
    </font>
  </fonts>
  <fills count="4">
    <fill>
      <patternFill patternType="none"/>
    </fill>
    <fill>
      <patternFill patternType="gray125"/>
    </fill>
    <fill>
      <patternFill patternType="solid">
        <fgColor rgb="FFBDC0BF"/>
        <bgColor rgb="FFBDC0BF"/>
      </patternFill>
    </fill>
    <fill>
      <patternFill patternType="solid">
        <fgColor rgb="FFDBDBDB"/>
        <bgColor rgb="FFDBDBDB"/>
      </patternFill>
    </fill>
  </fills>
  <borders count="8">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28">
    <xf numFmtId="0" fontId="0" fillId="0" borderId="0" xfId="0" applyFont="1" applyAlignment="1">
      <alignment vertical="top" wrapText="1"/>
    </xf>
    <xf numFmtId="0" fontId="1" fillId="0" borderId="0" xfId="0" applyFont="1" applyAlignment="1">
      <alignment horizontal="center" vertical="center"/>
    </xf>
    <xf numFmtId="0" fontId="0" fillId="0" borderId="0" xfId="0" applyFont="1" applyAlignment="1">
      <alignment vertical="top"/>
    </xf>
    <xf numFmtId="49" fontId="2" fillId="2" borderId="1" xfId="0" applyNumberFormat="1" applyFont="1" applyFill="1" applyBorder="1" applyAlignment="1">
      <alignment vertical="top"/>
    </xf>
    <xf numFmtId="49" fontId="3" fillId="0" borderId="0" xfId="0" applyNumberFormat="1" applyFont="1" applyAlignment="1"/>
    <xf numFmtId="164" fontId="3" fillId="0" borderId="0" xfId="0" applyNumberFormat="1" applyFont="1" applyAlignment="1"/>
    <xf numFmtId="0" fontId="3" fillId="0" borderId="0" xfId="0"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49" fontId="4" fillId="0" borderId="0" xfId="0" applyNumberFormat="1" applyFont="1" applyAlignment="1"/>
    <xf numFmtId="49" fontId="5" fillId="0" borderId="0" xfId="0" applyNumberFormat="1" applyFont="1" applyAlignment="1"/>
    <xf numFmtId="0" fontId="4" fillId="0" borderId="0" xfId="0" applyFont="1" applyAlignment="1">
      <alignment horizontal="right"/>
    </xf>
    <xf numFmtId="0" fontId="3" fillId="0" borderId="0" xfId="0" applyFont="1" applyAlignment="1"/>
    <xf numFmtId="10" fontId="3" fillId="0" borderId="0" xfId="0" applyNumberFormat="1" applyFont="1" applyAlignment="1">
      <alignment horizontal="right"/>
    </xf>
    <xf numFmtId="49" fontId="2"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165" fontId="1" fillId="0" borderId="0" xfId="0" applyNumberFormat="1" applyFont="1" applyAlignment="1">
      <alignment horizontal="center" vertical="center"/>
    </xf>
    <xf numFmtId="49" fontId="2"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49" fontId="0" fillId="0" borderId="7" xfId="0" applyNumberFormat="1" applyFont="1" applyBorder="1" applyAlignment="1">
      <alignment vertical="top" wrapText="1"/>
    </xf>
    <xf numFmtId="165" fontId="0" fillId="0" borderId="7" xfId="0" applyNumberFormat="1" applyFont="1" applyBorder="1" applyAlignment="1">
      <alignment vertical="top"/>
    </xf>
    <xf numFmtId="49" fontId="6" fillId="0" borderId="0" xfId="0" applyNumberFormat="1" applyFont="1" applyAlignment="1"/>
    <xf numFmtId="0" fontId="1" fillId="0" borderId="0" xfId="0" applyFont="1" applyAlignment="1">
      <alignment horizontal="center" vertical="center"/>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2"/>
  <sheetViews>
    <sheetView showGridLines="0" workbookViewId="0"/>
  </sheetViews>
  <sheetFormatPr defaultColWidth="14.453125" defaultRowHeight="15" customHeight="1"/>
  <cols>
    <col min="1" max="1" width="34.453125" customWidth="1"/>
    <col min="2" max="2" width="66.7265625" customWidth="1"/>
    <col min="3" max="3" width="17" customWidth="1"/>
    <col min="4" max="4" width="20.453125" customWidth="1"/>
    <col min="5" max="5" width="17.81640625" customWidth="1"/>
    <col min="6" max="6" width="16" customWidth="1"/>
    <col min="7" max="7" width="17.08984375" customWidth="1"/>
    <col min="8" max="8" width="13.7265625" customWidth="1"/>
    <col min="9" max="9" width="16" customWidth="1"/>
    <col min="10" max="10" width="17.453125" customWidth="1"/>
    <col min="11" max="11" width="15.08984375" customWidth="1"/>
    <col min="12" max="12" width="20.453125" customWidth="1"/>
    <col min="13" max="13" width="166.7265625" customWidth="1"/>
    <col min="14" max="26" width="8.26953125" customWidth="1"/>
  </cols>
  <sheetData>
    <row r="1" spans="1:26" ht="27.75" customHeight="1">
      <c r="A1" s="26" t="s">
        <v>0</v>
      </c>
      <c r="B1" s="27"/>
      <c r="C1" s="27"/>
      <c r="D1" s="27"/>
      <c r="E1" s="27"/>
      <c r="F1" s="27"/>
      <c r="G1" s="27"/>
      <c r="H1" s="27"/>
      <c r="I1" s="27"/>
      <c r="J1" s="27"/>
      <c r="K1" s="27"/>
      <c r="L1" s="27"/>
      <c r="M1" s="27"/>
      <c r="N1" s="2"/>
      <c r="O1" s="2"/>
      <c r="P1" s="2"/>
      <c r="Q1" s="2"/>
      <c r="R1" s="2"/>
      <c r="S1" s="2"/>
      <c r="T1" s="2"/>
      <c r="U1" s="2"/>
      <c r="V1" s="2"/>
      <c r="W1" s="2"/>
      <c r="X1" s="2"/>
      <c r="Y1" s="2"/>
      <c r="Z1" s="2"/>
    </row>
    <row r="2" spans="1:26" ht="27.75" customHeight="1">
      <c r="A2" s="1"/>
      <c r="B2" s="1"/>
      <c r="C2" s="1"/>
      <c r="D2" s="1" t="s">
        <v>1</v>
      </c>
      <c r="E2" s="1">
        <v>2000</v>
      </c>
      <c r="F2" s="1">
        <f>(225+325)/2</f>
        <v>275</v>
      </c>
      <c r="G2" s="1">
        <f>(56+46)/2</f>
        <v>51</v>
      </c>
      <c r="H2" s="1">
        <f>(44+77)/2</f>
        <v>60.5</v>
      </c>
      <c r="I2" s="1">
        <f>(36+25)/2</f>
        <v>30.5</v>
      </c>
      <c r="J2" s="1">
        <f>2300</f>
        <v>2300</v>
      </c>
      <c r="K2" s="1">
        <f>(25+30)/2</f>
        <v>27.5</v>
      </c>
      <c r="L2" s="1">
        <f>300</f>
        <v>300</v>
      </c>
      <c r="M2" s="1"/>
      <c r="N2" s="2"/>
      <c r="O2" s="2"/>
      <c r="P2" s="2"/>
      <c r="Q2" s="2"/>
      <c r="R2" s="2"/>
      <c r="S2" s="2"/>
      <c r="T2" s="2"/>
      <c r="U2" s="2"/>
      <c r="V2" s="2"/>
      <c r="W2" s="2"/>
      <c r="X2" s="2"/>
      <c r="Y2" s="2"/>
      <c r="Z2" s="2"/>
    </row>
    <row r="3" spans="1:26" ht="20.25" customHeight="1">
      <c r="A3" s="3" t="s">
        <v>2</v>
      </c>
      <c r="B3" s="3" t="s">
        <v>3</v>
      </c>
      <c r="C3" s="3" t="s">
        <v>4</v>
      </c>
      <c r="D3" s="3" t="s">
        <v>5</v>
      </c>
      <c r="E3" s="3" t="s">
        <v>6</v>
      </c>
      <c r="F3" s="3" t="s">
        <v>7</v>
      </c>
      <c r="G3" s="3" t="s">
        <v>8</v>
      </c>
      <c r="H3" s="3" t="s">
        <v>9</v>
      </c>
      <c r="I3" s="3" t="s">
        <v>10</v>
      </c>
      <c r="J3" s="3" t="s">
        <v>11</v>
      </c>
      <c r="K3" s="3" t="s">
        <v>12</v>
      </c>
      <c r="L3" s="3" t="s">
        <v>13</v>
      </c>
      <c r="M3" s="3" t="s">
        <v>14</v>
      </c>
      <c r="N3" s="2"/>
      <c r="O3" s="2"/>
      <c r="P3" s="2"/>
      <c r="Q3" s="2"/>
      <c r="R3" s="2"/>
      <c r="S3" s="2"/>
      <c r="T3" s="2"/>
      <c r="U3" s="2"/>
      <c r="V3" s="2"/>
      <c r="W3" s="2"/>
      <c r="X3" s="2"/>
      <c r="Y3" s="2"/>
      <c r="Z3" s="2"/>
    </row>
    <row r="4" spans="1:26" ht="20.25" customHeight="1">
      <c r="A4" s="4" t="s">
        <v>15</v>
      </c>
      <c r="B4" s="4" t="s">
        <v>16</v>
      </c>
      <c r="C4" s="5">
        <v>43894</v>
      </c>
      <c r="D4" s="4" t="s">
        <v>17</v>
      </c>
      <c r="E4" s="6">
        <v>160</v>
      </c>
      <c r="F4" s="6">
        <v>40</v>
      </c>
      <c r="G4" s="6">
        <v>0</v>
      </c>
      <c r="H4" s="6">
        <v>0</v>
      </c>
      <c r="I4" s="6">
        <v>36</v>
      </c>
      <c r="J4" s="6">
        <v>5</v>
      </c>
      <c r="K4" s="7" t="s">
        <v>18</v>
      </c>
      <c r="L4" s="6">
        <v>0</v>
      </c>
      <c r="M4" s="4" t="s">
        <v>19</v>
      </c>
      <c r="N4" s="2"/>
      <c r="O4" s="2"/>
      <c r="P4" s="2"/>
      <c r="Q4" s="2"/>
      <c r="R4" s="2"/>
      <c r="S4" s="2"/>
      <c r="T4" s="2"/>
      <c r="U4" s="2"/>
      <c r="V4" s="2"/>
      <c r="W4" s="2"/>
      <c r="X4" s="2"/>
      <c r="Y4" s="2"/>
      <c r="Z4" s="2"/>
    </row>
    <row r="5" spans="1:26" ht="19.5" customHeight="1">
      <c r="A5" s="4" t="s">
        <v>20</v>
      </c>
      <c r="B5" s="4" t="s">
        <v>21</v>
      </c>
      <c r="C5" s="5">
        <v>43894</v>
      </c>
      <c r="D5" s="4" t="s">
        <v>17</v>
      </c>
      <c r="E5" s="6">
        <v>140</v>
      </c>
      <c r="F5" s="6">
        <v>12</v>
      </c>
      <c r="G5" s="6">
        <v>6</v>
      </c>
      <c r="H5" s="6">
        <v>8</v>
      </c>
      <c r="I5" s="6">
        <v>8</v>
      </c>
      <c r="J5" s="6">
        <v>80</v>
      </c>
      <c r="K5" s="6">
        <v>0</v>
      </c>
      <c r="L5" s="6">
        <v>25</v>
      </c>
      <c r="M5" s="4" t="s">
        <v>22</v>
      </c>
      <c r="N5" s="2"/>
      <c r="O5" s="2"/>
      <c r="P5" s="2"/>
      <c r="Q5" s="2"/>
      <c r="R5" s="2"/>
      <c r="S5" s="2"/>
      <c r="T5" s="2"/>
      <c r="U5" s="2"/>
      <c r="V5" s="2"/>
      <c r="W5" s="2"/>
      <c r="X5" s="2"/>
      <c r="Y5" s="2"/>
      <c r="Z5" s="2"/>
    </row>
    <row r="6" spans="1:26" ht="19.5" customHeight="1">
      <c r="A6" s="4" t="s">
        <v>23</v>
      </c>
      <c r="B6" s="4" t="s">
        <v>24</v>
      </c>
      <c r="C6" s="5">
        <v>43894</v>
      </c>
      <c r="D6" s="4" t="s">
        <v>17</v>
      </c>
      <c r="E6" s="6">
        <v>150</v>
      </c>
      <c r="F6" s="6">
        <v>9</v>
      </c>
      <c r="G6" s="6">
        <v>15</v>
      </c>
      <c r="H6" s="6">
        <v>7</v>
      </c>
      <c r="I6" s="6">
        <v>8</v>
      </c>
      <c r="J6" s="6">
        <v>65</v>
      </c>
      <c r="K6" s="6">
        <v>0</v>
      </c>
      <c r="L6" s="6">
        <v>30</v>
      </c>
      <c r="M6" s="4" t="s">
        <v>25</v>
      </c>
      <c r="N6" s="2"/>
      <c r="O6" s="2"/>
      <c r="P6" s="2"/>
      <c r="Q6" s="2"/>
      <c r="R6" s="2"/>
      <c r="S6" s="2"/>
      <c r="T6" s="2"/>
      <c r="U6" s="2"/>
      <c r="V6" s="2"/>
      <c r="W6" s="2"/>
      <c r="X6" s="2"/>
      <c r="Y6" s="2"/>
      <c r="Z6" s="2"/>
    </row>
    <row r="7" spans="1:26" ht="19.5" customHeight="1">
      <c r="A7" s="4" t="s">
        <v>26</v>
      </c>
      <c r="B7" s="4" t="s">
        <v>27</v>
      </c>
      <c r="C7" s="5">
        <v>43894</v>
      </c>
      <c r="D7" s="4" t="s">
        <v>17</v>
      </c>
      <c r="E7" s="6">
        <v>140</v>
      </c>
      <c r="F7" s="6">
        <v>7</v>
      </c>
      <c r="G7" s="6">
        <v>16</v>
      </c>
      <c r="H7" s="6">
        <v>6</v>
      </c>
      <c r="I7" s="6">
        <v>5</v>
      </c>
      <c r="J7" s="6">
        <v>65</v>
      </c>
      <c r="K7" s="6">
        <v>0</v>
      </c>
      <c r="L7" s="6">
        <v>25</v>
      </c>
      <c r="M7" s="4" t="s">
        <v>28</v>
      </c>
      <c r="N7" s="2"/>
      <c r="O7" s="2"/>
      <c r="P7" s="2"/>
      <c r="Q7" s="2"/>
      <c r="R7" s="2"/>
      <c r="S7" s="2"/>
      <c r="T7" s="2"/>
      <c r="U7" s="2"/>
      <c r="V7" s="2"/>
      <c r="W7" s="2"/>
      <c r="X7" s="2"/>
      <c r="Y7" s="2"/>
      <c r="Z7" s="2"/>
    </row>
    <row r="8" spans="1:26" ht="19.5" customHeight="1">
      <c r="A8" s="4" t="s">
        <v>29</v>
      </c>
      <c r="B8" s="4" t="s">
        <v>30</v>
      </c>
      <c r="C8" s="5">
        <v>43894</v>
      </c>
      <c r="D8" s="4" t="s">
        <v>31</v>
      </c>
      <c r="E8" s="6">
        <v>25</v>
      </c>
      <c r="F8" s="6">
        <v>3</v>
      </c>
      <c r="G8" s="6">
        <v>2</v>
      </c>
      <c r="H8" s="6">
        <v>1</v>
      </c>
      <c r="I8" s="6">
        <v>3</v>
      </c>
      <c r="J8" s="8">
        <v>520</v>
      </c>
      <c r="K8" s="6">
        <v>0</v>
      </c>
      <c r="L8" s="6">
        <v>0</v>
      </c>
      <c r="M8" s="4" t="s">
        <v>32</v>
      </c>
      <c r="N8" s="2"/>
      <c r="O8" s="2"/>
      <c r="P8" s="2"/>
      <c r="Q8" s="2"/>
      <c r="R8" s="2"/>
      <c r="S8" s="2"/>
      <c r="T8" s="2"/>
      <c r="U8" s="2"/>
      <c r="V8" s="2"/>
      <c r="W8" s="2"/>
      <c r="X8" s="2"/>
      <c r="Y8" s="2"/>
      <c r="Z8" s="2"/>
    </row>
    <row r="9" spans="1:26" ht="19.5" customHeight="1">
      <c r="A9" s="4" t="s">
        <v>33</v>
      </c>
      <c r="B9" s="4" t="s">
        <v>34</v>
      </c>
      <c r="C9" s="4" t="s">
        <v>35</v>
      </c>
      <c r="D9" s="4" t="s">
        <v>17</v>
      </c>
      <c r="E9" s="6">
        <v>120</v>
      </c>
      <c r="F9" s="6">
        <v>19</v>
      </c>
      <c r="G9" s="6">
        <v>10</v>
      </c>
      <c r="H9" s="6">
        <v>1</v>
      </c>
      <c r="I9" s="6">
        <v>7</v>
      </c>
      <c r="J9" s="6">
        <v>190</v>
      </c>
      <c r="K9" s="6">
        <v>3</v>
      </c>
      <c r="L9" s="6">
        <v>0</v>
      </c>
      <c r="M9" s="4" t="s">
        <v>36</v>
      </c>
      <c r="N9" s="2"/>
      <c r="O9" s="2"/>
      <c r="P9" s="2"/>
      <c r="Q9" s="2"/>
      <c r="R9" s="2"/>
      <c r="S9" s="2"/>
      <c r="T9" s="2"/>
      <c r="U9" s="2"/>
      <c r="V9" s="2"/>
      <c r="W9" s="2"/>
      <c r="X9" s="2"/>
      <c r="Y9" s="2"/>
      <c r="Z9" s="2"/>
    </row>
    <row r="10" spans="1:26" ht="19.5" customHeight="1">
      <c r="A10" s="4" t="s">
        <v>37</v>
      </c>
      <c r="B10" s="4" t="s">
        <v>38</v>
      </c>
      <c r="C10" s="4" t="s">
        <v>35</v>
      </c>
      <c r="D10" s="4" t="s">
        <v>17</v>
      </c>
      <c r="E10" s="6">
        <v>110</v>
      </c>
      <c r="F10" s="6">
        <v>22</v>
      </c>
      <c r="G10" s="6">
        <v>2</v>
      </c>
      <c r="H10" s="6">
        <v>1.5</v>
      </c>
      <c r="I10" s="6">
        <v>9</v>
      </c>
      <c r="J10" s="6">
        <v>160</v>
      </c>
      <c r="K10" s="6">
        <v>2</v>
      </c>
      <c r="L10" s="6">
        <v>0</v>
      </c>
      <c r="M10" s="4" t="s">
        <v>39</v>
      </c>
      <c r="N10" s="2"/>
      <c r="O10" s="2"/>
      <c r="P10" s="2"/>
      <c r="Q10" s="2"/>
      <c r="R10" s="2"/>
      <c r="S10" s="2"/>
      <c r="T10" s="2"/>
      <c r="U10" s="2"/>
      <c r="V10" s="2"/>
      <c r="W10" s="2"/>
      <c r="X10" s="2"/>
      <c r="Y10" s="2"/>
      <c r="Z10" s="2"/>
    </row>
    <row r="11" spans="1:26" ht="19.5" customHeight="1">
      <c r="A11" s="4" t="s">
        <v>40</v>
      </c>
      <c r="B11" s="4" t="s">
        <v>41</v>
      </c>
      <c r="C11" s="5">
        <v>43894</v>
      </c>
      <c r="D11" s="4" t="s">
        <v>17</v>
      </c>
      <c r="E11" s="6">
        <v>200</v>
      </c>
      <c r="F11" s="6">
        <v>6</v>
      </c>
      <c r="G11" s="6">
        <v>15</v>
      </c>
      <c r="H11" s="6">
        <v>13</v>
      </c>
      <c r="I11" s="6">
        <v>3</v>
      </c>
      <c r="J11" s="6">
        <v>590</v>
      </c>
      <c r="K11" s="6">
        <v>3</v>
      </c>
      <c r="L11" s="6">
        <v>40</v>
      </c>
      <c r="M11" s="4" t="s">
        <v>42</v>
      </c>
      <c r="N11" s="2"/>
      <c r="O11" s="2"/>
      <c r="P11" s="2"/>
      <c r="Q11" s="2"/>
      <c r="R11" s="2"/>
      <c r="S11" s="2"/>
      <c r="T11" s="2"/>
      <c r="U11" s="2"/>
      <c r="V11" s="2"/>
      <c r="W11" s="2"/>
      <c r="X11" s="2"/>
      <c r="Y11" s="2"/>
      <c r="Z11" s="2"/>
    </row>
    <row r="12" spans="1:26" ht="19.5" customHeight="1">
      <c r="A12" s="4" t="s">
        <v>43</v>
      </c>
      <c r="B12" s="4" t="s">
        <v>44</v>
      </c>
      <c r="C12" s="5">
        <v>43894</v>
      </c>
      <c r="D12" s="4" t="s">
        <v>17</v>
      </c>
      <c r="E12" s="6">
        <v>240</v>
      </c>
      <c r="F12" s="6">
        <v>8</v>
      </c>
      <c r="G12" s="6">
        <v>10</v>
      </c>
      <c r="H12" s="6">
        <v>18</v>
      </c>
      <c r="I12" s="6">
        <v>4</v>
      </c>
      <c r="J12" s="6">
        <v>770</v>
      </c>
      <c r="K12" s="6">
        <v>3</v>
      </c>
      <c r="L12" s="6">
        <v>15</v>
      </c>
      <c r="M12" s="4" t="s">
        <v>45</v>
      </c>
      <c r="N12" s="2"/>
      <c r="O12" s="2"/>
      <c r="P12" s="2"/>
      <c r="Q12" s="2"/>
      <c r="R12" s="2"/>
      <c r="S12" s="2"/>
      <c r="T12" s="2"/>
      <c r="U12" s="2"/>
      <c r="V12" s="2"/>
      <c r="W12" s="2"/>
      <c r="X12" s="2"/>
      <c r="Y12" s="2"/>
      <c r="Z12" s="2"/>
    </row>
    <row r="13" spans="1:26" ht="43.5" customHeight="1">
      <c r="A13" s="4" t="s">
        <v>46</v>
      </c>
      <c r="B13" s="4" t="s">
        <v>47</v>
      </c>
      <c r="C13" s="5">
        <v>43894</v>
      </c>
      <c r="D13" s="4" t="s">
        <v>17</v>
      </c>
      <c r="E13" s="6">
        <v>190</v>
      </c>
      <c r="F13" s="6">
        <v>22</v>
      </c>
      <c r="G13" s="6">
        <v>5</v>
      </c>
      <c r="H13" s="6">
        <v>9</v>
      </c>
      <c r="I13" s="6">
        <v>6</v>
      </c>
      <c r="J13" s="6">
        <v>640</v>
      </c>
      <c r="K13" s="6">
        <v>7</v>
      </c>
      <c r="L13" s="6">
        <v>0</v>
      </c>
      <c r="M13" s="4" t="s">
        <v>48</v>
      </c>
      <c r="N13" s="2"/>
      <c r="O13" s="2"/>
      <c r="P13" s="2"/>
      <c r="Q13" s="2"/>
      <c r="R13" s="2"/>
      <c r="S13" s="2"/>
      <c r="T13" s="2"/>
      <c r="U13" s="2"/>
      <c r="V13" s="2"/>
      <c r="W13" s="2"/>
      <c r="X13" s="2"/>
      <c r="Y13" s="2"/>
      <c r="Z13" s="2"/>
    </row>
    <row r="14" spans="1:26" ht="19.5" customHeight="1">
      <c r="A14" s="4" t="s">
        <v>49</v>
      </c>
      <c r="B14" s="4" t="s">
        <v>50</v>
      </c>
      <c r="C14" s="5">
        <v>43864</v>
      </c>
      <c r="D14" s="4" t="s">
        <v>17</v>
      </c>
      <c r="E14" s="6">
        <v>280</v>
      </c>
      <c r="F14" s="6">
        <v>33</v>
      </c>
      <c r="G14" s="6">
        <v>5</v>
      </c>
      <c r="H14" s="6">
        <v>9</v>
      </c>
      <c r="I14" s="6">
        <v>31</v>
      </c>
      <c r="J14" s="6">
        <v>25</v>
      </c>
      <c r="K14" s="6">
        <v>1</v>
      </c>
      <c r="L14" s="6">
        <v>155</v>
      </c>
      <c r="M14" s="4" t="s">
        <v>51</v>
      </c>
      <c r="N14" s="2"/>
      <c r="O14" s="2"/>
      <c r="P14" s="2"/>
      <c r="Q14" s="2"/>
      <c r="R14" s="2"/>
      <c r="S14" s="2"/>
      <c r="T14" s="2"/>
      <c r="U14" s="2"/>
      <c r="V14" s="2"/>
      <c r="W14" s="2"/>
      <c r="X14" s="2"/>
      <c r="Y14" s="2"/>
      <c r="Z14" s="2"/>
    </row>
    <row r="15" spans="1:26" ht="19.5" customHeight="1">
      <c r="A15" s="4" t="s">
        <v>52</v>
      </c>
      <c r="B15" s="4" t="s">
        <v>53</v>
      </c>
      <c r="C15" s="4" t="s">
        <v>54</v>
      </c>
      <c r="D15" s="4" t="s">
        <v>17</v>
      </c>
      <c r="E15" s="6">
        <v>100</v>
      </c>
      <c r="F15" s="6">
        <v>7</v>
      </c>
      <c r="G15" s="6">
        <v>19</v>
      </c>
      <c r="H15" s="6">
        <v>0</v>
      </c>
      <c r="I15" s="6">
        <v>5</v>
      </c>
      <c r="J15" s="6">
        <v>65</v>
      </c>
      <c r="K15" s="6">
        <v>0</v>
      </c>
      <c r="L15" s="6">
        <v>10</v>
      </c>
      <c r="M15" s="4" t="s">
        <v>55</v>
      </c>
      <c r="N15" s="2"/>
      <c r="O15" s="2"/>
      <c r="P15" s="2"/>
      <c r="Q15" s="2"/>
      <c r="R15" s="2"/>
      <c r="S15" s="2"/>
      <c r="T15" s="2"/>
      <c r="U15" s="2"/>
      <c r="V15" s="2"/>
      <c r="W15" s="2"/>
      <c r="X15" s="2"/>
      <c r="Y15" s="2"/>
      <c r="Z15" s="2"/>
    </row>
    <row r="16" spans="1:26" ht="19.5" customHeight="1">
      <c r="A16" s="4" t="s">
        <v>56</v>
      </c>
      <c r="B16" s="4" t="s">
        <v>57</v>
      </c>
      <c r="C16" s="4" t="s">
        <v>54</v>
      </c>
      <c r="D16" s="4" t="s">
        <v>58</v>
      </c>
      <c r="E16" s="6">
        <v>310</v>
      </c>
      <c r="F16" s="6">
        <v>37</v>
      </c>
      <c r="G16" s="6">
        <v>5</v>
      </c>
      <c r="H16" s="6">
        <v>16</v>
      </c>
      <c r="I16" s="6">
        <v>29</v>
      </c>
      <c r="J16" s="6">
        <v>40</v>
      </c>
      <c r="K16" s="6">
        <v>3</v>
      </c>
      <c r="L16" s="6">
        <v>40</v>
      </c>
      <c r="M16" s="4" t="s">
        <v>59</v>
      </c>
      <c r="N16" s="2"/>
      <c r="O16" s="2"/>
      <c r="P16" s="2"/>
      <c r="Q16" s="2"/>
      <c r="R16" s="2"/>
      <c r="S16" s="2"/>
      <c r="T16" s="2"/>
      <c r="U16" s="2"/>
      <c r="V16" s="2"/>
      <c r="W16" s="2"/>
      <c r="X16" s="2"/>
      <c r="Y16" s="2"/>
      <c r="Z16" s="2"/>
    </row>
    <row r="17" spans="1:26" ht="19.5" customHeight="1">
      <c r="A17" s="4" t="s">
        <v>60</v>
      </c>
      <c r="B17" s="4" t="s">
        <v>61</v>
      </c>
      <c r="C17" s="5">
        <v>43864</v>
      </c>
      <c r="D17" s="4" t="s">
        <v>62</v>
      </c>
      <c r="E17" s="6">
        <v>160</v>
      </c>
      <c r="F17" s="6">
        <v>8</v>
      </c>
      <c r="G17" s="6">
        <v>2</v>
      </c>
      <c r="H17" s="6">
        <v>13</v>
      </c>
      <c r="I17" s="6">
        <v>2</v>
      </c>
      <c r="J17" s="6">
        <v>10</v>
      </c>
      <c r="K17" s="6">
        <v>0</v>
      </c>
      <c r="L17" s="6">
        <v>0</v>
      </c>
      <c r="M17" s="4" t="s">
        <v>63</v>
      </c>
      <c r="N17" s="2"/>
      <c r="O17" s="2"/>
      <c r="P17" s="2"/>
      <c r="Q17" s="2"/>
      <c r="R17" s="2"/>
      <c r="S17" s="2"/>
      <c r="T17" s="2"/>
      <c r="U17" s="2"/>
      <c r="V17" s="2"/>
      <c r="W17" s="2"/>
      <c r="X17" s="2"/>
      <c r="Y17" s="2"/>
      <c r="Z17" s="2"/>
    </row>
    <row r="18" spans="1:26" ht="19.5" customHeight="1">
      <c r="A18" s="4" t="s">
        <v>64</v>
      </c>
      <c r="B18" s="4" t="s">
        <v>65</v>
      </c>
      <c r="C18" s="5">
        <v>43834</v>
      </c>
      <c r="D18" s="4" t="s">
        <v>17</v>
      </c>
      <c r="E18" s="6">
        <v>160</v>
      </c>
      <c r="F18" s="6">
        <v>35</v>
      </c>
      <c r="G18" s="6">
        <v>3</v>
      </c>
      <c r="H18" s="6">
        <v>0</v>
      </c>
      <c r="I18" s="6">
        <v>2</v>
      </c>
      <c r="J18" s="6">
        <v>410</v>
      </c>
      <c r="K18" s="6">
        <v>2</v>
      </c>
      <c r="L18" s="6">
        <v>0</v>
      </c>
      <c r="M18" s="4" t="s">
        <v>66</v>
      </c>
      <c r="N18" s="2"/>
      <c r="O18" s="2"/>
      <c r="P18" s="2"/>
      <c r="Q18" s="2"/>
      <c r="R18" s="2"/>
      <c r="S18" s="2"/>
      <c r="T18" s="2"/>
      <c r="U18" s="2"/>
      <c r="V18" s="2"/>
      <c r="W18" s="2"/>
      <c r="X18" s="2"/>
      <c r="Y18" s="2"/>
      <c r="Z18" s="2"/>
    </row>
    <row r="19" spans="1:26" ht="19.5" customHeight="1">
      <c r="A19" s="4" t="s">
        <v>67</v>
      </c>
      <c r="B19" s="4" t="s">
        <v>68</v>
      </c>
      <c r="C19" s="4" t="s">
        <v>69</v>
      </c>
      <c r="D19" s="4" t="s">
        <v>17</v>
      </c>
      <c r="E19" s="6">
        <v>170</v>
      </c>
      <c r="F19" s="6">
        <v>30</v>
      </c>
      <c r="G19" s="6">
        <v>11</v>
      </c>
      <c r="H19" s="6">
        <v>3</v>
      </c>
      <c r="I19" s="6">
        <v>0</v>
      </c>
      <c r="J19" s="6">
        <v>70</v>
      </c>
      <c r="K19" s="6">
        <v>5</v>
      </c>
      <c r="L19" s="6">
        <v>0</v>
      </c>
      <c r="M19" s="4" t="s">
        <v>70</v>
      </c>
      <c r="N19" s="2"/>
      <c r="O19" s="2"/>
      <c r="P19" s="2"/>
      <c r="Q19" s="2"/>
      <c r="R19" s="2"/>
      <c r="S19" s="2"/>
      <c r="T19" s="2"/>
      <c r="U19" s="2"/>
      <c r="V19" s="2"/>
      <c r="W19" s="2"/>
      <c r="X19" s="2"/>
      <c r="Y19" s="2"/>
      <c r="Z19" s="2"/>
    </row>
    <row r="20" spans="1:26" ht="19.5" customHeight="1">
      <c r="A20" s="4" t="s">
        <v>71</v>
      </c>
      <c r="B20" s="4" t="s">
        <v>72</v>
      </c>
      <c r="C20" s="5">
        <v>43834</v>
      </c>
      <c r="D20" s="4" t="s">
        <v>17</v>
      </c>
      <c r="E20" s="6">
        <v>150</v>
      </c>
      <c r="F20" s="6">
        <v>0</v>
      </c>
      <c r="G20" s="6">
        <v>16</v>
      </c>
      <c r="H20" s="6">
        <v>9</v>
      </c>
      <c r="I20" s="6">
        <v>0</v>
      </c>
      <c r="J20" s="6">
        <v>100</v>
      </c>
      <c r="K20" s="6">
        <v>0</v>
      </c>
      <c r="L20" s="6">
        <v>25</v>
      </c>
      <c r="M20" s="4" t="s">
        <v>73</v>
      </c>
      <c r="N20" s="2"/>
      <c r="O20" s="2"/>
      <c r="P20" s="2"/>
      <c r="Q20" s="2"/>
      <c r="R20" s="2"/>
      <c r="S20" s="2"/>
      <c r="T20" s="2"/>
      <c r="U20" s="2"/>
      <c r="V20" s="2"/>
      <c r="W20" s="2"/>
      <c r="X20" s="2"/>
      <c r="Y20" s="2"/>
      <c r="Z20" s="2"/>
    </row>
    <row r="21" spans="1:26" ht="19.5" customHeight="1">
      <c r="A21" s="4" t="s">
        <v>74</v>
      </c>
      <c r="B21" s="4" t="s">
        <v>75</v>
      </c>
      <c r="C21" s="5">
        <v>43834</v>
      </c>
      <c r="D21" s="4" t="s">
        <v>76</v>
      </c>
      <c r="E21" s="6">
        <v>0</v>
      </c>
      <c r="F21" s="6">
        <v>0</v>
      </c>
      <c r="G21" s="6">
        <v>0</v>
      </c>
      <c r="H21" s="6">
        <v>0</v>
      </c>
      <c r="I21" s="6">
        <v>0</v>
      </c>
      <c r="J21" s="6">
        <v>580</v>
      </c>
      <c r="K21" s="6">
        <v>0</v>
      </c>
      <c r="L21" s="6">
        <v>0</v>
      </c>
      <c r="M21" s="4" t="s">
        <v>77</v>
      </c>
      <c r="N21" s="2"/>
      <c r="O21" s="2"/>
      <c r="P21" s="2"/>
      <c r="Q21" s="2"/>
      <c r="R21" s="2"/>
      <c r="S21" s="2"/>
      <c r="T21" s="2"/>
      <c r="U21" s="2"/>
      <c r="V21" s="2"/>
      <c r="W21" s="2"/>
      <c r="X21" s="2"/>
      <c r="Y21" s="2"/>
      <c r="Z21" s="2"/>
    </row>
    <row r="22" spans="1:26" ht="19.5" customHeight="1">
      <c r="A22" s="4" t="s">
        <v>78</v>
      </c>
      <c r="B22" s="4" t="s">
        <v>79</v>
      </c>
      <c r="C22" s="5">
        <v>43834</v>
      </c>
      <c r="D22" s="4" t="s">
        <v>17</v>
      </c>
      <c r="E22" s="6">
        <v>160</v>
      </c>
      <c r="F22" s="6">
        <v>3</v>
      </c>
      <c r="G22" s="6">
        <v>9</v>
      </c>
      <c r="H22" s="6">
        <v>14</v>
      </c>
      <c r="I22" s="6">
        <v>0</v>
      </c>
      <c r="J22" s="6">
        <v>170</v>
      </c>
      <c r="K22" s="6">
        <v>2</v>
      </c>
      <c r="L22" s="6">
        <v>0</v>
      </c>
      <c r="M22" s="4" t="s">
        <v>80</v>
      </c>
      <c r="N22" s="2"/>
      <c r="O22" s="2"/>
      <c r="P22" s="2"/>
      <c r="Q22" s="2"/>
      <c r="R22" s="2"/>
      <c r="S22" s="2"/>
      <c r="T22" s="2"/>
      <c r="U22" s="2"/>
      <c r="V22" s="2"/>
      <c r="W22" s="2"/>
      <c r="X22" s="2"/>
      <c r="Y22" s="2"/>
      <c r="Z22" s="2"/>
    </row>
    <row r="23" spans="1:26" ht="19.5" customHeight="1">
      <c r="A23" s="4" t="s">
        <v>81</v>
      </c>
      <c r="B23" s="4" t="s">
        <v>82</v>
      </c>
      <c r="C23" s="5">
        <v>43834</v>
      </c>
      <c r="D23" s="4" t="s">
        <v>17</v>
      </c>
      <c r="E23" s="6">
        <v>170</v>
      </c>
      <c r="F23" s="6">
        <v>5</v>
      </c>
      <c r="G23" s="6">
        <v>0</v>
      </c>
      <c r="H23" s="6">
        <v>16</v>
      </c>
      <c r="I23" s="6">
        <v>4</v>
      </c>
      <c r="J23" s="6">
        <v>270</v>
      </c>
      <c r="K23" s="6">
        <v>0</v>
      </c>
      <c r="L23" s="6">
        <v>0</v>
      </c>
      <c r="M23" s="4" t="s">
        <v>83</v>
      </c>
      <c r="N23" s="2"/>
      <c r="O23" s="2"/>
      <c r="P23" s="2"/>
      <c r="Q23" s="2"/>
      <c r="R23" s="2"/>
      <c r="S23" s="2"/>
      <c r="T23" s="2"/>
      <c r="U23" s="2"/>
      <c r="V23" s="2"/>
      <c r="W23" s="2"/>
      <c r="X23" s="2"/>
      <c r="Y23" s="2"/>
      <c r="Z23" s="2"/>
    </row>
    <row r="24" spans="1:26" ht="19.5" customHeight="1">
      <c r="A24" s="4" t="s">
        <v>84</v>
      </c>
      <c r="B24" s="4" t="s">
        <v>85</v>
      </c>
      <c r="C24" s="5">
        <v>43834</v>
      </c>
      <c r="D24" s="4" t="s">
        <v>17</v>
      </c>
      <c r="E24" s="6">
        <v>422</v>
      </c>
      <c r="F24" s="6">
        <v>6</v>
      </c>
      <c r="G24" s="6">
        <v>4</v>
      </c>
      <c r="H24" s="6">
        <v>4</v>
      </c>
      <c r="I24" s="6">
        <v>2</v>
      </c>
      <c r="J24" s="6">
        <v>550</v>
      </c>
      <c r="K24" s="6">
        <v>5</v>
      </c>
      <c r="L24" s="6">
        <v>0</v>
      </c>
      <c r="M24" s="4" t="s">
        <v>86</v>
      </c>
      <c r="N24" s="2"/>
      <c r="O24" s="2"/>
      <c r="P24" s="2"/>
      <c r="Q24" s="2"/>
      <c r="R24" s="2"/>
      <c r="S24" s="2"/>
      <c r="T24" s="2"/>
      <c r="U24" s="2"/>
      <c r="V24" s="2"/>
      <c r="W24" s="2"/>
      <c r="X24" s="2"/>
      <c r="Y24" s="2"/>
      <c r="Z24" s="2"/>
    </row>
    <row r="25" spans="1:26" ht="19.5" customHeight="1">
      <c r="A25" s="4" t="s">
        <v>87</v>
      </c>
      <c r="B25" s="4" t="s">
        <v>88</v>
      </c>
      <c r="C25" s="5">
        <v>43834</v>
      </c>
      <c r="D25" s="4" t="s">
        <v>17</v>
      </c>
      <c r="E25" s="6">
        <v>326</v>
      </c>
      <c r="F25" s="6">
        <v>12</v>
      </c>
      <c r="G25" s="6">
        <v>6</v>
      </c>
      <c r="H25" s="6">
        <v>27</v>
      </c>
      <c r="I25" s="6">
        <v>1</v>
      </c>
      <c r="J25" s="6">
        <v>710</v>
      </c>
      <c r="K25" s="6">
        <v>5</v>
      </c>
      <c r="L25" s="6">
        <v>0</v>
      </c>
      <c r="M25" s="4" t="s">
        <v>89</v>
      </c>
      <c r="N25" s="2"/>
      <c r="O25" s="2"/>
      <c r="P25" s="2"/>
      <c r="Q25" s="2"/>
      <c r="R25" s="2"/>
      <c r="S25" s="2"/>
      <c r="T25" s="2"/>
      <c r="U25" s="2"/>
      <c r="V25" s="2"/>
      <c r="W25" s="2"/>
      <c r="X25" s="2"/>
      <c r="Y25" s="2"/>
      <c r="Z25" s="2"/>
    </row>
    <row r="26" spans="1:26" ht="19.5" customHeight="1">
      <c r="A26" s="4" t="s">
        <v>90</v>
      </c>
      <c r="B26" s="4" t="s">
        <v>91</v>
      </c>
      <c r="C26" s="5">
        <v>43834</v>
      </c>
      <c r="D26" s="4" t="s">
        <v>17</v>
      </c>
      <c r="E26" s="6">
        <v>160</v>
      </c>
      <c r="F26" s="7" t="s">
        <v>92</v>
      </c>
      <c r="G26" s="6">
        <v>3</v>
      </c>
      <c r="H26" s="6">
        <v>0</v>
      </c>
      <c r="I26" s="7" t="s">
        <v>18</v>
      </c>
      <c r="J26" s="6">
        <v>0</v>
      </c>
      <c r="K26" s="6">
        <v>1</v>
      </c>
      <c r="L26" s="6">
        <v>0</v>
      </c>
      <c r="M26" s="4" t="s">
        <v>93</v>
      </c>
      <c r="N26" s="2"/>
      <c r="O26" s="2"/>
      <c r="P26" s="2"/>
      <c r="Q26" s="2"/>
      <c r="R26" s="2"/>
      <c r="S26" s="2"/>
      <c r="T26" s="2"/>
      <c r="U26" s="2"/>
      <c r="V26" s="2"/>
      <c r="W26" s="2"/>
      <c r="X26" s="2"/>
      <c r="Y26" s="2"/>
      <c r="Z26" s="2"/>
    </row>
    <row r="27" spans="1:26" ht="19.5" customHeight="1">
      <c r="A27" s="4" t="s">
        <v>94</v>
      </c>
      <c r="B27" s="4" t="s">
        <v>95</v>
      </c>
      <c r="C27" s="5">
        <v>43834</v>
      </c>
      <c r="D27" s="4" t="s">
        <v>17</v>
      </c>
      <c r="E27" s="6">
        <v>95</v>
      </c>
      <c r="F27" s="6">
        <v>0</v>
      </c>
      <c r="G27" s="6">
        <v>3</v>
      </c>
      <c r="H27" s="6">
        <v>8</v>
      </c>
      <c r="I27" s="6">
        <v>0</v>
      </c>
      <c r="J27" s="6">
        <v>200</v>
      </c>
      <c r="K27" s="7" t="s">
        <v>18</v>
      </c>
      <c r="L27" s="7" t="s">
        <v>18</v>
      </c>
      <c r="M27" s="4" t="s">
        <v>96</v>
      </c>
      <c r="N27" s="2"/>
      <c r="O27" s="2"/>
      <c r="P27" s="2"/>
      <c r="Q27" s="2"/>
      <c r="R27" s="2"/>
      <c r="S27" s="2"/>
      <c r="T27" s="2"/>
      <c r="U27" s="2"/>
      <c r="V27" s="2"/>
      <c r="W27" s="2"/>
      <c r="X27" s="2"/>
      <c r="Y27" s="2"/>
      <c r="Z27" s="2"/>
    </row>
    <row r="28" spans="1:26" ht="19.5" customHeight="1">
      <c r="A28" s="4" t="s">
        <v>97</v>
      </c>
      <c r="B28" s="4" t="s">
        <v>98</v>
      </c>
      <c r="C28" s="5">
        <v>43834</v>
      </c>
      <c r="D28" s="4" t="s">
        <v>17</v>
      </c>
      <c r="E28" s="6">
        <v>160</v>
      </c>
      <c r="F28" s="6">
        <v>15</v>
      </c>
      <c r="G28" s="6">
        <v>2</v>
      </c>
      <c r="H28" s="6">
        <v>11</v>
      </c>
      <c r="I28" s="6">
        <v>12</v>
      </c>
      <c r="J28" s="6">
        <v>120</v>
      </c>
      <c r="K28" s="6">
        <v>1</v>
      </c>
      <c r="L28" s="6">
        <v>0</v>
      </c>
      <c r="M28" s="4" t="s">
        <v>99</v>
      </c>
      <c r="N28" s="2"/>
      <c r="O28" s="2"/>
      <c r="P28" s="2"/>
      <c r="Q28" s="2"/>
      <c r="R28" s="2"/>
      <c r="S28" s="2"/>
      <c r="T28" s="2"/>
      <c r="U28" s="2"/>
      <c r="V28" s="2"/>
      <c r="W28" s="2"/>
      <c r="X28" s="2"/>
      <c r="Y28" s="2"/>
      <c r="Z28" s="2"/>
    </row>
    <row r="29" spans="1:26" ht="19.5" customHeight="1">
      <c r="A29" s="4" t="s">
        <v>100</v>
      </c>
      <c r="B29" s="4" t="s">
        <v>101</v>
      </c>
      <c r="C29" s="5">
        <v>43834</v>
      </c>
      <c r="D29" s="4" t="s">
        <v>17</v>
      </c>
      <c r="E29" s="6">
        <v>150</v>
      </c>
      <c r="F29" s="6">
        <v>4</v>
      </c>
      <c r="G29" s="6">
        <v>8</v>
      </c>
      <c r="H29" s="6">
        <v>13</v>
      </c>
      <c r="I29" s="6">
        <v>0</v>
      </c>
      <c r="J29" s="6">
        <v>75</v>
      </c>
      <c r="K29" s="6">
        <v>2</v>
      </c>
      <c r="L29" s="6">
        <v>0</v>
      </c>
      <c r="M29" s="4" t="s">
        <v>102</v>
      </c>
      <c r="N29" s="2"/>
      <c r="O29" s="2"/>
      <c r="P29" s="2"/>
      <c r="Q29" s="2"/>
      <c r="R29" s="2"/>
      <c r="S29" s="2"/>
      <c r="T29" s="2"/>
      <c r="U29" s="2"/>
      <c r="V29" s="2"/>
      <c r="W29" s="2"/>
      <c r="X29" s="2"/>
      <c r="Y29" s="2"/>
      <c r="Z29" s="2"/>
    </row>
    <row r="30" spans="1:26" ht="19.5" customHeight="1">
      <c r="A30" s="4" t="s">
        <v>103</v>
      </c>
      <c r="B30" s="4" t="s">
        <v>104</v>
      </c>
      <c r="C30" s="5">
        <v>43834</v>
      </c>
      <c r="D30" s="4" t="s">
        <v>17</v>
      </c>
      <c r="E30" s="6">
        <v>170</v>
      </c>
      <c r="F30" s="6">
        <v>7</v>
      </c>
      <c r="G30" s="6">
        <v>4</v>
      </c>
      <c r="H30" s="6">
        <v>15</v>
      </c>
      <c r="I30" s="6">
        <v>4</v>
      </c>
      <c r="J30" s="6">
        <v>10</v>
      </c>
      <c r="K30" s="6">
        <v>2</v>
      </c>
      <c r="L30" s="6">
        <v>0</v>
      </c>
      <c r="M30" s="4" t="s">
        <v>105</v>
      </c>
      <c r="N30" s="2"/>
      <c r="O30" s="2"/>
      <c r="P30" s="2"/>
      <c r="Q30" s="2"/>
      <c r="R30" s="2"/>
      <c r="S30" s="2"/>
      <c r="T30" s="2"/>
      <c r="U30" s="2"/>
      <c r="V30" s="2"/>
      <c r="W30" s="2"/>
      <c r="X30" s="2"/>
      <c r="Y30" s="2"/>
      <c r="Z30" s="2"/>
    </row>
    <row r="31" spans="1:26" ht="19.5" customHeight="1">
      <c r="A31" s="4" t="s">
        <v>106</v>
      </c>
      <c r="B31" s="4" t="s">
        <v>107</v>
      </c>
      <c r="C31" s="4" t="s">
        <v>69</v>
      </c>
      <c r="D31" s="4" t="s">
        <v>17</v>
      </c>
      <c r="E31" s="6">
        <v>160</v>
      </c>
      <c r="F31" s="6">
        <v>8</v>
      </c>
      <c r="G31" s="6">
        <v>3</v>
      </c>
      <c r="H31" s="6">
        <v>14</v>
      </c>
      <c r="I31" s="7" t="s">
        <v>108</v>
      </c>
      <c r="J31" s="6">
        <v>10</v>
      </c>
      <c r="K31" s="6">
        <v>3</v>
      </c>
      <c r="L31" s="6">
        <v>0</v>
      </c>
      <c r="M31" s="4" t="s">
        <v>109</v>
      </c>
      <c r="N31" s="2"/>
      <c r="O31" s="2"/>
      <c r="P31" s="2"/>
      <c r="Q31" s="2"/>
      <c r="R31" s="2"/>
      <c r="S31" s="2"/>
      <c r="T31" s="2"/>
      <c r="U31" s="2"/>
      <c r="V31" s="2"/>
      <c r="W31" s="2"/>
      <c r="X31" s="2"/>
      <c r="Y31" s="2"/>
      <c r="Z31" s="2"/>
    </row>
    <row r="32" spans="1:26" ht="19.5" customHeight="1">
      <c r="A32" s="4" t="s">
        <v>110</v>
      </c>
      <c r="B32" s="4" t="s">
        <v>111</v>
      </c>
      <c r="C32" s="5">
        <v>43834</v>
      </c>
      <c r="D32" s="4" t="s">
        <v>17</v>
      </c>
      <c r="E32" s="6">
        <v>40</v>
      </c>
      <c r="F32" s="6">
        <v>2</v>
      </c>
      <c r="G32" s="6">
        <v>1</v>
      </c>
      <c r="H32" s="6">
        <v>3</v>
      </c>
      <c r="I32" s="7" t="s">
        <v>112</v>
      </c>
      <c r="J32" s="6">
        <v>150</v>
      </c>
      <c r="K32" s="6">
        <v>0</v>
      </c>
      <c r="L32" s="6">
        <v>0</v>
      </c>
      <c r="M32" s="4" t="s">
        <v>113</v>
      </c>
      <c r="N32" s="2"/>
      <c r="O32" s="2"/>
      <c r="P32" s="2"/>
      <c r="Q32" s="2"/>
      <c r="R32" s="2"/>
      <c r="S32" s="2"/>
      <c r="T32" s="2"/>
      <c r="U32" s="2"/>
      <c r="V32" s="2"/>
      <c r="W32" s="2"/>
      <c r="X32" s="2"/>
      <c r="Y32" s="2"/>
      <c r="Z32" s="2"/>
    </row>
    <row r="33" spans="1:26" ht="19.5" customHeight="1">
      <c r="A33" s="4" t="s">
        <v>114</v>
      </c>
      <c r="B33" s="4" t="s">
        <v>115</v>
      </c>
      <c r="C33" s="5">
        <v>43834</v>
      </c>
      <c r="D33" s="4" t="s">
        <v>17</v>
      </c>
      <c r="E33" s="6">
        <v>170</v>
      </c>
      <c r="F33" s="6">
        <v>7</v>
      </c>
      <c r="G33" s="6">
        <v>4</v>
      </c>
      <c r="H33" s="6">
        <v>15</v>
      </c>
      <c r="I33" s="6">
        <v>4</v>
      </c>
      <c r="J33" s="6">
        <v>10</v>
      </c>
      <c r="K33" s="6">
        <v>2</v>
      </c>
      <c r="L33" s="6">
        <v>0</v>
      </c>
      <c r="M33" s="4" t="s">
        <v>116</v>
      </c>
      <c r="N33" s="2"/>
      <c r="O33" s="2"/>
      <c r="P33" s="2"/>
      <c r="Q33" s="2"/>
      <c r="R33" s="2"/>
      <c r="S33" s="2"/>
      <c r="T33" s="2"/>
      <c r="U33" s="2"/>
      <c r="V33" s="2"/>
      <c r="W33" s="2"/>
      <c r="X33" s="2"/>
      <c r="Y33" s="2"/>
      <c r="Z33" s="2"/>
    </row>
    <row r="34" spans="1:26" ht="19.5" customHeight="1">
      <c r="A34" s="4" t="s">
        <v>117</v>
      </c>
      <c r="B34" s="4" t="s">
        <v>118</v>
      </c>
      <c r="C34" s="5">
        <v>43834</v>
      </c>
      <c r="D34" s="4" t="s">
        <v>17</v>
      </c>
      <c r="E34" s="6">
        <v>140</v>
      </c>
      <c r="F34" s="6">
        <v>9</v>
      </c>
      <c r="G34" s="6">
        <v>3</v>
      </c>
      <c r="H34" s="6">
        <v>10</v>
      </c>
      <c r="I34" s="6">
        <v>3</v>
      </c>
      <c r="J34" s="6">
        <v>0</v>
      </c>
      <c r="K34" s="6">
        <v>4</v>
      </c>
      <c r="L34" s="6">
        <v>0</v>
      </c>
      <c r="M34" s="4" t="s">
        <v>119</v>
      </c>
      <c r="N34" s="2"/>
      <c r="O34" s="2"/>
      <c r="P34" s="2"/>
      <c r="Q34" s="2"/>
      <c r="R34" s="2"/>
      <c r="S34" s="2"/>
      <c r="T34" s="2"/>
      <c r="U34" s="2"/>
      <c r="V34" s="2"/>
      <c r="W34" s="2"/>
      <c r="X34" s="2"/>
      <c r="Y34" s="2"/>
      <c r="Z34" s="2"/>
    </row>
    <row r="35" spans="1:26" ht="19.5" customHeight="1">
      <c r="A35" s="4" t="s">
        <v>120</v>
      </c>
      <c r="B35" s="4" t="s">
        <v>121</v>
      </c>
      <c r="C35" s="5">
        <v>43834</v>
      </c>
      <c r="D35" s="4" t="s">
        <v>76</v>
      </c>
      <c r="E35" s="6">
        <v>0</v>
      </c>
      <c r="F35" s="6">
        <v>0</v>
      </c>
      <c r="G35" s="6">
        <v>0</v>
      </c>
      <c r="H35" s="6">
        <v>0</v>
      </c>
      <c r="I35" s="6">
        <v>0</v>
      </c>
      <c r="J35" s="6">
        <v>390</v>
      </c>
      <c r="K35" s="6">
        <v>0</v>
      </c>
      <c r="L35" s="6">
        <v>0</v>
      </c>
      <c r="M35" s="4" t="s">
        <v>122</v>
      </c>
      <c r="N35" s="2"/>
      <c r="O35" s="2"/>
      <c r="P35" s="2"/>
      <c r="Q35" s="2"/>
      <c r="R35" s="2"/>
      <c r="S35" s="2"/>
      <c r="T35" s="2"/>
      <c r="U35" s="2"/>
      <c r="V35" s="2"/>
      <c r="W35" s="2"/>
      <c r="X35" s="2"/>
      <c r="Y35" s="2"/>
      <c r="Z35" s="2"/>
    </row>
    <row r="36" spans="1:26" ht="19.5" customHeight="1">
      <c r="A36" s="4" t="s">
        <v>123</v>
      </c>
      <c r="B36" s="4" t="s">
        <v>124</v>
      </c>
      <c r="C36" s="5">
        <v>43834</v>
      </c>
      <c r="D36" s="4" t="s">
        <v>17</v>
      </c>
      <c r="E36" s="6">
        <v>150</v>
      </c>
      <c r="F36" s="6">
        <v>32</v>
      </c>
      <c r="G36" s="6">
        <v>7</v>
      </c>
      <c r="H36" s="6">
        <v>0.5</v>
      </c>
      <c r="I36" s="6">
        <v>1</v>
      </c>
      <c r="J36" s="6">
        <v>0</v>
      </c>
      <c r="K36" s="7" t="s">
        <v>125</v>
      </c>
      <c r="L36" s="6">
        <v>0</v>
      </c>
      <c r="M36" s="4" t="s">
        <v>126</v>
      </c>
      <c r="N36" s="2"/>
      <c r="O36" s="2"/>
      <c r="P36" s="2"/>
      <c r="Q36" s="2"/>
      <c r="R36" s="2"/>
      <c r="S36" s="2"/>
      <c r="T36" s="2"/>
      <c r="U36" s="2"/>
      <c r="V36" s="2"/>
      <c r="W36" s="2"/>
      <c r="X36" s="2"/>
      <c r="Y36" s="2"/>
      <c r="Z36" s="2"/>
    </row>
    <row r="37" spans="1:26" ht="19.5" customHeight="1">
      <c r="A37" s="4" t="s">
        <v>127</v>
      </c>
      <c r="B37" s="4" t="s">
        <v>128</v>
      </c>
      <c r="C37" s="5">
        <v>43833</v>
      </c>
      <c r="D37" s="4" t="s">
        <v>17</v>
      </c>
      <c r="E37" s="6">
        <v>140</v>
      </c>
      <c r="F37" s="6">
        <v>20</v>
      </c>
      <c r="G37" s="6">
        <v>3</v>
      </c>
      <c r="H37" s="6">
        <v>6</v>
      </c>
      <c r="I37" s="6">
        <v>6</v>
      </c>
      <c r="J37" s="6">
        <v>125</v>
      </c>
      <c r="K37" s="6">
        <v>2</v>
      </c>
      <c r="L37" s="6">
        <v>0</v>
      </c>
      <c r="M37" s="4" t="s">
        <v>129</v>
      </c>
      <c r="N37" s="2"/>
      <c r="O37" s="2"/>
      <c r="P37" s="2"/>
      <c r="Q37" s="2"/>
      <c r="R37" s="2"/>
      <c r="S37" s="2"/>
      <c r="T37" s="2"/>
      <c r="U37" s="2"/>
      <c r="V37" s="2"/>
      <c r="W37" s="2"/>
      <c r="X37" s="2"/>
      <c r="Y37" s="2"/>
      <c r="Z37" s="2"/>
    </row>
    <row r="38" spans="1:26" ht="19.5" customHeight="1">
      <c r="A38" s="4" t="s">
        <v>130</v>
      </c>
      <c r="B38" s="4" t="s">
        <v>131</v>
      </c>
      <c r="C38" s="5">
        <v>43833</v>
      </c>
      <c r="D38" s="4" t="s">
        <v>17</v>
      </c>
      <c r="E38" s="6">
        <v>140</v>
      </c>
      <c r="F38" s="6">
        <v>20</v>
      </c>
      <c r="G38" s="6">
        <v>3</v>
      </c>
      <c r="H38" s="6">
        <v>5</v>
      </c>
      <c r="I38" s="6">
        <v>7</v>
      </c>
      <c r="J38" s="6">
        <v>110</v>
      </c>
      <c r="K38" s="6">
        <v>2</v>
      </c>
      <c r="L38" s="6">
        <v>0</v>
      </c>
      <c r="M38" s="4" t="s">
        <v>132</v>
      </c>
      <c r="N38" s="2"/>
      <c r="O38" s="2"/>
      <c r="P38" s="2"/>
      <c r="Q38" s="2"/>
      <c r="R38" s="2"/>
      <c r="S38" s="2"/>
      <c r="T38" s="2"/>
      <c r="U38" s="2"/>
      <c r="V38" s="2"/>
      <c r="W38" s="2"/>
      <c r="X38" s="2"/>
      <c r="Y38" s="2"/>
      <c r="Z38" s="2"/>
    </row>
    <row r="39" spans="1:26" ht="19.5" customHeight="1">
      <c r="A39" s="4" t="s">
        <v>133</v>
      </c>
      <c r="B39" s="4" t="s">
        <v>134</v>
      </c>
      <c r="C39" s="5">
        <v>43833</v>
      </c>
      <c r="D39" s="4" t="s">
        <v>135</v>
      </c>
      <c r="E39" s="6">
        <v>0</v>
      </c>
      <c r="F39" s="6">
        <v>0</v>
      </c>
      <c r="G39" s="7" t="s">
        <v>18</v>
      </c>
      <c r="H39" s="6">
        <v>0</v>
      </c>
      <c r="I39" s="6">
        <v>0</v>
      </c>
      <c r="J39" s="6">
        <v>240</v>
      </c>
      <c r="K39" s="6">
        <v>0</v>
      </c>
      <c r="L39" s="6">
        <v>0</v>
      </c>
      <c r="M39" s="4" t="s">
        <v>136</v>
      </c>
      <c r="N39" s="2"/>
      <c r="O39" s="2"/>
      <c r="P39" s="2"/>
      <c r="Q39" s="2"/>
      <c r="R39" s="2"/>
      <c r="S39" s="2"/>
      <c r="T39" s="2"/>
      <c r="U39" s="2"/>
      <c r="V39" s="2"/>
      <c r="W39" s="2"/>
      <c r="X39" s="2"/>
      <c r="Y39" s="2"/>
      <c r="Z39" s="2"/>
    </row>
    <row r="40" spans="1:26" ht="19.5" customHeight="1">
      <c r="A40" s="4" t="s">
        <v>137</v>
      </c>
      <c r="B40" s="4" t="s">
        <v>138</v>
      </c>
      <c r="C40" s="5">
        <v>43833</v>
      </c>
      <c r="D40" s="4" t="s">
        <v>17</v>
      </c>
      <c r="E40" s="6">
        <v>190</v>
      </c>
      <c r="F40" s="6">
        <v>2</v>
      </c>
      <c r="G40" s="6">
        <v>11</v>
      </c>
      <c r="H40" s="6">
        <v>15</v>
      </c>
      <c r="I40" s="6">
        <v>0</v>
      </c>
      <c r="J40" s="6">
        <v>340</v>
      </c>
      <c r="K40" s="7" t="s">
        <v>18</v>
      </c>
      <c r="L40" s="6">
        <v>45</v>
      </c>
      <c r="M40" s="4" t="s">
        <v>139</v>
      </c>
      <c r="N40" s="2"/>
      <c r="O40" s="2"/>
      <c r="P40" s="2"/>
      <c r="Q40" s="2"/>
      <c r="R40" s="2"/>
      <c r="S40" s="2"/>
      <c r="T40" s="2"/>
      <c r="U40" s="2"/>
      <c r="V40" s="2"/>
      <c r="W40" s="2"/>
      <c r="X40" s="2"/>
      <c r="Y40" s="2"/>
      <c r="Z40" s="2"/>
    </row>
    <row r="41" spans="1:26" ht="19.5" customHeight="1">
      <c r="A41" s="4" t="s">
        <v>140</v>
      </c>
      <c r="B41" s="4" t="s">
        <v>141</v>
      </c>
      <c r="C41" s="5">
        <v>43833</v>
      </c>
      <c r="D41" s="4" t="s">
        <v>17</v>
      </c>
      <c r="E41" s="6">
        <v>170</v>
      </c>
      <c r="F41" s="6">
        <v>9</v>
      </c>
      <c r="G41" s="6">
        <v>5</v>
      </c>
      <c r="H41" s="6">
        <v>13</v>
      </c>
      <c r="I41" s="6">
        <v>5</v>
      </c>
      <c r="J41" s="6">
        <v>115</v>
      </c>
      <c r="K41" s="6">
        <v>2</v>
      </c>
      <c r="L41" s="6">
        <v>0</v>
      </c>
      <c r="M41" s="4" t="s">
        <v>142</v>
      </c>
      <c r="N41" s="2"/>
      <c r="O41" s="2"/>
      <c r="P41" s="2"/>
      <c r="Q41" s="2"/>
      <c r="R41" s="2"/>
      <c r="S41" s="2"/>
      <c r="T41" s="2"/>
      <c r="U41" s="2"/>
      <c r="V41" s="2"/>
      <c r="W41" s="2"/>
      <c r="X41" s="2"/>
      <c r="Y41" s="2"/>
      <c r="Z41" s="2"/>
    </row>
    <row r="42" spans="1:26" ht="19.5" customHeight="1">
      <c r="A42" s="4" t="s">
        <v>143</v>
      </c>
      <c r="B42" s="4" t="s">
        <v>144</v>
      </c>
      <c r="C42" s="4" t="s">
        <v>145</v>
      </c>
      <c r="D42" s="4" t="s">
        <v>17</v>
      </c>
      <c r="E42" s="6">
        <v>140</v>
      </c>
      <c r="F42" s="6">
        <v>20</v>
      </c>
      <c r="G42" s="6">
        <v>3</v>
      </c>
      <c r="H42" s="6">
        <v>6</v>
      </c>
      <c r="I42" s="6">
        <v>6</v>
      </c>
      <c r="J42" s="6">
        <v>135</v>
      </c>
      <c r="K42" s="7" t="s">
        <v>112</v>
      </c>
      <c r="L42" s="6">
        <v>0</v>
      </c>
      <c r="M42" s="4" t="s">
        <v>146</v>
      </c>
      <c r="N42" s="2"/>
      <c r="O42" s="2"/>
      <c r="P42" s="2"/>
      <c r="Q42" s="2"/>
      <c r="R42" s="2"/>
      <c r="S42" s="2"/>
      <c r="T42" s="2"/>
      <c r="U42" s="2"/>
      <c r="V42" s="2"/>
      <c r="W42" s="2"/>
      <c r="X42" s="2"/>
      <c r="Y42" s="2"/>
      <c r="Z42" s="2"/>
    </row>
    <row r="43" spans="1:26" ht="19.5" customHeight="1">
      <c r="A43" s="4" t="s">
        <v>147</v>
      </c>
      <c r="B43" s="4" t="s">
        <v>148</v>
      </c>
      <c r="C43" s="4" t="s">
        <v>145</v>
      </c>
      <c r="D43" s="4" t="s">
        <v>17</v>
      </c>
      <c r="E43" s="6">
        <v>190</v>
      </c>
      <c r="F43" s="6">
        <v>20</v>
      </c>
      <c r="G43" s="6">
        <v>7</v>
      </c>
      <c r="H43" s="6">
        <v>9</v>
      </c>
      <c r="I43" s="6">
        <v>3</v>
      </c>
      <c r="J43" s="6">
        <v>250</v>
      </c>
      <c r="K43" s="6">
        <v>3</v>
      </c>
      <c r="L43" s="6">
        <v>0</v>
      </c>
      <c r="M43" s="4" t="s">
        <v>149</v>
      </c>
      <c r="N43" s="2"/>
      <c r="O43" s="2"/>
      <c r="P43" s="2"/>
      <c r="Q43" s="2"/>
      <c r="R43" s="2"/>
      <c r="S43" s="2"/>
      <c r="T43" s="2"/>
      <c r="U43" s="2"/>
      <c r="V43" s="2"/>
      <c r="W43" s="2"/>
      <c r="X43" s="2"/>
      <c r="Y43" s="2"/>
      <c r="Z43" s="2"/>
    </row>
    <row r="44" spans="1:26" ht="19.5" customHeight="1">
      <c r="A44" s="4" t="s">
        <v>150</v>
      </c>
      <c r="B44" s="4" t="s">
        <v>151</v>
      </c>
      <c r="C44" s="5">
        <v>43832</v>
      </c>
      <c r="D44" s="4" t="s">
        <v>17</v>
      </c>
      <c r="E44" s="6">
        <v>90</v>
      </c>
      <c r="F44" s="6">
        <v>8</v>
      </c>
      <c r="G44" s="6">
        <v>3</v>
      </c>
      <c r="H44" s="6">
        <v>5</v>
      </c>
      <c r="I44" s="6">
        <v>2</v>
      </c>
      <c r="J44" s="6">
        <v>430</v>
      </c>
      <c r="K44" s="6">
        <v>2</v>
      </c>
      <c r="L44" s="6">
        <v>15</v>
      </c>
      <c r="M44" s="4" t="s">
        <v>152</v>
      </c>
      <c r="N44" s="2"/>
      <c r="O44" s="2"/>
      <c r="P44" s="2"/>
      <c r="Q44" s="2"/>
      <c r="R44" s="2"/>
      <c r="S44" s="2"/>
      <c r="T44" s="2"/>
      <c r="U44" s="2"/>
      <c r="V44" s="2"/>
      <c r="W44" s="2"/>
      <c r="X44" s="2"/>
      <c r="Y44" s="2"/>
      <c r="Z44" s="2"/>
    </row>
    <row r="45" spans="1:26" ht="19.5" customHeight="1">
      <c r="A45" s="4" t="s">
        <v>153</v>
      </c>
      <c r="B45" s="4" t="s">
        <v>154</v>
      </c>
      <c r="C45" s="4" t="s">
        <v>155</v>
      </c>
      <c r="D45" s="4" t="s">
        <v>17</v>
      </c>
      <c r="E45" s="6">
        <v>25</v>
      </c>
      <c r="F45" s="6">
        <v>5</v>
      </c>
      <c r="G45" s="6">
        <v>1</v>
      </c>
      <c r="H45" s="6">
        <v>0</v>
      </c>
      <c r="I45" s="6">
        <v>3</v>
      </c>
      <c r="J45" s="6">
        <v>190</v>
      </c>
      <c r="K45" s="6">
        <v>0</v>
      </c>
      <c r="L45" s="6">
        <v>0</v>
      </c>
      <c r="M45" s="4" t="s">
        <v>156</v>
      </c>
      <c r="N45" s="2"/>
      <c r="O45" s="2"/>
      <c r="P45" s="2"/>
      <c r="Q45" s="2"/>
      <c r="R45" s="2"/>
      <c r="S45" s="2"/>
      <c r="T45" s="2"/>
      <c r="U45" s="2"/>
      <c r="V45" s="2"/>
      <c r="W45" s="2"/>
      <c r="X45" s="2"/>
      <c r="Y45" s="2"/>
      <c r="Z45" s="2"/>
    </row>
    <row r="46" spans="1:26" ht="19.5" customHeight="1">
      <c r="A46" s="4" t="s">
        <v>157</v>
      </c>
      <c r="B46" s="4" t="s">
        <v>158</v>
      </c>
      <c r="C46" s="5">
        <v>43832</v>
      </c>
      <c r="D46" s="4" t="s">
        <v>17</v>
      </c>
      <c r="E46" s="6">
        <v>25</v>
      </c>
      <c r="F46" s="6">
        <v>5</v>
      </c>
      <c r="G46" s="6">
        <v>1</v>
      </c>
      <c r="H46" s="6">
        <v>0</v>
      </c>
      <c r="I46" s="6">
        <v>4</v>
      </c>
      <c r="J46" s="6">
        <v>20</v>
      </c>
      <c r="K46" s="6">
        <v>2</v>
      </c>
      <c r="L46" s="6">
        <v>0</v>
      </c>
      <c r="M46" s="4" t="s">
        <v>159</v>
      </c>
      <c r="N46" s="2"/>
      <c r="O46" s="2"/>
      <c r="P46" s="2"/>
      <c r="Q46" s="2"/>
      <c r="R46" s="2"/>
      <c r="S46" s="2"/>
      <c r="T46" s="2"/>
      <c r="U46" s="2"/>
      <c r="V46" s="2"/>
      <c r="W46" s="2"/>
      <c r="X46" s="2"/>
      <c r="Y46" s="2"/>
      <c r="Z46" s="2"/>
    </row>
    <row r="47" spans="1:26" ht="19.5" customHeight="1">
      <c r="A47" s="4" t="s">
        <v>160</v>
      </c>
      <c r="B47" s="4" t="s">
        <v>161</v>
      </c>
      <c r="C47" s="5">
        <v>43832</v>
      </c>
      <c r="D47" s="4" t="s">
        <v>17</v>
      </c>
      <c r="E47" s="6">
        <v>190</v>
      </c>
      <c r="F47" s="6">
        <v>30</v>
      </c>
      <c r="G47" s="6">
        <v>14</v>
      </c>
      <c r="H47" s="6">
        <v>2</v>
      </c>
      <c r="I47" s="6">
        <v>3</v>
      </c>
      <c r="J47" s="6">
        <v>380</v>
      </c>
      <c r="K47" s="6">
        <v>5</v>
      </c>
      <c r="L47" s="6">
        <v>10</v>
      </c>
      <c r="M47" s="4" t="s">
        <v>162</v>
      </c>
      <c r="N47" s="2"/>
      <c r="O47" s="2"/>
      <c r="P47" s="2"/>
      <c r="Q47" s="2"/>
      <c r="R47" s="2"/>
      <c r="S47" s="2"/>
      <c r="T47" s="2"/>
      <c r="U47" s="2"/>
      <c r="V47" s="2"/>
      <c r="W47" s="2"/>
      <c r="X47" s="2"/>
      <c r="Y47" s="2"/>
      <c r="Z47" s="2"/>
    </row>
    <row r="48" spans="1:26" ht="19.5" customHeight="1">
      <c r="A48" s="4" t="s">
        <v>163</v>
      </c>
      <c r="B48" s="4" t="s">
        <v>164</v>
      </c>
      <c r="C48" s="4" t="s">
        <v>155</v>
      </c>
      <c r="D48" s="4" t="s">
        <v>17</v>
      </c>
      <c r="E48" s="6">
        <v>3</v>
      </c>
      <c r="F48" s="6">
        <v>0</v>
      </c>
      <c r="G48" s="6">
        <v>0</v>
      </c>
      <c r="H48" s="6">
        <v>0</v>
      </c>
      <c r="I48" s="6">
        <v>0</v>
      </c>
      <c r="J48" s="6">
        <v>155</v>
      </c>
      <c r="K48" s="6">
        <v>0</v>
      </c>
      <c r="L48" s="6">
        <v>0</v>
      </c>
      <c r="M48" s="4" t="s">
        <v>165</v>
      </c>
      <c r="N48" s="2"/>
      <c r="O48" s="2"/>
      <c r="P48" s="2"/>
      <c r="Q48" s="2"/>
      <c r="R48" s="2"/>
      <c r="S48" s="2"/>
      <c r="T48" s="2"/>
      <c r="U48" s="2"/>
      <c r="V48" s="2"/>
      <c r="W48" s="2"/>
      <c r="X48" s="2"/>
      <c r="Y48" s="2"/>
      <c r="Z48" s="2"/>
    </row>
    <row r="49" spans="1:26" ht="19.5" customHeight="1">
      <c r="A49" s="4" t="s">
        <v>166</v>
      </c>
      <c r="B49" s="4" t="s">
        <v>167</v>
      </c>
      <c r="C49" s="4" t="s">
        <v>155</v>
      </c>
      <c r="D49" s="4" t="s">
        <v>17</v>
      </c>
      <c r="E49" s="6">
        <v>170</v>
      </c>
      <c r="F49" s="6">
        <v>11</v>
      </c>
      <c r="G49" s="6">
        <v>2</v>
      </c>
      <c r="H49" s="6">
        <v>14</v>
      </c>
      <c r="I49" s="6">
        <v>8</v>
      </c>
      <c r="J49" s="6">
        <v>580</v>
      </c>
      <c r="K49" s="6">
        <v>1</v>
      </c>
      <c r="L49" s="6">
        <v>20</v>
      </c>
      <c r="M49" s="4" t="s">
        <v>168</v>
      </c>
      <c r="N49" s="2"/>
      <c r="O49" s="2"/>
      <c r="P49" s="2"/>
      <c r="Q49" s="2"/>
      <c r="R49" s="2"/>
      <c r="S49" s="2"/>
      <c r="T49" s="2"/>
      <c r="U49" s="2"/>
      <c r="V49" s="2"/>
      <c r="W49" s="2"/>
      <c r="X49" s="2"/>
      <c r="Y49" s="2"/>
      <c r="Z49" s="2"/>
    </row>
    <row r="50" spans="1:26" ht="19.5" customHeight="1">
      <c r="A50" s="4" t="s">
        <v>169</v>
      </c>
      <c r="B50" s="4" t="s">
        <v>170</v>
      </c>
      <c r="C50" s="4" t="s">
        <v>155</v>
      </c>
      <c r="D50" s="4" t="s">
        <v>17</v>
      </c>
      <c r="E50" s="7" t="s">
        <v>171</v>
      </c>
      <c r="F50" s="7" t="s">
        <v>172</v>
      </c>
      <c r="G50" s="7" t="s">
        <v>125</v>
      </c>
      <c r="H50" s="7" t="s">
        <v>173</v>
      </c>
      <c r="I50" s="7" t="s">
        <v>174</v>
      </c>
      <c r="J50" s="7" t="s">
        <v>175</v>
      </c>
      <c r="K50" s="7" t="s">
        <v>176</v>
      </c>
      <c r="L50" s="7" t="s">
        <v>177</v>
      </c>
      <c r="M50" s="4" t="s">
        <v>178</v>
      </c>
      <c r="N50" s="2"/>
      <c r="O50" s="2"/>
      <c r="P50" s="2"/>
      <c r="Q50" s="2"/>
      <c r="R50" s="2"/>
      <c r="S50" s="2"/>
      <c r="T50" s="2"/>
      <c r="U50" s="2"/>
      <c r="V50" s="2"/>
      <c r="W50" s="2"/>
      <c r="X50" s="2"/>
      <c r="Y50" s="2"/>
      <c r="Z50" s="2"/>
    </row>
    <row r="51" spans="1:26" ht="19.5" customHeight="1">
      <c r="A51" s="4" t="s">
        <v>179</v>
      </c>
      <c r="B51" s="4" t="s">
        <v>180</v>
      </c>
      <c r="C51" s="4" t="s">
        <v>155</v>
      </c>
      <c r="D51" s="4" t="s">
        <v>17</v>
      </c>
      <c r="E51" s="6">
        <v>120</v>
      </c>
      <c r="F51" s="6">
        <v>22</v>
      </c>
      <c r="G51" s="6">
        <v>1</v>
      </c>
      <c r="H51" s="6">
        <v>3</v>
      </c>
      <c r="I51" s="6">
        <v>14</v>
      </c>
      <c r="J51" s="6">
        <v>200</v>
      </c>
      <c r="K51" s="6">
        <v>1</v>
      </c>
      <c r="L51" s="6">
        <v>0</v>
      </c>
      <c r="M51" s="4" t="s">
        <v>181</v>
      </c>
      <c r="N51" s="2"/>
      <c r="O51" s="2"/>
      <c r="P51" s="2"/>
      <c r="Q51" s="2"/>
      <c r="R51" s="2"/>
      <c r="S51" s="2"/>
      <c r="T51" s="2"/>
      <c r="U51" s="2"/>
      <c r="V51" s="2"/>
      <c r="W51" s="2"/>
      <c r="X51" s="2"/>
      <c r="Y51" s="2"/>
      <c r="Z51" s="2"/>
    </row>
    <row r="52" spans="1:26" ht="19.5" customHeight="1">
      <c r="A52" s="9" t="s">
        <v>182</v>
      </c>
      <c r="B52" s="10" t="s">
        <v>183</v>
      </c>
      <c r="C52" s="5">
        <v>43832</v>
      </c>
      <c r="D52" s="4" t="s">
        <v>17</v>
      </c>
      <c r="E52" s="6">
        <v>45</v>
      </c>
      <c r="F52" s="6">
        <v>8</v>
      </c>
      <c r="G52" s="6">
        <v>2</v>
      </c>
      <c r="H52" s="6">
        <v>1</v>
      </c>
      <c r="I52" s="6">
        <v>3</v>
      </c>
      <c r="J52" s="6">
        <v>670</v>
      </c>
      <c r="K52" s="6">
        <v>3</v>
      </c>
      <c r="L52" s="6">
        <v>0</v>
      </c>
      <c r="M52" s="4" t="s">
        <v>184</v>
      </c>
      <c r="N52" s="2"/>
      <c r="O52" s="2"/>
      <c r="P52" s="2"/>
      <c r="Q52" s="2"/>
      <c r="R52" s="2"/>
      <c r="S52" s="2"/>
      <c r="T52" s="2"/>
      <c r="U52" s="2"/>
      <c r="V52" s="2"/>
      <c r="W52" s="2"/>
      <c r="X52" s="2"/>
      <c r="Y52" s="2"/>
      <c r="Z52" s="2"/>
    </row>
    <row r="53" spans="1:26" ht="19.5" customHeight="1">
      <c r="A53" s="4" t="s">
        <v>185</v>
      </c>
      <c r="B53" s="4" t="s">
        <v>186</v>
      </c>
      <c r="C53" s="5">
        <v>43832</v>
      </c>
      <c r="D53" s="4" t="s">
        <v>17</v>
      </c>
      <c r="E53" s="6">
        <v>70</v>
      </c>
      <c r="F53" s="6">
        <v>14</v>
      </c>
      <c r="G53" s="6">
        <v>5</v>
      </c>
      <c r="H53" s="6">
        <v>20</v>
      </c>
      <c r="I53" s="6">
        <v>6</v>
      </c>
      <c r="J53" s="6">
        <v>110</v>
      </c>
      <c r="K53" s="6">
        <v>3</v>
      </c>
      <c r="L53" s="6">
        <v>45</v>
      </c>
      <c r="M53" s="4" t="s">
        <v>187</v>
      </c>
      <c r="N53" s="2"/>
      <c r="O53" s="2"/>
      <c r="P53" s="2"/>
      <c r="Q53" s="2"/>
      <c r="R53" s="2"/>
      <c r="S53" s="2"/>
      <c r="T53" s="2"/>
      <c r="U53" s="2"/>
      <c r="V53" s="2"/>
      <c r="W53" s="2"/>
      <c r="X53" s="2"/>
      <c r="Y53" s="2"/>
      <c r="Z53" s="2"/>
    </row>
    <row r="54" spans="1:26" ht="19.5" customHeight="1">
      <c r="A54" s="4" t="s">
        <v>188</v>
      </c>
      <c r="B54" s="4" t="s">
        <v>189</v>
      </c>
      <c r="C54" s="5">
        <v>43832</v>
      </c>
      <c r="D54" s="4" t="s">
        <v>17</v>
      </c>
      <c r="E54" s="6">
        <v>80</v>
      </c>
      <c r="F54" s="6">
        <v>4</v>
      </c>
      <c r="G54" s="6">
        <v>1</v>
      </c>
      <c r="H54" s="6">
        <v>7</v>
      </c>
      <c r="I54" s="6">
        <v>3</v>
      </c>
      <c r="J54" s="6">
        <v>340</v>
      </c>
      <c r="K54" s="6">
        <v>1</v>
      </c>
      <c r="L54" s="6">
        <v>0</v>
      </c>
      <c r="M54" s="4" t="s">
        <v>190</v>
      </c>
      <c r="N54" s="2"/>
      <c r="O54" s="2"/>
      <c r="P54" s="2"/>
      <c r="Q54" s="2"/>
      <c r="R54" s="2"/>
      <c r="S54" s="2"/>
      <c r="T54" s="2"/>
      <c r="U54" s="2"/>
      <c r="V54" s="2"/>
      <c r="W54" s="2"/>
      <c r="X54" s="2"/>
      <c r="Y54" s="2"/>
      <c r="Z54" s="2"/>
    </row>
    <row r="55" spans="1:26" ht="19.5" customHeight="1">
      <c r="A55" s="4" t="s">
        <v>191</v>
      </c>
      <c r="B55" s="4" t="s">
        <v>192</v>
      </c>
      <c r="C55" s="5">
        <v>43832</v>
      </c>
      <c r="D55" s="4" t="s">
        <v>17</v>
      </c>
      <c r="E55" s="6">
        <v>290</v>
      </c>
      <c r="F55" s="6">
        <v>29</v>
      </c>
      <c r="G55" s="7" t="s">
        <v>193</v>
      </c>
      <c r="H55" s="6">
        <v>15</v>
      </c>
      <c r="I55" s="6">
        <v>11</v>
      </c>
      <c r="J55" s="6">
        <v>50</v>
      </c>
      <c r="K55" s="6">
        <v>5</v>
      </c>
      <c r="L55" s="6">
        <v>0</v>
      </c>
      <c r="M55" s="4" t="s">
        <v>194</v>
      </c>
      <c r="N55" s="2"/>
      <c r="O55" s="2"/>
      <c r="P55" s="2"/>
      <c r="Q55" s="2"/>
      <c r="R55" s="2"/>
      <c r="S55" s="2"/>
      <c r="T55" s="2"/>
      <c r="U55" s="2"/>
      <c r="V55" s="2"/>
      <c r="W55" s="2"/>
      <c r="X55" s="2"/>
      <c r="Y55" s="2"/>
      <c r="Z55" s="2"/>
    </row>
    <row r="56" spans="1:26" ht="19.5" customHeight="1">
      <c r="A56" s="4" t="s">
        <v>195</v>
      </c>
      <c r="B56" s="4" t="s">
        <v>196</v>
      </c>
      <c r="C56" s="5">
        <v>43832</v>
      </c>
      <c r="D56" s="4" t="s">
        <v>17</v>
      </c>
      <c r="E56" s="6">
        <v>90</v>
      </c>
      <c r="F56" s="6">
        <v>13</v>
      </c>
      <c r="G56" s="6">
        <v>12</v>
      </c>
      <c r="H56" s="6">
        <v>2</v>
      </c>
      <c r="I56" s="6">
        <v>1</v>
      </c>
      <c r="J56" s="6">
        <v>120</v>
      </c>
      <c r="K56" s="6">
        <v>7</v>
      </c>
      <c r="L56" s="6">
        <v>0</v>
      </c>
      <c r="M56" s="4" t="s">
        <v>197</v>
      </c>
      <c r="N56" s="2"/>
      <c r="O56" s="2"/>
      <c r="P56" s="2"/>
      <c r="Q56" s="2"/>
      <c r="R56" s="2"/>
      <c r="S56" s="2"/>
      <c r="T56" s="2"/>
      <c r="U56" s="2"/>
      <c r="V56" s="2"/>
      <c r="W56" s="2"/>
      <c r="X56" s="2"/>
      <c r="Y56" s="2"/>
      <c r="Z56" s="2"/>
    </row>
    <row r="57" spans="1:26" ht="19.5" customHeight="1">
      <c r="A57" s="4" t="s">
        <v>198</v>
      </c>
      <c r="B57" s="4" t="s">
        <v>199</v>
      </c>
      <c r="C57" s="4" t="s">
        <v>155</v>
      </c>
      <c r="D57" s="4" t="s">
        <v>200</v>
      </c>
      <c r="E57" s="6">
        <v>80</v>
      </c>
      <c r="F57" s="7" t="s">
        <v>201</v>
      </c>
      <c r="G57" s="6">
        <v>4</v>
      </c>
      <c r="H57" s="6">
        <v>0.5</v>
      </c>
      <c r="I57" s="6">
        <v>0</v>
      </c>
      <c r="J57" s="6">
        <v>0</v>
      </c>
      <c r="K57" s="11">
        <v>3</v>
      </c>
      <c r="L57" s="6">
        <v>0</v>
      </c>
      <c r="M57" s="4" t="s">
        <v>202</v>
      </c>
      <c r="N57" s="2"/>
      <c r="O57" s="2"/>
      <c r="P57" s="2"/>
      <c r="Q57" s="2"/>
      <c r="R57" s="2"/>
      <c r="S57" s="2"/>
      <c r="T57" s="2"/>
      <c r="U57" s="2"/>
      <c r="V57" s="2"/>
      <c r="W57" s="2"/>
      <c r="X57" s="2"/>
      <c r="Y57" s="2"/>
      <c r="Z57" s="2"/>
    </row>
    <row r="58" spans="1:26" ht="19.5" customHeight="1">
      <c r="A58" s="4" t="s">
        <v>203</v>
      </c>
      <c r="B58" s="4" t="s">
        <v>204</v>
      </c>
      <c r="C58" s="5">
        <v>43832</v>
      </c>
      <c r="D58" s="4" t="s">
        <v>205</v>
      </c>
      <c r="E58" s="6">
        <v>80</v>
      </c>
      <c r="F58" s="6">
        <v>0</v>
      </c>
      <c r="G58" s="6">
        <v>7</v>
      </c>
      <c r="H58" s="6">
        <v>6</v>
      </c>
      <c r="I58" s="6">
        <v>0</v>
      </c>
      <c r="J58" s="6">
        <v>340</v>
      </c>
      <c r="K58" s="6">
        <v>0</v>
      </c>
      <c r="L58" s="6">
        <v>15</v>
      </c>
      <c r="M58" s="4" t="s">
        <v>206</v>
      </c>
      <c r="N58" s="2"/>
      <c r="O58" s="2"/>
      <c r="P58" s="2"/>
      <c r="Q58" s="2"/>
      <c r="R58" s="2"/>
      <c r="S58" s="2"/>
      <c r="T58" s="2"/>
      <c r="U58" s="2"/>
      <c r="V58" s="2"/>
      <c r="W58" s="2"/>
      <c r="X58" s="2"/>
      <c r="Y58" s="2"/>
      <c r="Z58" s="2"/>
    </row>
    <row r="59" spans="1:26" ht="19.5" customHeight="1">
      <c r="A59" s="4" t="s">
        <v>207</v>
      </c>
      <c r="B59" s="4" t="s">
        <v>208</v>
      </c>
      <c r="C59" s="5">
        <v>43832</v>
      </c>
      <c r="D59" s="12" t="s">
        <v>17</v>
      </c>
      <c r="E59" s="6">
        <v>90</v>
      </c>
      <c r="F59" s="6">
        <v>12</v>
      </c>
      <c r="G59" s="6">
        <v>8</v>
      </c>
      <c r="H59" s="6">
        <v>4</v>
      </c>
      <c r="I59" s="6">
        <v>0</v>
      </c>
      <c r="J59" s="6">
        <v>140</v>
      </c>
      <c r="K59" s="6">
        <v>7</v>
      </c>
      <c r="L59" s="6">
        <v>0</v>
      </c>
      <c r="M59" s="12" t="s">
        <v>209</v>
      </c>
      <c r="N59" s="2"/>
      <c r="O59" s="2"/>
      <c r="P59" s="2"/>
      <c r="Q59" s="2"/>
      <c r="R59" s="2"/>
      <c r="S59" s="2"/>
      <c r="T59" s="2"/>
      <c r="U59" s="2"/>
      <c r="V59" s="2"/>
      <c r="W59" s="2"/>
      <c r="X59" s="2"/>
      <c r="Y59" s="2"/>
      <c r="Z59" s="2"/>
    </row>
    <row r="60" spans="1:26" ht="19.5" customHeight="1">
      <c r="A60" s="4" t="s">
        <v>210</v>
      </c>
      <c r="B60" s="4" t="s">
        <v>211</v>
      </c>
      <c r="C60" s="5">
        <v>43832</v>
      </c>
      <c r="D60" s="4" t="s">
        <v>212</v>
      </c>
      <c r="E60" s="6">
        <v>170</v>
      </c>
      <c r="F60" s="6">
        <v>0</v>
      </c>
      <c r="G60" s="6">
        <v>15</v>
      </c>
      <c r="H60" s="6">
        <v>12</v>
      </c>
      <c r="I60" s="6">
        <v>0</v>
      </c>
      <c r="J60" s="6">
        <v>310</v>
      </c>
      <c r="K60" s="6">
        <v>0</v>
      </c>
      <c r="L60" s="6">
        <v>30</v>
      </c>
      <c r="M60" s="4" t="s">
        <v>213</v>
      </c>
      <c r="N60" s="2"/>
      <c r="O60" s="2"/>
      <c r="P60" s="2"/>
      <c r="Q60" s="2"/>
      <c r="R60" s="2"/>
      <c r="S60" s="2"/>
      <c r="T60" s="2"/>
      <c r="U60" s="2"/>
      <c r="V60" s="2"/>
      <c r="W60" s="2"/>
      <c r="X60" s="2"/>
      <c r="Y60" s="2"/>
      <c r="Z60" s="2"/>
    </row>
    <row r="61" spans="1:26" ht="19.5" customHeight="1">
      <c r="A61" s="4" t="s">
        <v>214</v>
      </c>
      <c r="B61" s="4" t="s">
        <v>215</v>
      </c>
      <c r="C61" s="5">
        <v>43832</v>
      </c>
      <c r="D61" s="4" t="s">
        <v>200</v>
      </c>
      <c r="E61" s="6">
        <v>80</v>
      </c>
      <c r="F61" s="6">
        <v>15</v>
      </c>
      <c r="G61" s="6">
        <v>4</v>
      </c>
      <c r="H61" s="6">
        <v>0.5</v>
      </c>
      <c r="I61" s="6">
        <v>0</v>
      </c>
      <c r="J61" s="6">
        <v>75</v>
      </c>
      <c r="K61" s="6">
        <v>3</v>
      </c>
      <c r="L61" s="6">
        <v>0</v>
      </c>
      <c r="M61" s="4" t="s">
        <v>202</v>
      </c>
      <c r="N61" s="2"/>
      <c r="O61" s="2"/>
      <c r="P61" s="2"/>
      <c r="Q61" s="2"/>
      <c r="R61" s="2"/>
      <c r="S61" s="2"/>
      <c r="T61" s="2"/>
      <c r="U61" s="2"/>
      <c r="V61" s="2"/>
      <c r="W61" s="2"/>
      <c r="X61" s="2"/>
      <c r="Y61" s="2"/>
      <c r="Z61" s="2"/>
    </row>
    <row r="62" spans="1:26" ht="19.5" customHeight="1">
      <c r="A62" s="4" t="s">
        <v>216</v>
      </c>
      <c r="B62" s="4" t="s">
        <v>217</v>
      </c>
      <c r="C62" s="12" t="s">
        <v>218</v>
      </c>
      <c r="D62" s="4" t="s">
        <v>218</v>
      </c>
      <c r="E62" s="6">
        <v>120</v>
      </c>
      <c r="F62" s="6">
        <v>0</v>
      </c>
      <c r="G62" s="6">
        <v>0</v>
      </c>
      <c r="H62" s="6">
        <v>14</v>
      </c>
      <c r="I62" s="6">
        <v>0</v>
      </c>
      <c r="J62" s="6">
        <v>0</v>
      </c>
      <c r="K62" s="6">
        <v>0</v>
      </c>
      <c r="L62" s="6">
        <v>0</v>
      </c>
      <c r="M62" s="4" t="s">
        <v>219</v>
      </c>
      <c r="N62" s="2"/>
      <c r="O62" s="2"/>
      <c r="P62" s="2"/>
      <c r="Q62" s="2"/>
      <c r="R62" s="2"/>
      <c r="S62" s="2"/>
      <c r="T62" s="2"/>
      <c r="U62" s="2"/>
      <c r="V62" s="2"/>
      <c r="W62" s="2"/>
      <c r="X62" s="2"/>
      <c r="Y62" s="2"/>
      <c r="Z62" s="2"/>
    </row>
    <row r="63" spans="1:26" ht="19.5" customHeight="1">
      <c r="A63" s="4" t="s">
        <v>220</v>
      </c>
      <c r="B63" s="4" t="s">
        <v>221</v>
      </c>
      <c r="C63" s="6">
        <v>240</v>
      </c>
      <c r="D63" s="4" t="s">
        <v>222</v>
      </c>
      <c r="E63" s="6">
        <v>20</v>
      </c>
      <c r="F63" s="6">
        <v>6</v>
      </c>
      <c r="G63" s="6">
        <v>0</v>
      </c>
      <c r="H63" s="6">
        <v>0</v>
      </c>
      <c r="I63" s="6">
        <v>4</v>
      </c>
      <c r="J63" s="6">
        <v>50</v>
      </c>
      <c r="K63" s="6">
        <v>0</v>
      </c>
      <c r="L63" s="6">
        <v>0</v>
      </c>
      <c r="M63" s="4" t="s">
        <v>223</v>
      </c>
      <c r="N63" s="2"/>
      <c r="O63" s="2"/>
      <c r="P63" s="2"/>
      <c r="Q63" s="2"/>
      <c r="R63" s="2"/>
      <c r="S63" s="2"/>
      <c r="T63" s="2"/>
      <c r="U63" s="2"/>
      <c r="V63" s="2"/>
      <c r="W63" s="2"/>
      <c r="X63" s="2"/>
      <c r="Y63" s="2"/>
      <c r="Z63" s="2"/>
    </row>
    <row r="64" spans="1:26" ht="19.5" customHeight="1">
      <c r="A64" s="4" t="s">
        <v>224</v>
      </c>
      <c r="B64" s="4" t="s">
        <v>225</v>
      </c>
      <c r="C64" s="6">
        <v>100</v>
      </c>
      <c r="D64" s="4" t="s">
        <v>226</v>
      </c>
      <c r="E64" s="6">
        <v>699</v>
      </c>
      <c r="F64" s="6">
        <v>13.3</v>
      </c>
      <c r="G64" s="6">
        <v>20.5</v>
      </c>
      <c r="H64" s="6">
        <v>62.8</v>
      </c>
      <c r="I64" s="6">
        <v>0</v>
      </c>
      <c r="J64" s="6">
        <v>235</v>
      </c>
      <c r="K64" s="6">
        <v>3</v>
      </c>
      <c r="L64" s="6">
        <v>0</v>
      </c>
      <c r="M64" s="4" t="s">
        <v>227</v>
      </c>
      <c r="N64" s="2"/>
      <c r="O64" s="2"/>
      <c r="P64" s="2"/>
      <c r="Q64" s="2"/>
      <c r="R64" s="2"/>
      <c r="S64" s="2"/>
      <c r="T64" s="2"/>
      <c r="U64" s="2"/>
      <c r="V64" s="2"/>
      <c r="W64" s="2"/>
      <c r="X64" s="2"/>
      <c r="Y64" s="2"/>
      <c r="Z64" s="2"/>
    </row>
    <row r="65" spans="1:26" ht="19.5" customHeight="1">
      <c r="A65" s="4" t="s">
        <v>228</v>
      </c>
      <c r="B65" s="4" t="s">
        <v>229</v>
      </c>
      <c r="C65" s="6">
        <v>85</v>
      </c>
      <c r="D65" s="4" t="s">
        <v>226</v>
      </c>
      <c r="E65" s="6">
        <v>130</v>
      </c>
      <c r="F65" s="6">
        <v>5</v>
      </c>
      <c r="G65" s="6">
        <v>7</v>
      </c>
      <c r="H65" s="6">
        <v>9</v>
      </c>
      <c r="I65" s="6">
        <v>2</v>
      </c>
      <c r="J65" s="6">
        <v>440</v>
      </c>
      <c r="K65" s="6">
        <v>1</v>
      </c>
      <c r="L65" s="6">
        <v>25</v>
      </c>
      <c r="M65" s="4" t="s">
        <v>230</v>
      </c>
      <c r="N65" s="2"/>
      <c r="O65" s="2"/>
      <c r="P65" s="2"/>
      <c r="Q65" s="2"/>
      <c r="R65" s="2"/>
      <c r="S65" s="2"/>
      <c r="T65" s="2"/>
      <c r="U65" s="2"/>
      <c r="V65" s="2"/>
      <c r="W65" s="2"/>
      <c r="X65" s="2"/>
      <c r="Y65" s="2"/>
      <c r="Z65" s="2"/>
    </row>
    <row r="66" spans="1:26" ht="19.5" customHeight="1">
      <c r="A66" s="4" t="s">
        <v>231</v>
      </c>
      <c r="B66" s="4" t="s">
        <v>232</v>
      </c>
      <c r="C66" s="6">
        <v>85</v>
      </c>
      <c r="D66" s="4" t="s">
        <v>226</v>
      </c>
      <c r="E66" s="6">
        <v>90</v>
      </c>
      <c r="F66" s="6">
        <v>7</v>
      </c>
      <c r="G66" s="6">
        <v>3</v>
      </c>
      <c r="H66" s="6">
        <v>6</v>
      </c>
      <c r="I66" s="6">
        <v>0</v>
      </c>
      <c r="J66" s="6">
        <v>310</v>
      </c>
      <c r="K66" s="6">
        <v>6</v>
      </c>
      <c r="L66" s="6">
        <v>0</v>
      </c>
      <c r="M66" s="4" t="s">
        <v>233</v>
      </c>
      <c r="N66" s="2"/>
      <c r="O66" s="2"/>
      <c r="P66" s="2"/>
      <c r="Q66" s="2"/>
      <c r="R66" s="2"/>
      <c r="S66" s="2"/>
      <c r="T66" s="2"/>
      <c r="U66" s="2"/>
      <c r="V66" s="2"/>
      <c r="W66" s="2"/>
      <c r="X66" s="2"/>
      <c r="Y66" s="2"/>
      <c r="Z66" s="2"/>
    </row>
    <row r="67" spans="1:26" ht="19.5" customHeight="1">
      <c r="A67" s="4" t="s">
        <v>234</v>
      </c>
      <c r="B67" s="4" t="s">
        <v>235</v>
      </c>
      <c r="C67" s="6">
        <v>60</v>
      </c>
      <c r="D67" s="4" t="s">
        <v>236</v>
      </c>
      <c r="E67" s="6">
        <v>120</v>
      </c>
      <c r="F67" s="6">
        <v>18</v>
      </c>
      <c r="G67" s="6">
        <v>3</v>
      </c>
      <c r="H67" s="6">
        <v>4</v>
      </c>
      <c r="I67" s="6">
        <v>1</v>
      </c>
      <c r="J67" s="6">
        <v>230</v>
      </c>
      <c r="K67" s="6">
        <v>1</v>
      </c>
      <c r="L67" s="6">
        <v>2</v>
      </c>
      <c r="M67" s="4" t="s">
        <v>237</v>
      </c>
      <c r="N67" s="2"/>
      <c r="O67" s="2"/>
      <c r="P67" s="2"/>
      <c r="Q67" s="2"/>
      <c r="R67" s="2"/>
      <c r="S67" s="2"/>
      <c r="T67" s="2"/>
      <c r="U67" s="2"/>
      <c r="V67" s="2"/>
      <c r="W67" s="2"/>
      <c r="X67" s="2"/>
      <c r="Y67" s="2"/>
      <c r="Z67" s="2"/>
    </row>
    <row r="68" spans="1:26" ht="19.5" customHeight="1">
      <c r="A68" s="4" t="s">
        <v>238</v>
      </c>
      <c r="B68" s="4" t="s">
        <v>239</v>
      </c>
      <c r="C68" s="6">
        <v>60</v>
      </c>
      <c r="D68" s="4" t="s">
        <v>236</v>
      </c>
      <c r="E68" s="6">
        <v>120</v>
      </c>
      <c r="F68" s="6">
        <v>19</v>
      </c>
      <c r="G68" s="6">
        <v>3</v>
      </c>
      <c r="H68" s="6">
        <v>3.5</v>
      </c>
      <c r="I68" s="6">
        <v>1</v>
      </c>
      <c r="J68" s="6">
        <v>230</v>
      </c>
      <c r="K68" s="6">
        <v>1</v>
      </c>
      <c r="L68" s="6">
        <v>0</v>
      </c>
      <c r="M68" s="4" t="s">
        <v>240</v>
      </c>
      <c r="N68" s="2"/>
      <c r="O68" s="2"/>
      <c r="P68" s="2"/>
      <c r="Q68" s="2"/>
      <c r="R68" s="2"/>
      <c r="S68" s="2"/>
      <c r="T68" s="2"/>
      <c r="U68" s="2"/>
      <c r="V68" s="2"/>
      <c r="W68" s="2"/>
      <c r="X68" s="2"/>
      <c r="Y68" s="2"/>
      <c r="Z68" s="2"/>
    </row>
    <row r="69" spans="1:26" ht="19.5" customHeight="1">
      <c r="A69" s="4" t="s">
        <v>241</v>
      </c>
      <c r="B69" s="4" t="s">
        <v>242</v>
      </c>
      <c r="C69" s="6">
        <v>60</v>
      </c>
      <c r="D69" s="4" t="s">
        <v>236</v>
      </c>
      <c r="E69" s="6">
        <v>120</v>
      </c>
      <c r="F69" s="6">
        <v>19</v>
      </c>
      <c r="G69" s="6">
        <v>3</v>
      </c>
      <c r="H69" s="6">
        <v>3.5</v>
      </c>
      <c r="I69" s="6">
        <v>1</v>
      </c>
      <c r="J69" s="6">
        <v>230</v>
      </c>
      <c r="K69" s="6">
        <v>1</v>
      </c>
      <c r="L69" s="6">
        <v>0</v>
      </c>
      <c r="M69" s="4" t="s">
        <v>240</v>
      </c>
      <c r="N69" s="2"/>
      <c r="O69" s="2"/>
      <c r="P69" s="2"/>
      <c r="Q69" s="2"/>
      <c r="R69" s="2"/>
      <c r="S69" s="2"/>
      <c r="T69" s="2"/>
      <c r="U69" s="2"/>
      <c r="V69" s="2"/>
      <c r="W69" s="2"/>
      <c r="X69" s="2"/>
      <c r="Y69" s="2"/>
      <c r="Z69" s="2"/>
    </row>
    <row r="70" spans="1:26" ht="19.5" customHeight="1">
      <c r="A70" s="4" t="s">
        <v>243</v>
      </c>
      <c r="B70" s="4" t="s">
        <v>244</v>
      </c>
      <c r="C70" s="6">
        <v>60</v>
      </c>
      <c r="D70" s="4" t="s">
        <v>236</v>
      </c>
      <c r="E70" s="6">
        <v>120</v>
      </c>
      <c r="F70" s="6">
        <v>18</v>
      </c>
      <c r="G70" s="6">
        <v>3</v>
      </c>
      <c r="H70" s="6">
        <v>4</v>
      </c>
      <c r="I70" s="6">
        <v>1</v>
      </c>
      <c r="J70" s="6">
        <v>230</v>
      </c>
      <c r="K70" s="6">
        <v>1</v>
      </c>
      <c r="L70" s="6">
        <v>2</v>
      </c>
      <c r="M70" s="4" t="s">
        <v>237</v>
      </c>
      <c r="N70" s="2"/>
      <c r="O70" s="2"/>
      <c r="P70" s="2"/>
      <c r="Q70" s="2"/>
      <c r="R70" s="2"/>
      <c r="S70" s="2"/>
      <c r="T70" s="2"/>
      <c r="U70" s="2"/>
      <c r="V70" s="2"/>
      <c r="W70" s="2"/>
      <c r="X70" s="2"/>
      <c r="Y70" s="2"/>
      <c r="Z70" s="2"/>
    </row>
    <row r="71" spans="1:26" ht="19.5" customHeight="1">
      <c r="A71" s="4" t="s">
        <v>245</v>
      </c>
      <c r="B71" s="4" t="s">
        <v>246</v>
      </c>
      <c r="C71" s="6">
        <v>50</v>
      </c>
      <c r="D71" s="4" t="s">
        <v>222</v>
      </c>
      <c r="E71" s="6">
        <v>0</v>
      </c>
      <c r="F71" s="6">
        <v>0</v>
      </c>
      <c r="G71" s="6">
        <v>0</v>
      </c>
      <c r="H71" s="6">
        <v>0</v>
      </c>
      <c r="I71" s="6">
        <v>0</v>
      </c>
      <c r="J71" s="6">
        <v>0</v>
      </c>
      <c r="K71" s="6">
        <v>0</v>
      </c>
      <c r="L71" s="6">
        <v>0</v>
      </c>
      <c r="M71" s="4" t="s">
        <v>247</v>
      </c>
      <c r="N71" s="2"/>
      <c r="O71" s="2"/>
      <c r="P71" s="2"/>
      <c r="Q71" s="2"/>
      <c r="R71" s="2"/>
      <c r="S71" s="2"/>
      <c r="T71" s="2"/>
      <c r="U71" s="2"/>
      <c r="V71" s="2"/>
      <c r="W71" s="2"/>
      <c r="X71" s="2"/>
      <c r="Y71" s="2"/>
      <c r="Z71" s="2"/>
    </row>
    <row r="72" spans="1:26" ht="19.5" customHeight="1">
      <c r="A72" s="4" t="s">
        <v>248</v>
      </c>
      <c r="B72" s="4" t="s">
        <v>249</v>
      </c>
      <c r="C72" s="6">
        <v>50</v>
      </c>
      <c r="D72" s="4" t="s">
        <v>222</v>
      </c>
      <c r="E72" s="6">
        <v>0</v>
      </c>
      <c r="F72" s="6">
        <v>0</v>
      </c>
      <c r="G72" s="6">
        <v>0</v>
      </c>
      <c r="H72" s="6">
        <v>0</v>
      </c>
      <c r="I72" s="6">
        <v>0</v>
      </c>
      <c r="J72" s="6">
        <v>0</v>
      </c>
      <c r="K72" s="6">
        <v>0</v>
      </c>
      <c r="L72" s="6">
        <v>0</v>
      </c>
      <c r="M72" s="4" t="s">
        <v>250</v>
      </c>
      <c r="N72" s="2"/>
      <c r="O72" s="2"/>
      <c r="P72" s="2"/>
      <c r="Q72" s="2"/>
      <c r="R72" s="2"/>
      <c r="S72" s="2"/>
      <c r="T72" s="2"/>
      <c r="U72" s="2"/>
      <c r="V72" s="2"/>
      <c r="W72" s="2"/>
      <c r="X72" s="2"/>
      <c r="Y72" s="2"/>
      <c r="Z72" s="2"/>
    </row>
    <row r="73" spans="1:26" ht="19.5" customHeight="1">
      <c r="A73" s="4" t="s">
        <v>251</v>
      </c>
      <c r="B73" s="4" t="s">
        <v>252</v>
      </c>
      <c r="C73" s="6">
        <v>50</v>
      </c>
      <c r="D73" s="4" t="s">
        <v>222</v>
      </c>
      <c r="E73" s="6">
        <v>0</v>
      </c>
      <c r="F73" s="6">
        <v>0</v>
      </c>
      <c r="G73" s="6">
        <v>0</v>
      </c>
      <c r="H73" s="6">
        <v>0</v>
      </c>
      <c r="I73" s="6">
        <v>0</v>
      </c>
      <c r="J73" s="6">
        <v>0</v>
      </c>
      <c r="K73" s="6">
        <v>0</v>
      </c>
      <c r="L73" s="6">
        <v>0</v>
      </c>
      <c r="M73" s="4" t="s">
        <v>247</v>
      </c>
      <c r="N73" s="2"/>
      <c r="O73" s="2"/>
      <c r="P73" s="2"/>
      <c r="Q73" s="2"/>
      <c r="R73" s="2"/>
      <c r="S73" s="2"/>
      <c r="T73" s="2"/>
      <c r="U73" s="2"/>
      <c r="V73" s="2"/>
      <c r="W73" s="2"/>
      <c r="X73" s="2"/>
      <c r="Y73" s="2"/>
      <c r="Z73" s="2"/>
    </row>
    <row r="74" spans="1:26" ht="19.5" customHeight="1">
      <c r="A74" s="4" t="s">
        <v>253</v>
      </c>
      <c r="B74" s="4" t="s">
        <v>254</v>
      </c>
      <c r="C74" s="6">
        <v>42</v>
      </c>
      <c r="D74" s="4" t="s">
        <v>226</v>
      </c>
      <c r="E74" s="6">
        <v>180</v>
      </c>
      <c r="F74" s="6">
        <v>0</v>
      </c>
      <c r="G74" s="6">
        <v>12</v>
      </c>
      <c r="H74" s="6">
        <v>13</v>
      </c>
      <c r="I74" s="6">
        <v>0</v>
      </c>
      <c r="J74" s="6">
        <v>330</v>
      </c>
      <c r="K74" s="6">
        <v>0</v>
      </c>
      <c r="L74" s="6">
        <v>45</v>
      </c>
      <c r="M74" s="4" t="s">
        <v>255</v>
      </c>
      <c r="N74" s="2"/>
      <c r="O74" s="2"/>
      <c r="P74" s="2"/>
      <c r="Q74" s="2"/>
      <c r="R74" s="2"/>
      <c r="S74" s="2"/>
      <c r="T74" s="2"/>
      <c r="U74" s="2"/>
      <c r="V74" s="2"/>
      <c r="W74" s="2"/>
      <c r="X74" s="2"/>
      <c r="Y74" s="2"/>
      <c r="Z74" s="2"/>
    </row>
    <row r="75" spans="1:26" ht="19.5" customHeight="1">
      <c r="A75" s="4" t="s">
        <v>256</v>
      </c>
      <c r="B75" s="4" t="s">
        <v>257</v>
      </c>
      <c r="C75" s="6">
        <v>40</v>
      </c>
      <c r="D75" s="4" t="s">
        <v>226</v>
      </c>
      <c r="E75" s="6">
        <v>190</v>
      </c>
      <c r="F75" s="6">
        <v>13</v>
      </c>
      <c r="G75" s="6">
        <v>11</v>
      </c>
      <c r="H75" s="6">
        <v>14</v>
      </c>
      <c r="I75" s="6">
        <v>3</v>
      </c>
      <c r="J75" s="6">
        <v>55</v>
      </c>
      <c r="K75" s="6">
        <v>6</v>
      </c>
      <c r="L75" s="6">
        <v>10</v>
      </c>
      <c r="M75" s="4" t="s">
        <v>258</v>
      </c>
      <c r="N75" s="2"/>
      <c r="O75" s="2"/>
      <c r="P75" s="2"/>
      <c r="Q75" s="2"/>
      <c r="R75" s="2"/>
      <c r="S75" s="2"/>
      <c r="T75" s="2"/>
      <c r="U75" s="2"/>
      <c r="V75" s="2"/>
      <c r="W75" s="2"/>
      <c r="X75" s="2"/>
      <c r="Y75" s="2"/>
      <c r="Z75" s="2"/>
    </row>
    <row r="76" spans="1:26" ht="19.5" customHeight="1">
      <c r="A76" s="4" t="s">
        <v>259</v>
      </c>
      <c r="B76" s="4" t="s">
        <v>260</v>
      </c>
      <c r="C76" s="6">
        <v>40</v>
      </c>
      <c r="D76" s="4" t="s">
        <v>226</v>
      </c>
      <c r="E76" s="6">
        <v>180</v>
      </c>
      <c r="F76" s="6">
        <v>15</v>
      </c>
      <c r="G76" s="6">
        <v>11</v>
      </c>
      <c r="H76" s="6">
        <v>14</v>
      </c>
      <c r="I76" s="6">
        <v>1</v>
      </c>
      <c r="J76" s="6">
        <v>15</v>
      </c>
      <c r="K76" s="6">
        <v>7</v>
      </c>
      <c r="L76" s="6">
        <v>10</v>
      </c>
      <c r="M76" s="4" t="s">
        <v>261</v>
      </c>
      <c r="N76" s="2"/>
      <c r="O76" s="2"/>
      <c r="P76" s="2"/>
      <c r="Q76" s="2"/>
      <c r="R76" s="2"/>
      <c r="S76" s="2"/>
      <c r="T76" s="2"/>
      <c r="U76" s="2"/>
      <c r="V76" s="2"/>
      <c r="W76" s="2"/>
      <c r="X76" s="2"/>
      <c r="Y76" s="2"/>
      <c r="Z76" s="2"/>
    </row>
    <row r="77" spans="1:26" ht="19.5" customHeight="1">
      <c r="A77" s="4" t="s">
        <v>262</v>
      </c>
      <c r="B77" s="4" t="s">
        <v>263</v>
      </c>
      <c r="C77" s="6">
        <v>40</v>
      </c>
      <c r="D77" s="4" t="s">
        <v>226</v>
      </c>
      <c r="E77" s="6">
        <v>250</v>
      </c>
      <c r="F77" s="6">
        <v>15</v>
      </c>
      <c r="G77" s="6">
        <v>5</v>
      </c>
      <c r="H77" s="6">
        <v>20</v>
      </c>
      <c r="I77" s="6">
        <v>5</v>
      </c>
      <c r="J77" s="6">
        <v>0</v>
      </c>
      <c r="K77" s="6">
        <v>6</v>
      </c>
      <c r="L77" s="6">
        <v>0</v>
      </c>
      <c r="M77" s="4" t="s">
        <v>264</v>
      </c>
      <c r="N77" s="2"/>
      <c r="O77" s="2"/>
      <c r="P77" s="2"/>
      <c r="Q77" s="2"/>
      <c r="R77" s="2"/>
      <c r="S77" s="2"/>
      <c r="T77" s="2"/>
      <c r="U77" s="2"/>
      <c r="V77" s="2"/>
      <c r="W77" s="2"/>
      <c r="X77" s="2"/>
      <c r="Y77" s="2"/>
      <c r="Z77" s="2"/>
    </row>
    <row r="78" spans="1:26" ht="19.5" customHeight="1">
      <c r="A78" s="4" t="s">
        <v>265</v>
      </c>
      <c r="B78" s="4" t="s">
        <v>266</v>
      </c>
      <c r="C78" s="6">
        <v>40</v>
      </c>
      <c r="D78" s="4" t="s">
        <v>267</v>
      </c>
      <c r="E78" s="6">
        <v>110</v>
      </c>
      <c r="F78" s="6">
        <v>23</v>
      </c>
      <c r="G78" s="6">
        <v>1</v>
      </c>
      <c r="H78" s="6">
        <v>1.5</v>
      </c>
      <c r="I78" s="6">
        <v>1</v>
      </c>
      <c r="J78" s="6">
        <v>330</v>
      </c>
      <c r="K78" s="6">
        <v>3</v>
      </c>
      <c r="L78" s="6">
        <v>0</v>
      </c>
      <c r="M78" s="4" t="s">
        <v>268</v>
      </c>
      <c r="N78" s="2"/>
      <c r="O78" s="2"/>
      <c r="P78" s="2"/>
      <c r="Q78" s="2"/>
      <c r="R78" s="2"/>
      <c r="S78" s="2"/>
      <c r="T78" s="2"/>
      <c r="U78" s="2"/>
      <c r="V78" s="2"/>
      <c r="W78" s="2"/>
      <c r="X78" s="2"/>
      <c r="Y78" s="2"/>
      <c r="Z78" s="2"/>
    </row>
    <row r="79" spans="1:26" ht="19.5" customHeight="1">
      <c r="A79" s="4" t="s">
        <v>269</v>
      </c>
      <c r="B79" s="4" t="s">
        <v>270</v>
      </c>
      <c r="C79" s="6">
        <v>32</v>
      </c>
      <c r="D79" s="4" t="s">
        <v>226</v>
      </c>
      <c r="E79" s="6">
        <v>210</v>
      </c>
      <c r="F79" s="6">
        <v>8</v>
      </c>
      <c r="G79" s="6">
        <v>5</v>
      </c>
      <c r="H79" s="6">
        <v>17</v>
      </c>
      <c r="I79" s="6">
        <v>5</v>
      </c>
      <c r="J79" s="6">
        <v>90</v>
      </c>
      <c r="K79" s="6">
        <v>2</v>
      </c>
      <c r="L79" s="6">
        <v>0</v>
      </c>
      <c r="M79" s="4" t="s">
        <v>271</v>
      </c>
      <c r="N79" s="2"/>
      <c r="O79" s="2"/>
      <c r="P79" s="2"/>
      <c r="Q79" s="2"/>
      <c r="R79" s="2"/>
      <c r="S79" s="2"/>
      <c r="T79" s="2"/>
      <c r="U79" s="2"/>
      <c r="V79" s="2"/>
      <c r="W79" s="2"/>
      <c r="X79" s="2"/>
      <c r="Y79" s="2"/>
      <c r="Z79" s="2"/>
    </row>
    <row r="80" spans="1:26" ht="19.5" customHeight="1">
      <c r="A80" s="4" t="s">
        <v>272</v>
      </c>
      <c r="B80" s="4" t="s">
        <v>273</v>
      </c>
      <c r="C80" s="6">
        <v>28</v>
      </c>
      <c r="D80" s="4" t="s">
        <v>226</v>
      </c>
      <c r="E80" s="6">
        <v>220</v>
      </c>
      <c r="F80" s="6">
        <v>1</v>
      </c>
      <c r="G80" s="6">
        <v>2</v>
      </c>
      <c r="H80" s="6">
        <v>23</v>
      </c>
      <c r="I80" s="6">
        <v>0</v>
      </c>
      <c r="J80" s="6">
        <v>95</v>
      </c>
      <c r="K80" s="6">
        <v>0</v>
      </c>
      <c r="L80" s="6">
        <v>0</v>
      </c>
      <c r="M80" s="4" t="s">
        <v>274</v>
      </c>
      <c r="N80" s="2"/>
      <c r="O80" s="2"/>
      <c r="P80" s="2"/>
      <c r="Q80" s="2"/>
      <c r="R80" s="2"/>
      <c r="S80" s="2"/>
      <c r="T80" s="2"/>
      <c r="U80" s="2"/>
      <c r="V80" s="2"/>
      <c r="W80" s="2"/>
      <c r="X80" s="2"/>
      <c r="Y80" s="2"/>
      <c r="Z80" s="2"/>
    </row>
    <row r="81" spans="1:26" ht="19.5" customHeight="1">
      <c r="A81" s="4" t="s">
        <v>275</v>
      </c>
      <c r="B81" s="4" t="s">
        <v>276</v>
      </c>
      <c r="C81" s="6">
        <v>28</v>
      </c>
      <c r="D81" s="4" t="s">
        <v>226</v>
      </c>
      <c r="E81" s="6">
        <v>138</v>
      </c>
      <c r="F81" s="6">
        <v>15</v>
      </c>
      <c r="G81" s="6">
        <v>4</v>
      </c>
      <c r="H81" s="6">
        <v>7</v>
      </c>
      <c r="I81" s="6">
        <v>0</v>
      </c>
      <c r="J81" s="6">
        <v>194</v>
      </c>
      <c r="K81" s="6">
        <v>4</v>
      </c>
      <c r="L81" s="6">
        <v>0</v>
      </c>
      <c r="M81" s="4" t="s">
        <v>277</v>
      </c>
      <c r="N81" s="2"/>
      <c r="O81" s="2"/>
      <c r="P81" s="2"/>
      <c r="Q81" s="2"/>
      <c r="R81" s="2"/>
      <c r="S81" s="2"/>
      <c r="T81" s="2"/>
      <c r="U81" s="2"/>
      <c r="V81" s="2"/>
      <c r="W81" s="2"/>
      <c r="X81" s="2"/>
      <c r="Y81" s="2"/>
      <c r="Z81" s="2"/>
    </row>
    <row r="82" spans="1:26" ht="19.5" customHeight="1">
      <c r="A82" s="4" t="s">
        <v>278</v>
      </c>
      <c r="B82" s="4" t="s">
        <v>279</v>
      </c>
      <c r="C82" s="6">
        <v>28</v>
      </c>
      <c r="D82" s="4" t="s">
        <v>226</v>
      </c>
      <c r="E82" s="6">
        <v>80</v>
      </c>
      <c r="F82" s="7" t="s">
        <v>18</v>
      </c>
      <c r="G82" s="6">
        <v>8</v>
      </c>
      <c r="H82" s="6">
        <v>6</v>
      </c>
      <c r="I82" s="6">
        <v>0</v>
      </c>
      <c r="J82" s="6">
        <v>380</v>
      </c>
      <c r="K82" s="6">
        <v>0</v>
      </c>
      <c r="L82" s="6">
        <v>25</v>
      </c>
      <c r="M82" s="4" t="s">
        <v>280</v>
      </c>
      <c r="N82" s="2"/>
      <c r="O82" s="2"/>
      <c r="P82" s="2"/>
      <c r="Q82" s="2"/>
      <c r="R82" s="2"/>
      <c r="S82" s="2"/>
      <c r="T82" s="2"/>
      <c r="U82" s="2"/>
      <c r="V82" s="2"/>
      <c r="W82" s="2"/>
      <c r="X82" s="2"/>
      <c r="Y82" s="2"/>
      <c r="Z82" s="2"/>
    </row>
    <row r="83" spans="1:26" ht="19.5" customHeight="1">
      <c r="A83" s="4" t="s">
        <v>281</v>
      </c>
      <c r="B83" s="4" t="s">
        <v>282</v>
      </c>
      <c r="C83" s="6">
        <v>25</v>
      </c>
      <c r="D83" s="4" t="s">
        <v>236</v>
      </c>
      <c r="E83" s="6">
        <v>130</v>
      </c>
      <c r="F83" s="6">
        <v>18</v>
      </c>
      <c r="G83" s="7" t="s">
        <v>18</v>
      </c>
      <c r="H83" s="6">
        <v>6</v>
      </c>
      <c r="I83" s="6">
        <v>0</v>
      </c>
      <c r="J83" s="6">
        <v>190</v>
      </c>
      <c r="K83" s="6">
        <v>1</v>
      </c>
      <c r="L83" s="6">
        <v>0</v>
      </c>
      <c r="M83" s="4" t="s">
        <v>283</v>
      </c>
      <c r="N83" s="2"/>
      <c r="O83" s="2"/>
      <c r="P83" s="2"/>
      <c r="Q83" s="2"/>
      <c r="R83" s="2"/>
      <c r="S83" s="2"/>
      <c r="T83" s="2"/>
      <c r="U83" s="2"/>
      <c r="V83" s="2"/>
      <c r="W83" s="2"/>
      <c r="X83" s="2"/>
      <c r="Y83" s="2"/>
      <c r="Z83" s="2"/>
    </row>
    <row r="84" spans="1:26" ht="19.5" customHeight="1">
      <c r="A84" s="4" t="s">
        <v>284</v>
      </c>
      <c r="B84" s="4" t="s">
        <v>285</v>
      </c>
      <c r="C84" s="6">
        <v>25</v>
      </c>
      <c r="D84" s="4" t="s">
        <v>286</v>
      </c>
      <c r="E84" s="6">
        <v>60</v>
      </c>
      <c r="F84" s="6">
        <v>5</v>
      </c>
      <c r="G84" s="6">
        <v>7</v>
      </c>
      <c r="H84" s="6">
        <v>1</v>
      </c>
      <c r="I84" s="7" t="s">
        <v>18</v>
      </c>
      <c r="J84" s="6">
        <v>403</v>
      </c>
      <c r="K84" s="7" t="s">
        <v>108</v>
      </c>
      <c r="L84" s="7" t="s">
        <v>18</v>
      </c>
      <c r="M84" s="4" t="s">
        <v>287</v>
      </c>
      <c r="N84" s="2"/>
      <c r="O84" s="2"/>
      <c r="P84" s="2"/>
      <c r="Q84" s="2"/>
      <c r="R84" s="2"/>
      <c r="S84" s="2"/>
      <c r="T84" s="2"/>
      <c r="U84" s="2"/>
      <c r="V84" s="2"/>
      <c r="W84" s="2"/>
      <c r="X84" s="2"/>
      <c r="Y84" s="2"/>
      <c r="Z84" s="2"/>
    </row>
    <row r="85" spans="1:26" ht="19.5" customHeight="1">
      <c r="A85" s="4" t="s">
        <v>288</v>
      </c>
      <c r="B85" s="4" t="s">
        <v>289</v>
      </c>
      <c r="C85" s="6">
        <v>25</v>
      </c>
      <c r="D85" s="4" t="s">
        <v>286</v>
      </c>
      <c r="E85" s="6">
        <v>60</v>
      </c>
      <c r="F85" s="6">
        <v>5</v>
      </c>
      <c r="G85" s="6">
        <v>7</v>
      </c>
      <c r="H85" s="6">
        <v>1</v>
      </c>
      <c r="I85" s="6">
        <v>0</v>
      </c>
      <c r="J85" s="6">
        <v>403</v>
      </c>
      <c r="K85" s="6">
        <v>5</v>
      </c>
      <c r="L85" s="6">
        <v>0</v>
      </c>
      <c r="M85" s="4" t="s">
        <v>290</v>
      </c>
      <c r="N85" s="2"/>
      <c r="O85" s="2"/>
      <c r="P85" s="2"/>
      <c r="Q85" s="2"/>
      <c r="R85" s="2"/>
      <c r="S85" s="2"/>
      <c r="T85" s="2"/>
      <c r="U85" s="2"/>
      <c r="V85" s="2"/>
      <c r="W85" s="2"/>
      <c r="X85" s="2"/>
      <c r="Y85" s="2"/>
      <c r="Z85" s="2"/>
    </row>
    <row r="86" spans="1:26" ht="19.5" customHeight="1">
      <c r="A86" s="4" t="s">
        <v>291</v>
      </c>
      <c r="B86" s="4" t="s">
        <v>292</v>
      </c>
      <c r="C86" s="6">
        <v>25</v>
      </c>
      <c r="D86" s="4" t="s">
        <v>286</v>
      </c>
      <c r="E86" s="6">
        <v>60</v>
      </c>
      <c r="F86" s="6">
        <v>7</v>
      </c>
      <c r="G86" s="6">
        <v>7</v>
      </c>
      <c r="H86" s="6">
        <v>1</v>
      </c>
      <c r="I86" s="7" t="s">
        <v>18</v>
      </c>
      <c r="J86" s="6">
        <v>321</v>
      </c>
      <c r="K86" s="7" t="s">
        <v>293</v>
      </c>
      <c r="L86" s="7" t="s">
        <v>18</v>
      </c>
      <c r="M86" s="4" t="s">
        <v>287</v>
      </c>
      <c r="N86" s="2"/>
      <c r="O86" s="2"/>
      <c r="P86" s="2"/>
      <c r="Q86" s="2"/>
      <c r="R86" s="2"/>
      <c r="S86" s="2"/>
      <c r="T86" s="2"/>
      <c r="U86" s="2"/>
      <c r="V86" s="2"/>
      <c r="W86" s="2"/>
      <c r="X86" s="2"/>
      <c r="Y86" s="2"/>
      <c r="Z86" s="2"/>
    </row>
    <row r="87" spans="1:26" ht="19.5" customHeight="1">
      <c r="A87" s="4" t="s">
        <v>294</v>
      </c>
      <c r="B87" s="4" t="s">
        <v>295</v>
      </c>
      <c r="C87" s="7" t="s">
        <v>296</v>
      </c>
      <c r="D87" s="4" t="s">
        <v>286</v>
      </c>
      <c r="E87" s="6">
        <v>60</v>
      </c>
      <c r="F87" s="6">
        <v>7</v>
      </c>
      <c r="G87" s="6">
        <v>7</v>
      </c>
      <c r="H87" s="6">
        <v>1</v>
      </c>
      <c r="I87" s="6">
        <v>0</v>
      </c>
      <c r="J87" s="6">
        <v>321</v>
      </c>
      <c r="K87" s="6">
        <v>7</v>
      </c>
      <c r="L87" s="6">
        <v>0</v>
      </c>
      <c r="M87" s="4" t="s">
        <v>287</v>
      </c>
      <c r="N87" s="2"/>
      <c r="O87" s="2"/>
      <c r="P87" s="2"/>
      <c r="Q87" s="2"/>
      <c r="R87" s="2"/>
      <c r="S87" s="2"/>
      <c r="T87" s="2"/>
      <c r="U87" s="2"/>
      <c r="V87" s="2"/>
      <c r="W87" s="2"/>
      <c r="X87" s="2"/>
      <c r="Y87" s="2"/>
      <c r="Z87" s="2"/>
    </row>
    <row r="88" spans="1:26" ht="19.5" customHeight="1">
      <c r="A88" s="4" t="s">
        <v>297</v>
      </c>
      <c r="B88" s="4" t="s">
        <v>298</v>
      </c>
      <c r="C88" s="6">
        <v>23</v>
      </c>
      <c r="D88" s="4" t="s">
        <v>299</v>
      </c>
      <c r="E88" s="6">
        <v>150</v>
      </c>
      <c r="F88" s="6">
        <v>1</v>
      </c>
      <c r="G88" s="6">
        <v>12</v>
      </c>
      <c r="H88" s="6">
        <v>11</v>
      </c>
      <c r="I88" s="6">
        <v>0</v>
      </c>
      <c r="J88" s="6">
        <v>340</v>
      </c>
      <c r="K88" s="6">
        <v>0</v>
      </c>
      <c r="L88" s="6">
        <v>35</v>
      </c>
      <c r="M88" s="4" t="s">
        <v>300</v>
      </c>
      <c r="N88" s="2"/>
      <c r="O88" s="2"/>
      <c r="P88" s="2"/>
      <c r="Q88" s="2"/>
      <c r="R88" s="2"/>
      <c r="S88" s="2"/>
      <c r="T88" s="2"/>
      <c r="U88" s="2"/>
      <c r="V88" s="2"/>
      <c r="W88" s="2"/>
      <c r="X88" s="2"/>
      <c r="Y88" s="2"/>
      <c r="Z88" s="2"/>
    </row>
    <row r="89" spans="1:26" ht="19.5" customHeight="1">
      <c r="A89" s="4" t="s">
        <v>301</v>
      </c>
      <c r="B89" s="4" t="s">
        <v>302</v>
      </c>
      <c r="C89" s="6">
        <v>21</v>
      </c>
      <c r="D89" s="4" t="s">
        <v>236</v>
      </c>
      <c r="E89" s="6">
        <v>90</v>
      </c>
      <c r="F89" s="6">
        <v>15</v>
      </c>
      <c r="G89" s="6">
        <v>1</v>
      </c>
      <c r="H89" s="6">
        <v>3.5</v>
      </c>
      <c r="I89" s="6">
        <v>6</v>
      </c>
      <c r="J89" s="6">
        <v>85</v>
      </c>
      <c r="K89" s="6">
        <v>0</v>
      </c>
      <c r="L89" s="6">
        <v>0</v>
      </c>
      <c r="M89" s="4" t="s">
        <v>303</v>
      </c>
      <c r="N89" s="2"/>
      <c r="O89" s="2"/>
      <c r="P89" s="2"/>
      <c r="Q89" s="2"/>
      <c r="R89" s="2"/>
      <c r="S89" s="2"/>
      <c r="T89" s="2"/>
      <c r="U89" s="2"/>
      <c r="V89" s="2"/>
      <c r="W89" s="2"/>
      <c r="X89" s="2"/>
      <c r="Y89" s="2"/>
      <c r="Z89" s="2"/>
    </row>
    <row r="90" spans="1:26" ht="19.5" customHeight="1">
      <c r="A90" s="4" t="s">
        <v>304</v>
      </c>
      <c r="B90" s="4" t="s">
        <v>305</v>
      </c>
      <c r="C90" s="6">
        <v>16</v>
      </c>
      <c r="D90" s="4" t="s">
        <v>306</v>
      </c>
      <c r="E90" s="6">
        <v>32</v>
      </c>
      <c r="F90" s="6">
        <v>8</v>
      </c>
      <c r="G90" s="6">
        <v>0</v>
      </c>
      <c r="H90" s="6">
        <v>0</v>
      </c>
      <c r="I90" s="6">
        <v>8</v>
      </c>
      <c r="J90" s="6">
        <v>0</v>
      </c>
      <c r="K90" s="6">
        <v>0</v>
      </c>
      <c r="L90" s="6">
        <v>0</v>
      </c>
      <c r="M90" s="4" t="s">
        <v>307</v>
      </c>
      <c r="N90" s="2"/>
      <c r="O90" s="2"/>
      <c r="P90" s="2"/>
      <c r="Q90" s="2"/>
      <c r="R90" s="2"/>
      <c r="S90" s="2"/>
      <c r="T90" s="2"/>
      <c r="U90" s="2"/>
      <c r="V90" s="2"/>
      <c r="W90" s="2"/>
      <c r="X90" s="2"/>
      <c r="Y90" s="2"/>
      <c r="Z90" s="2"/>
    </row>
    <row r="91" spans="1:26" ht="19.5" customHeight="1">
      <c r="A91" s="4" t="s">
        <v>308</v>
      </c>
      <c r="B91" s="4" t="s">
        <v>309</v>
      </c>
      <c r="C91" s="6">
        <v>16</v>
      </c>
      <c r="D91" s="4" t="s">
        <v>306</v>
      </c>
      <c r="E91" s="6">
        <v>36</v>
      </c>
      <c r="F91" s="6">
        <v>9</v>
      </c>
      <c r="G91" s="6">
        <v>0</v>
      </c>
      <c r="H91" s="6">
        <v>0</v>
      </c>
      <c r="I91" s="6">
        <v>9</v>
      </c>
      <c r="J91" s="6">
        <v>0</v>
      </c>
      <c r="K91" s="6">
        <v>0</v>
      </c>
      <c r="L91" s="6">
        <v>0</v>
      </c>
      <c r="M91" s="4" t="s">
        <v>310</v>
      </c>
      <c r="N91" s="2"/>
      <c r="O91" s="2"/>
      <c r="P91" s="2"/>
      <c r="Q91" s="2"/>
      <c r="R91" s="2"/>
      <c r="S91" s="2"/>
      <c r="T91" s="2"/>
      <c r="U91" s="2"/>
      <c r="V91" s="2"/>
      <c r="W91" s="2"/>
      <c r="X91" s="2"/>
      <c r="Y91" s="2"/>
      <c r="Z91" s="2"/>
    </row>
    <row r="92" spans="1:26" ht="19.5" customHeight="1">
      <c r="A92" s="4" t="s">
        <v>311</v>
      </c>
      <c r="B92" s="4" t="s">
        <v>312</v>
      </c>
      <c r="C92" s="6">
        <v>15</v>
      </c>
      <c r="D92" s="4" t="s">
        <v>222</v>
      </c>
      <c r="E92" s="6">
        <v>10</v>
      </c>
      <c r="F92" s="6">
        <v>0</v>
      </c>
      <c r="G92" s="6">
        <v>2</v>
      </c>
      <c r="H92" s="6">
        <v>0</v>
      </c>
      <c r="I92" s="6">
        <v>0</v>
      </c>
      <c r="J92" s="6">
        <v>1460</v>
      </c>
      <c r="K92" s="6">
        <v>0</v>
      </c>
      <c r="L92" s="6">
        <v>0</v>
      </c>
      <c r="M92" s="4" t="s">
        <v>313</v>
      </c>
      <c r="N92" s="2"/>
      <c r="O92" s="2"/>
      <c r="P92" s="2"/>
      <c r="Q92" s="2"/>
      <c r="R92" s="2"/>
      <c r="S92" s="2"/>
      <c r="T92" s="2"/>
      <c r="U92" s="2"/>
      <c r="V92" s="2"/>
      <c r="W92" s="2"/>
      <c r="X92" s="2"/>
      <c r="Y92" s="2"/>
      <c r="Z92" s="2"/>
    </row>
    <row r="93" spans="1:26" ht="19.5" customHeight="1">
      <c r="A93" s="4" t="s">
        <v>314</v>
      </c>
      <c r="B93" s="4" t="s">
        <v>315</v>
      </c>
      <c r="C93" s="6">
        <v>14</v>
      </c>
      <c r="D93" s="4" t="s">
        <v>316</v>
      </c>
      <c r="E93" s="6">
        <v>140</v>
      </c>
      <c r="F93" s="6">
        <v>19</v>
      </c>
      <c r="G93" s="6">
        <v>2</v>
      </c>
      <c r="H93" s="6">
        <v>6</v>
      </c>
      <c r="I93" s="6">
        <v>0</v>
      </c>
      <c r="J93" s="6">
        <v>120</v>
      </c>
      <c r="K93" s="6">
        <v>2</v>
      </c>
      <c r="L93" s="6">
        <v>0</v>
      </c>
      <c r="M93" s="4" t="s">
        <v>317</v>
      </c>
      <c r="N93" s="2"/>
      <c r="O93" s="2"/>
      <c r="P93" s="2"/>
      <c r="Q93" s="2"/>
      <c r="R93" s="2"/>
      <c r="S93" s="2"/>
      <c r="T93" s="2"/>
      <c r="U93" s="2"/>
      <c r="V93" s="2"/>
      <c r="W93" s="2"/>
      <c r="X93" s="2"/>
      <c r="Y93" s="2"/>
      <c r="Z93" s="2"/>
    </row>
    <row r="94" spans="1:26" ht="19.5" customHeight="1">
      <c r="A94" s="4" t="s">
        <v>318</v>
      </c>
      <c r="B94" s="4" t="s">
        <v>319</v>
      </c>
      <c r="C94" s="6">
        <v>13</v>
      </c>
      <c r="D94" s="4" t="s">
        <v>320</v>
      </c>
      <c r="E94" s="6">
        <v>140</v>
      </c>
      <c r="F94" s="6">
        <v>21</v>
      </c>
      <c r="G94" s="6">
        <v>3</v>
      </c>
      <c r="H94" s="6">
        <v>5</v>
      </c>
      <c r="I94" s="6">
        <v>0</v>
      </c>
      <c r="J94" s="6">
        <v>230</v>
      </c>
      <c r="K94" s="6">
        <v>3</v>
      </c>
      <c r="L94" s="6">
        <v>0</v>
      </c>
      <c r="M94" s="4" t="s">
        <v>321</v>
      </c>
      <c r="N94" s="2"/>
      <c r="O94" s="2"/>
      <c r="P94" s="2"/>
      <c r="Q94" s="2"/>
      <c r="R94" s="2"/>
      <c r="S94" s="2"/>
      <c r="T94" s="2"/>
      <c r="U94" s="2"/>
      <c r="V94" s="2"/>
      <c r="W94" s="2"/>
      <c r="X94" s="2"/>
      <c r="Y94" s="2"/>
      <c r="Z94" s="2"/>
    </row>
    <row r="95" spans="1:26" ht="19.5" customHeight="1">
      <c r="A95" s="4" t="s">
        <v>322</v>
      </c>
      <c r="B95" s="4" t="s">
        <v>323</v>
      </c>
      <c r="C95" s="6">
        <v>12</v>
      </c>
      <c r="D95" s="4" t="s">
        <v>299</v>
      </c>
      <c r="E95" s="6">
        <v>140</v>
      </c>
      <c r="F95" s="6">
        <v>10</v>
      </c>
      <c r="G95" s="6">
        <v>5</v>
      </c>
      <c r="H95" s="6">
        <v>10</v>
      </c>
      <c r="I95" s="6">
        <v>1</v>
      </c>
      <c r="J95" s="6">
        <v>470</v>
      </c>
      <c r="K95" s="6">
        <v>2</v>
      </c>
      <c r="L95" s="6">
        <v>0</v>
      </c>
      <c r="M95" s="4" t="s">
        <v>324</v>
      </c>
      <c r="N95" s="2"/>
      <c r="O95" s="2"/>
      <c r="P95" s="2"/>
      <c r="Q95" s="2"/>
      <c r="R95" s="2"/>
      <c r="S95" s="2"/>
      <c r="T95" s="2"/>
      <c r="U95" s="2"/>
      <c r="V95" s="2"/>
      <c r="W95" s="2"/>
      <c r="X95" s="2"/>
      <c r="Y95" s="2"/>
      <c r="Z95" s="2"/>
    </row>
    <row r="96" spans="1:26" ht="19.5" customHeight="1">
      <c r="A96" s="4" t="s">
        <v>325</v>
      </c>
      <c r="B96" s="4" t="s">
        <v>326</v>
      </c>
      <c r="C96" s="6">
        <v>12</v>
      </c>
      <c r="D96" s="4" t="s">
        <v>299</v>
      </c>
      <c r="E96" s="6">
        <v>100</v>
      </c>
      <c r="F96" s="6">
        <v>1</v>
      </c>
      <c r="G96" s="6">
        <v>9</v>
      </c>
      <c r="H96" s="6">
        <v>7</v>
      </c>
      <c r="I96" s="6">
        <v>0</v>
      </c>
      <c r="J96" s="6">
        <v>280</v>
      </c>
      <c r="K96" s="6">
        <v>0</v>
      </c>
      <c r="L96" s="6">
        <v>20</v>
      </c>
      <c r="M96" s="4" t="s">
        <v>327</v>
      </c>
      <c r="N96" s="2"/>
      <c r="O96" s="2"/>
      <c r="P96" s="2"/>
      <c r="Q96" s="2"/>
      <c r="R96" s="2"/>
      <c r="S96" s="2"/>
      <c r="T96" s="2"/>
      <c r="U96" s="2"/>
      <c r="V96" s="2"/>
      <c r="W96" s="2"/>
      <c r="X96" s="2"/>
      <c r="Y96" s="2"/>
      <c r="Z96" s="2"/>
    </row>
    <row r="97" spans="1:26" ht="19.5" customHeight="1">
      <c r="A97" s="4" t="s">
        <v>328</v>
      </c>
      <c r="B97" s="4" t="s">
        <v>329</v>
      </c>
      <c r="C97" s="6">
        <v>12</v>
      </c>
      <c r="D97" s="4" t="s">
        <v>316</v>
      </c>
      <c r="E97" s="6">
        <v>120</v>
      </c>
      <c r="F97" s="6">
        <v>3</v>
      </c>
      <c r="G97" s="6">
        <v>0</v>
      </c>
      <c r="H97" s="6">
        <v>12</v>
      </c>
      <c r="I97" s="7" t="s">
        <v>176</v>
      </c>
      <c r="J97" s="6">
        <v>90</v>
      </c>
      <c r="K97" s="7" t="s">
        <v>176</v>
      </c>
      <c r="L97" s="7" t="s">
        <v>18</v>
      </c>
      <c r="M97" s="4" t="s">
        <v>330</v>
      </c>
      <c r="N97" s="2"/>
      <c r="O97" s="2"/>
      <c r="P97" s="2"/>
      <c r="Q97" s="2"/>
      <c r="R97" s="2"/>
      <c r="S97" s="2"/>
      <c r="T97" s="2"/>
      <c r="U97" s="2"/>
      <c r="V97" s="2"/>
      <c r="W97" s="2"/>
      <c r="X97" s="2"/>
      <c r="Y97" s="2"/>
      <c r="Z97" s="2"/>
    </row>
    <row r="98" spans="1:26" ht="19.5" customHeight="1">
      <c r="A98" s="4" t="s">
        <v>331</v>
      </c>
      <c r="B98" s="4" t="s">
        <v>332</v>
      </c>
      <c r="C98" s="6">
        <v>12</v>
      </c>
      <c r="D98" s="4" t="s">
        <v>306</v>
      </c>
      <c r="E98" s="6">
        <v>0</v>
      </c>
      <c r="F98" s="6">
        <v>0</v>
      </c>
      <c r="G98" s="6">
        <v>0</v>
      </c>
      <c r="H98" s="6">
        <v>0</v>
      </c>
      <c r="I98" s="6">
        <v>0</v>
      </c>
      <c r="J98" s="6">
        <v>15</v>
      </c>
      <c r="K98" s="6">
        <v>0</v>
      </c>
      <c r="L98" s="6">
        <v>0</v>
      </c>
      <c r="M98" s="4" t="s">
        <v>333</v>
      </c>
      <c r="N98" s="2"/>
      <c r="O98" s="2"/>
      <c r="P98" s="2"/>
      <c r="Q98" s="2"/>
      <c r="R98" s="2"/>
      <c r="S98" s="2"/>
      <c r="T98" s="2"/>
      <c r="U98" s="2"/>
      <c r="V98" s="2"/>
      <c r="W98" s="2"/>
      <c r="X98" s="2"/>
      <c r="Y98" s="2"/>
      <c r="Z98" s="2"/>
    </row>
    <row r="99" spans="1:26" ht="19.5" customHeight="1">
      <c r="A99" s="4" t="s">
        <v>334</v>
      </c>
      <c r="B99" s="4" t="s">
        <v>335</v>
      </c>
      <c r="C99" s="6">
        <v>11</v>
      </c>
      <c r="D99" s="4" t="s">
        <v>316</v>
      </c>
      <c r="E99" s="6">
        <v>170</v>
      </c>
      <c r="F99" s="6">
        <v>10</v>
      </c>
      <c r="G99" s="6">
        <v>7</v>
      </c>
      <c r="H99" s="6">
        <v>11</v>
      </c>
      <c r="I99" s="6">
        <v>1</v>
      </c>
      <c r="J99" s="6">
        <v>150</v>
      </c>
      <c r="K99" s="7" t="s">
        <v>18</v>
      </c>
      <c r="L99" s="6">
        <v>30</v>
      </c>
      <c r="M99" s="4" t="s">
        <v>336</v>
      </c>
      <c r="N99" s="2"/>
      <c r="O99" s="2"/>
      <c r="P99" s="2"/>
      <c r="Q99" s="2"/>
      <c r="R99" s="2"/>
      <c r="S99" s="2"/>
      <c r="T99" s="2"/>
      <c r="U99" s="2"/>
      <c r="V99" s="2"/>
      <c r="W99" s="2"/>
      <c r="X99" s="2"/>
      <c r="Y99" s="2"/>
      <c r="Z99" s="2"/>
    </row>
    <row r="100" spans="1:26" ht="19.5" customHeight="1">
      <c r="A100" s="4" t="s">
        <v>337</v>
      </c>
      <c r="B100" s="4" t="s">
        <v>338</v>
      </c>
      <c r="C100" s="6">
        <v>11</v>
      </c>
      <c r="D100" s="4" t="s">
        <v>316</v>
      </c>
      <c r="E100" s="6">
        <v>130</v>
      </c>
      <c r="F100" s="6">
        <v>16</v>
      </c>
      <c r="G100" s="6">
        <v>4</v>
      </c>
      <c r="H100" s="6">
        <v>6</v>
      </c>
      <c r="I100" s="6">
        <v>0</v>
      </c>
      <c r="J100" s="6">
        <v>180</v>
      </c>
      <c r="K100" s="6">
        <v>4</v>
      </c>
      <c r="L100" s="6">
        <v>0</v>
      </c>
      <c r="M100" s="4" t="s">
        <v>339</v>
      </c>
      <c r="N100" s="2"/>
      <c r="O100" s="2"/>
      <c r="P100" s="2"/>
      <c r="Q100" s="2"/>
      <c r="R100" s="2"/>
      <c r="S100" s="2"/>
      <c r="T100" s="2"/>
      <c r="U100" s="2"/>
      <c r="V100" s="2"/>
      <c r="W100" s="2"/>
      <c r="X100" s="2"/>
      <c r="Y100" s="2"/>
      <c r="Z100" s="2"/>
    </row>
    <row r="101" spans="1:26" ht="19.5" customHeight="1">
      <c r="A101" s="4" t="s">
        <v>340</v>
      </c>
      <c r="B101" s="4" t="s">
        <v>341</v>
      </c>
      <c r="C101" s="6">
        <v>10</v>
      </c>
      <c r="D101" s="4" t="s">
        <v>316</v>
      </c>
      <c r="E101" s="6">
        <v>140</v>
      </c>
      <c r="F101" s="6">
        <v>14</v>
      </c>
      <c r="G101" s="6">
        <v>2</v>
      </c>
      <c r="H101" s="6">
        <v>10</v>
      </c>
      <c r="I101" s="6">
        <v>0</v>
      </c>
      <c r="J101" s="6">
        <v>110</v>
      </c>
      <c r="K101" s="6">
        <v>3</v>
      </c>
      <c r="L101" s="6">
        <v>0</v>
      </c>
      <c r="M101" s="4" t="s">
        <v>342</v>
      </c>
      <c r="N101" s="2"/>
      <c r="O101" s="2"/>
      <c r="P101" s="2"/>
      <c r="Q101" s="2"/>
      <c r="R101" s="2"/>
      <c r="S101" s="2"/>
      <c r="T101" s="2"/>
      <c r="U101" s="2"/>
      <c r="V101" s="2"/>
      <c r="W101" s="2"/>
      <c r="X101" s="2"/>
      <c r="Y101" s="2"/>
      <c r="Z101" s="2"/>
    </row>
    <row r="102" spans="1:26" ht="19.5" customHeight="1">
      <c r="A102" s="4" t="s">
        <v>343</v>
      </c>
      <c r="B102" s="4" t="s">
        <v>344</v>
      </c>
      <c r="C102" s="6">
        <v>10</v>
      </c>
      <c r="D102" s="4" t="s">
        <v>316</v>
      </c>
      <c r="E102" s="6">
        <v>140</v>
      </c>
      <c r="F102" s="6">
        <v>16</v>
      </c>
      <c r="G102" s="6">
        <v>2</v>
      </c>
      <c r="H102" s="6">
        <v>7</v>
      </c>
      <c r="I102" s="7" t="s">
        <v>18</v>
      </c>
      <c r="J102" s="6">
        <v>65</v>
      </c>
      <c r="K102" s="6">
        <v>2</v>
      </c>
      <c r="L102" s="6">
        <v>0</v>
      </c>
      <c r="M102" s="4" t="s">
        <v>345</v>
      </c>
      <c r="N102" s="2"/>
      <c r="O102" s="2"/>
      <c r="P102" s="2"/>
      <c r="Q102" s="2"/>
      <c r="R102" s="2"/>
      <c r="S102" s="2"/>
      <c r="T102" s="2"/>
      <c r="U102" s="2"/>
      <c r="V102" s="2"/>
      <c r="W102" s="2"/>
      <c r="X102" s="2"/>
      <c r="Y102" s="2"/>
      <c r="Z102" s="2"/>
    </row>
    <row r="103" spans="1:26" ht="19.5" customHeight="1">
      <c r="A103" s="4" t="s">
        <v>346</v>
      </c>
      <c r="B103" s="4" t="s">
        <v>347</v>
      </c>
      <c r="C103" s="7" t="s">
        <v>173</v>
      </c>
      <c r="D103" s="4" t="s">
        <v>320</v>
      </c>
      <c r="E103" s="6">
        <v>160</v>
      </c>
      <c r="F103" s="6">
        <v>10</v>
      </c>
      <c r="G103" s="6">
        <v>6</v>
      </c>
      <c r="H103" s="6">
        <v>12</v>
      </c>
      <c r="I103" s="6">
        <v>0</v>
      </c>
      <c r="J103" s="6">
        <v>260</v>
      </c>
      <c r="K103" s="6">
        <v>9</v>
      </c>
      <c r="L103" s="6">
        <v>0</v>
      </c>
      <c r="M103" s="4" t="s">
        <v>348</v>
      </c>
      <c r="N103" s="2"/>
      <c r="O103" s="2"/>
      <c r="P103" s="2"/>
      <c r="Q103" s="2"/>
      <c r="R103" s="2"/>
      <c r="S103" s="2"/>
      <c r="T103" s="2"/>
      <c r="U103" s="2"/>
      <c r="V103" s="2"/>
      <c r="W103" s="2"/>
      <c r="X103" s="2"/>
      <c r="Y103" s="2"/>
      <c r="Z103" s="2"/>
    </row>
    <row r="104" spans="1:26" ht="19.5" customHeight="1">
      <c r="A104" s="4" t="s">
        <v>349</v>
      </c>
      <c r="B104" s="4" t="s">
        <v>350</v>
      </c>
      <c r="C104" s="7" t="s">
        <v>351</v>
      </c>
      <c r="D104" s="4" t="s">
        <v>205</v>
      </c>
      <c r="E104" s="6">
        <v>230</v>
      </c>
      <c r="F104" s="6">
        <v>15</v>
      </c>
      <c r="G104" s="6">
        <v>4</v>
      </c>
      <c r="H104" s="6">
        <v>18</v>
      </c>
      <c r="I104" s="6">
        <v>10</v>
      </c>
      <c r="J104" s="6">
        <v>740</v>
      </c>
      <c r="K104" s="6">
        <v>5</v>
      </c>
      <c r="L104" s="6">
        <v>0</v>
      </c>
      <c r="M104" s="4" t="s">
        <v>352</v>
      </c>
      <c r="N104" s="2"/>
      <c r="O104" s="2"/>
      <c r="P104" s="2"/>
      <c r="Q104" s="2"/>
      <c r="R104" s="2"/>
      <c r="S104" s="2"/>
      <c r="T104" s="2"/>
      <c r="U104" s="2"/>
      <c r="V104" s="2"/>
      <c r="W104" s="2"/>
      <c r="X104" s="2"/>
      <c r="Y104" s="2"/>
      <c r="Z104" s="2"/>
    </row>
    <row r="105" spans="1:26" ht="19.5" customHeight="1">
      <c r="A105" s="4" t="s">
        <v>353</v>
      </c>
      <c r="B105" s="4" t="s">
        <v>354</v>
      </c>
      <c r="C105" s="7" t="s">
        <v>351</v>
      </c>
      <c r="D105" s="4" t="s">
        <v>205</v>
      </c>
      <c r="E105" s="6">
        <v>230</v>
      </c>
      <c r="F105" s="6">
        <v>18</v>
      </c>
      <c r="G105" s="6">
        <v>5</v>
      </c>
      <c r="H105" s="6">
        <v>17</v>
      </c>
      <c r="I105" s="6">
        <v>12</v>
      </c>
      <c r="J105" s="6">
        <v>760</v>
      </c>
      <c r="K105" s="6">
        <v>5</v>
      </c>
      <c r="L105" s="6">
        <v>0</v>
      </c>
      <c r="M105" s="4" t="s">
        <v>355</v>
      </c>
      <c r="N105" s="2"/>
      <c r="O105" s="2"/>
      <c r="P105" s="2"/>
      <c r="Q105" s="2"/>
      <c r="R105" s="2"/>
      <c r="S105" s="2"/>
      <c r="T105" s="2"/>
      <c r="U105" s="2"/>
      <c r="V105" s="2"/>
      <c r="W105" s="2"/>
      <c r="X105" s="2"/>
      <c r="Y105" s="2"/>
      <c r="Z105" s="2"/>
    </row>
    <row r="106" spans="1:26" ht="19.5" customHeight="1">
      <c r="A106" s="4" t="s">
        <v>356</v>
      </c>
      <c r="B106" s="4" t="s">
        <v>357</v>
      </c>
      <c r="C106" s="7" t="s">
        <v>351</v>
      </c>
      <c r="D106" s="4" t="s">
        <v>205</v>
      </c>
      <c r="E106" s="6">
        <v>290</v>
      </c>
      <c r="F106" s="6">
        <v>38</v>
      </c>
      <c r="G106" s="6">
        <v>13</v>
      </c>
      <c r="H106" s="6">
        <v>16</v>
      </c>
      <c r="I106" s="6">
        <v>4</v>
      </c>
      <c r="J106" s="6">
        <v>470</v>
      </c>
      <c r="K106" s="6">
        <v>15</v>
      </c>
      <c r="L106" s="6">
        <v>0</v>
      </c>
      <c r="M106" s="4" t="s">
        <v>358</v>
      </c>
      <c r="N106" s="2"/>
      <c r="O106" s="2"/>
      <c r="P106" s="2"/>
      <c r="Q106" s="2"/>
      <c r="R106" s="2"/>
      <c r="S106" s="2"/>
      <c r="T106" s="2"/>
      <c r="U106" s="2"/>
      <c r="V106" s="2"/>
      <c r="W106" s="2"/>
      <c r="X106" s="2"/>
      <c r="Y106" s="2"/>
      <c r="Z106" s="2"/>
    </row>
    <row r="107" spans="1:26" ht="19.5" customHeight="1">
      <c r="A107" s="4" t="s">
        <v>359</v>
      </c>
      <c r="B107" s="4" t="s">
        <v>360</v>
      </c>
      <c r="C107" s="6">
        <v>8</v>
      </c>
      <c r="D107" s="4" t="s">
        <v>306</v>
      </c>
      <c r="E107" s="6">
        <v>50</v>
      </c>
      <c r="F107" s="6">
        <v>13</v>
      </c>
      <c r="G107" s="6">
        <v>0</v>
      </c>
      <c r="H107" s="6">
        <v>0</v>
      </c>
      <c r="I107" s="6">
        <v>11</v>
      </c>
      <c r="J107" s="6">
        <v>60</v>
      </c>
      <c r="K107" s="6">
        <v>0</v>
      </c>
      <c r="L107" s="6">
        <v>0</v>
      </c>
      <c r="M107" s="4" t="s">
        <v>361</v>
      </c>
      <c r="N107" s="2"/>
      <c r="O107" s="2"/>
      <c r="P107" s="2"/>
      <c r="Q107" s="2"/>
      <c r="R107" s="2"/>
      <c r="S107" s="2"/>
      <c r="T107" s="2"/>
      <c r="U107" s="2"/>
      <c r="V107" s="2"/>
      <c r="W107" s="2"/>
      <c r="X107" s="2"/>
      <c r="Y107" s="2"/>
      <c r="Z107" s="2"/>
    </row>
    <row r="108" spans="1:26" ht="19.5" customHeight="1">
      <c r="A108" s="4" t="s">
        <v>362</v>
      </c>
      <c r="B108" s="4" t="s">
        <v>363</v>
      </c>
      <c r="C108" s="6">
        <v>8</v>
      </c>
      <c r="D108" s="4" t="s">
        <v>205</v>
      </c>
      <c r="E108" s="6">
        <v>60</v>
      </c>
      <c r="F108" s="6">
        <v>16</v>
      </c>
      <c r="G108" s="6">
        <v>0</v>
      </c>
      <c r="H108" s="6">
        <v>0</v>
      </c>
      <c r="I108" s="6">
        <v>14</v>
      </c>
      <c r="J108" s="6">
        <v>5</v>
      </c>
      <c r="K108" s="6">
        <v>0</v>
      </c>
      <c r="L108" s="6">
        <v>0</v>
      </c>
      <c r="M108" s="4" t="s">
        <v>364</v>
      </c>
      <c r="N108" s="2"/>
      <c r="O108" s="2"/>
      <c r="P108" s="2"/>
      <c r="Q108" s="2"/>
      <c r="R108" s="2"/>
      <c r="S108" s="2"/>
      <c r="T108" s="2"/>
      <c r="U108" s="2"/>
      <c r="V108" s="2"/>
      <c r="W108" s="2"/>
      <c r="X108" s="2"/>
      <c r="Y108" s="2"/>
      <c r="Z108" s="2"/>
    </row>
    <row r="109" spans="1:26" ht="19.5" customHeight="1">
      <c r="A109" s="9" t="s">
        <v>365</v>
      </c>
      <c r="B109" s="10" t="s">
        <v>366</v>
      </c>
      <c r="C109" s="6">
        <v>8</v>
      </c>
      <c r="D109" s="4" t="s">
        <v>205</v>
      </c>
      <c r="E109" s="6">
        <v>50</v>
      </c>
      <c r="F109" s="6">
        <v>13</v>
      </c>
      <c r="G109" s="6">
        <v>0</v>
      </c>
      <c r="H109" s="6">
        <v>0</v>
      </c>
      <c r="I109" s="6">
        <v>10</v>
      </c>
      <c r="J109" s="6">
        <v>5</v>
      </c>
      <c r="K109" s="6">
        <v>0</v>
      </c>
      <c r="L109" s="6">
        <v>0</v>
      </c>
      <c r="M109" s="4" t="s">
        <v>367</v>
      </c>
      <c r="N109" s="2"/>
      <c r="O109" s="2"/>
      <c r="P109" s="2"/>
      <c r="Q109" s="2"/>
      <c r="R109" s="2"/>
      <c r="S109" s="2"/>
      <c r="T109" s="2"/>
      <c r="U109" s="2"/>
      <c r="V109" s="2"/>
      <c r="W109" s="2"/>
      <c r="X109" s="2"/>
      <c r="Y109" s="2"/>
      <c r="Z109" s="2"/>
    </row>
    <row r="110" spans="1:26" ht="19.5" customHeight="1">
      <c r="A110" s="9" t="s">
        <v>368</v>
      </c>
      <c r="B110" s="10" t="s">
        <v>369</v>
      </c>
      <c r="C110" s="6">
        <v>8</v>
      </c>
      <c r="D110" s="4" t="s">
        <v>205</v>
      </c>
      <c r="E110" s="6">
        <v>70</v>
      </c>
      <c r="F110" s="6">
        <v>19</v>
      </c>
      <c r="G110" s="6">
        <v>0</v>
      </c>
      <c r="H110" s="6">
        <v>0</v>
      </c>
      <c r="I110" s="6">
        <v>18</v>
      </c>
      <c r="J110" s="6">
        <v>0</v>
      </c>
      <c r="K110" s="6">
        <v>0</v>
      </c>
      <c r="L110" s="6">
        <v>0</v>
      </c>
      <c r="M110" s="4" t="s">
        <v>370</v>
      </c>
      <c r="N110" s="2"/>
      <c r="O110" s="2"/>
      <c r="P110" s="2"/>
      <c r="Q110" s="2"/>
      <c r="R110" s="2"/>
      <c r="S110" s="2"/>
      <c r="T110" s="2"/>
      <c r="U110" s="2"/>
      <c r="V110" s="2"/>
      <c r="W110" s="2"/>
      <c r="X110" s="2"/>
      <c r="Y110" s="2"/>
      <c r="Z110" s="2"/>
    </row>
    <row r="111" spans="1:26" ht="19.5" customHeight="1">
      <c r="A111" s="4" t="s">
        <v>371</v>
      </c>
      <c r="B111" s="4" t="s">
        <v>372</v>
      </c>
      <c r="C111" s="6">
        <v>8</v>
      </c>
      <c r="D111" s="4" t="s">
        <v>205</v>
      </c>
      <c r="E111" s="6">
        <v>50</v>
      </c>
      <c r="F111" s="6">
        <v>11</v>
      </c>
      <c r="G111" s="6">
        <v>0</v>
      </c>
      <c r="H111" s="6">
        <v>0</v>
      </c>
      <c r="I111" s="7" t="s">
        <v>173</v>
      </c>
      <c r="J111" s="6">
        <v>0</v>
      </c>
      <c r="K111" s="6">
        <v>0</v>
      </c>
      <c r="L111" s="6">
        <v>0</v>
      </c>
      <c r="M111" s="4" t="s">
        <v>373</v>
      </c>
      <c r="N111" s="2"/>
      <c r="O111" s="2"/>
      <c r="P111" s="2"/>
      <c r="Q111" s="2"/>
      <c r="R111" s="2"/>
      <c r="S111" s="2"/>
      <c r="T111" s="2"/>
      <c r="U111" s="2"/>
      <c r="V111" s="2"/>
      <c r="W111" s="2"/>
      <c r="X111" s="2"/>
      <c r="Y111" s="2"/>
      <c r="Z111" s="2"/>
    </row>
    <row r="112" spans="1:26" ht="19.5" customHeight="1">
      <c r="A112" s="9" t="s">
        <v>374</v>
      </c>
      <c r="B112" s="10" t="s">
        <v>375</v>
      </c>
      <c r="C112" s="6">
        <v>8</v>
      </c>
      <c r="D112" s="4" t="s">
        <v>205</v>
      </c>
      <c r="E112" s="6">
        <v>60</v>
      </c>
      <c r="F112" s="6">
        <v>16</v>
      </c>
      <c r="G112" s="6">
        <v>0</v>
      </c>
      <c r="H112" s="6">
        <v>0</v>
      </c>
      <c r="I112" s="6">
        <v>14</v>
      </c>
      <c r="J112" s="6">
        <v>5</v>
      </c>
      <c r="K112" s="6">
        <v>0</v>
      </c>
      <c r="L112" s="6">
        <v>0</v>
      </c>
      <c r="M112" s="4" t="s">
        <v>376</v>
      </c>
      <c r="N112" s="2"/>
      <c r="O112" s="2"/>
      <c r="P112" s="2"/>
      <c r="Q112" s="2"/>
      <c r="R112" s="2"/>
      <c r="S112" s="2"/>
      <c r="T112" s="2"/>
      <c r="U112" s="2"/>
      <c r="V112" s="2"/>
      <c r="W112" s="2"/>
      <c r="X112" s="2"/>
      <c r="Y112" s="2"/>
      <c r="Z112" s="2"/>
    </row>
    <row r="113" spans="1:26" ht="19.5" customHeight="1">
      <c r="A113" s="4" t="s">
        <v>377</v>
      </c>
      <c r="B113" s="4" t="s">
        <v>378</v>
      </c>
      <c r="C113" s="6">
        <v>8</v>
      </c>
      <c r="D113" s="4" t="s">
        <v>306</v>
      </c>
      <c r="E113" s="6">
        <v>5</v>
      </c>
      <c r="F113" s="7" t="s">
        <v>125</v>
      </c>
      <c r="G113" s="6">
        <v>0</v>
      </c>
      <c r="H113" s="6">
        <v>0</v>
      </c>
      <c r="I113" s="7" t="s">
        <v>176</v>
      </c>
      <c r="J113" s="6">
        <v>5</v>
      </c>
      <c r="K113" s="6">
        <v>0</v>
      </c>
      <c r="L113" s="6">
        <v>0</v>
      </c>
      <c r="M113" s="4" t="s">
        <v>379</v>
      </c>
      <c r="N113" s="2"/>
      <c r="O113" s="2"/>
      <c r="P113" s="2"/>
      <c r="Q113" s="2"/>
      <c r="R113" s="2"/>
      <c r="S113" s="2"/>
      <c r="T113" s="2"/>
      <c r="U113" s="2"/>
      <c r="V113" s="2"/>
      <c r="W113" s="2"/>
      <c r="X113" s="2"/>
      <c r="Y113" s="2"/>
      <c r="Z113" s="2"/>
    </row>
    <row r="114" spans="1:26" ht="19.5" customHeight="1">
      <c r="A114" s="4" t="s">
        <v>380</v>
      </c>
      <c r="B114" s="4" t="s">
        <v>381</v>
      </c>
      <c r="C114" s="6">
        <v>8</v>
      </c>
      <c r="D114" s="4" t="s">
        <v>306</v>
      </c>
      <c r="E114" s="6">
        <v>5</v>
      </c>
      <c r="F114" s="6">
        <v>6</v>
      </c>
      <c r="G114" s="6">
        <v>0</v>
      </c>
      <c r="H114" s="6">
        <v>0</v>
      </c>
      <c r="I114" s="6">
        <v>1</v>
      </c>
      <c r="J114" s="6">
        <v>5</v>
      </c>
      <c r="K114" s="6">
        <v>0</v>
      </c>
      <c r="L114" s="6">
        <v>0</v>
      </c>
      <c r="M114" s="4" t="s">
        <v>382</v>
      </c>
      <c r="N114" s="2"/>
      <c r="O114" s="2"/>
      <c r="P114" s="2"/>
      <c r="Q114" s="2"/>
      <c r="R114" s="2"/>
      <c r="S114" s="2"/>
      <c r="T114" s="2"/>
      <c r="U114" s="2"/>
      <c r="V114" s="2"/>
      <c r="W114" s="2"/>
      <c r="X114" s="2"/>
      <c r="Y114" s="2"/>
      <c r="Z114" s="2"/>
    </row>
    <row r="115" spans="1:26" ht="19.5" customHeight="1">
      <c r="A115" s="4" t="s">
        <v>383</v>
      </c>
      <c r="B115" s="4" t="s">
        <v>384</v>
      </c>
      <c r="C115" s="6">
        <v>8</v>
      </c>
      <c r="D115" s="4" t="s">
        <v>306</v>
      </c>
      <c r="E115" s="6">
        <v>5</v>
      </c>
      <c r="F115" s="6">
        <v>6</v>
      </c>
      <c r="G115" s="7" t="s">
        <v>18</v>
      </c>
      <c r="H115" s="6">
        <v>0</v>
      </c>
      <c r="I115" s="6">
        <v>1</v>
      </c>
      <c r="J115" s="6">
        <v>5</v>
      </c>
      <c r="K115" s="6">
        <v>0</v>
      </c>
      <c r="L115" s="6">
        <v>0</v>
      </c>
      <c r="M115" s="4" t="s">
        <v>385</v>
      </c>
      <c r="N115" s="2"/>
      <c r="O115" s="2"/>
      <c r="P115" s="2"/>
      <c r="Q115" s="2"/>
      <c r="R115" s="2"/>
      <c r="S115" s="2"/>
      <c r="T115" s="2"/>
      <c r="U115" s="2"/>
      <c r="V115" s="2"/>
      <c r="W115" s="2"/>
      <c r="X115" s="2"/>
      <c r="Y115" s="2"/>
      <c r="Z115" s="2"/>
    </row>
    <row r="116" spans="1:26" ht="19.5" customHeight="1">
      <c r="A116" s="4" t="s">
        <v>386</v>
      </c>
      <c r="B116" s="4" t="s">
        <v>387</v>
      </c>
      <c r="C116" s="6">
        <v>8</v>
      </c>
      <c r="D116" s="4" t="s">
        <v>306</v>
      </c>
      <c r="E116" s="6">
        <v>50</v>
      </c>
      <c r="F116" s="7" t="s">
        <v>388</v>
      </c>
      <c r="G116" s="6">
        <v>0</v>
      </c>
      <c r="H116" s="6">
        <v>0</v>
      </c>
      <c r="I116" s="7" t="s">
        <v>193</v>
      </c>
      <c r="J116" s="6">
        <v>60</v>
      </c>
      <c r="K116" s="6">
        <v>0</v>
      </c>
      <c r="L116" s="6">
        <v>0</v>
      </c>
      <c r="M116" s="4" t="s">
        <v>361</v>
      </c>
      <c r="N116" s="2"/>
      <c r="O116" s="2"/>
      <c r="P116" s="2"/>
      <c r="Q116" s="2"/>
      <c r="R116" s="2"/>
      <c r="S116" s="2"/>
      <c r="T116" s="2"/>
      <c r="U116" s="2"/>
      <c r="V116" s="2"/>
      <c r="W116" s="2"/>
      <c r="X116" s="2"/>
      <c r="Y116" s="2"/>
      <c r="Z116" s="2"/>
    </row>
    <row r="117" spans="1:26" ht="19.5" customHeight="1">
      <c r="A117" s="4" t="s">
        <v>389</v>
      </c>
      <c r="B117" s="4" t="s">
        <v>390</v>
      </c>
      <c r="C117" s="6">
        <v>8</v>
      </c>
      <c r="D117" s="4" t="s">
        <v>306</v>
      </c>
      <c r="E117" s="6">
        <v>0</v>
      </c>
      <c r="F117" s="6">
        <v>0</v>
      </c>
      <c r="G117" s="6">
        <v>0</v>
      </c>
      <c r="H117" s="6">
        <v>0</v>
      </c>
      <c r="I117" s="7" t="s">
        <v>18</v>
      </c>
      <c r="J117" s="6">
        <v>0</v>
      </c>
      <c r="K117" s="6">
        <v>0</v>
      </c>
      <c r="L117" s="6">
        <v>0</v>
      </c>
      <c r="M117" s="4" t="s">
        <v>391</v>
      </c>
      <c r="N117" s="2"/>
      <c r="O117" s="2"/>
      <c r="P117" s="2"/>
      <c r="Q117" s="2"/>
      <c r="R117" s="2"/>
      <c r="S117" s="2"/>
      <c r="T117" s="2"/>
      <c r="U117" s="2"/>
      <c r="V117" s="2"/>
      <c r="W117" s="2"/>
      <c r="X117" s="2"/>
      <c r="Y117" s="2"/>
      <c r="Z117" s="2"/>
    </row>
    <row r="118" spans="1:26" ht="19.5" customHeight="1">
      <c r="A118" s="4" t="s">
        <v>392</v>
      </c>
      <c r="B118" s="4" t="s">
        <v>393</v>
      </c>
      <c r="C118" s="6">
        <v>8</v>
      </c>
      <c r="D118" s="4" t="s">
        <v>306</v>
      </c>
      <c r="E118" s="6">
        <v>100</v>
      </c>
      <c r="F118" s="6">
        <v>5</v>
      </c>
      <c r="G118" s="6">
        <v>3</v>
      </c>
      <c r="H118" s="6">
        <v>8</v>
      </c>
      <c r="I118" s="6">
        <v>1</v>
      </c>
      <c r="J118" s="6">
        <v>105</v>
      </c>
      <c r="K118" s="6">
        <v>0</v>
      </c>
      <c r="L118" s="6">
        <v>0</v>
      </c>
      <c r="M118" s="4" t="s">
        <v>394</v>
      </c>
      <c r="N118" s="2"/>
      <c r="O118" s="2"/>
      <c r="P118" s="2"/>
      <c r="Q118" s="2"/>
      <c r="R118" s="2"/>
      <c r="S118" s="2"/>
      <c r="T118" s="2"/>
      <c r="U118" s="2"/>
      <c r="V118" s="2"/>
      <c r="W118" s="2"/>
      <c r="X118" s="2"/>
      <c r="Y118" s="2"/>
      <c r="Z118" s="2"/>
    </row>
    <row r="119" spans="1:26" ht="19.5" customHeight="1">
      <c r="A119" s="4" t="s">
        <v>395</v>
      </c>
      <c r="B119" s="4" t="s">
        <v>396</v>
      </c>
      <c r="C119" s="6">
        <v>8</v>
      </c>
      <c r="D119" s="4" t="s">
        <v>205</v>
      </c>
      <c r="E119" s="6">
        <v>0</v>
      </c>
      <c r="F119" s="6">
        <v>0</v>
      </c>
      <c r="G119" s="6">
        <v>0</v>
      </c>
      <c r="H119" s="6">
        <v>0</v>
      </c>
      <c r="I119" s="6">
        <v>0</v>
      </c>
      <c r="J119" s="6">
        <v>0</v>
      </c>
      <c r="K119" s="6">
        <v>0</v>
      </c>
      <c r="L119" s="6">
        <v>0</v>
      </c>
      <c r="M119" s="4" t="s">
        <v>397</v>
      </c>
      <c r="N119" s="2"/>
      <c r="O119" s="2"/>
      <c r="P119" s="2"/>
      <c r="Q119" s="2"/>
      <c r="R119" s="2"/>
      <c r="S119" s="2"/>
      <c r="T119" s="2"/>
      <c r="U119" s="2"/>
      <c r="V119" s="2"/>
      <c r="W119" s="2"/>
      <c r="X119" s="2"/>
      <c r="Y119" s="2"/>
      <c r="Z119" s="2"/>
    </row>
    <row r="120" spans="1:26" ht="19.5" customHeight="1">
      <c r="A120" s="4" t="s">
        <v>398</v>
      </c>
      <c r="B120" s="4" t="s">
        <v>399</v>
      </c>
      <c r="C120" s="7" t="s">
        <v>400</v>
      </c>
      <c r="D120" s="4" t="s">
        <v>306</v>
      </c>
      <c r="E120" s="7" t="s">
        <v>18</v>
      </c>
      <c r="F120" s="7" t="s">
        <v>18</v>
      </c>
      <c r="G120" s="7" t="s">
        <v>18</v>
      </c>
      <c r="H120" s="7" t="s">
        <v>18</v>
      </c>
      <c r="I120" s="7" t="s">
        <v>18</v>
      </c>
      <c r="J120" s="7" t="s">
        <v>18</v>
      </c>
      <c r="K120" s="7" t="s">
        <v>18</v>
      </c>
      <c r="L120" s="7" t="s">
        <v>18</v>
      </c>
      <c r="M120" s="12" t="s">
        <v>391</v>
      </c>
      <c r="N120" s="2"/>
      <c r="O120" s="2"/>
      <c r="P120" s="2"/>
      <c r="Q120" s="2"/>
      <c r="R120" s="2"/>
      <c r="S120" s="2"/>
      <c r="T120" s="2"/>
      <c r="U120" s="2"/>
      <c r="V120" s="2"/>
      <c r="W120" s="2"/>
      <c r="X120" s="2"/>
      <c r="Y120" s="2"/>
      <c r="Z120" s="2"/>
    </row>
    <row r="121" spans="1:26" ht="19.5" customHeight="1">
      <c r="A121" s="4" t="s">
        <v>401</v>
      </c>
      <c r="B121" s="4" t="s">
        <v>402</v>
      </c>
      <c r="C121" s="7" t="s">
        <v>400</v>
      </c>
      <c r="D121" s="4" t="s">
        <v>306</v>
      </c>
      <c r="E121" s="7" t="s">
        <v>403</v>
      </c>
      <c r="F121" s="7" t="s">
        <v>293</v>
      </c>
      <c r="G121" s="7" t="s">
        <v>112</v>
      </c>
      <c r="H121" s="7" t="s">
        <v>193</v>
      </c>
      <c r="I121" s="7" t="s">
        <v>125</v>
      </c>
      <c r="J121" s="7" t="s">
        <v>404</v>
      </c>
      <c r="K121" s="7" t="s">
        <v>18</v>
      </c>
      <c r="L121" s="7" t="s">
        <v>18</v>
      </c>
      <c r="M121" s="12" t="s">
        <v>405</v>
      </c>
      <c r="N121" s="2"/>
      <c r="O121" s="2"/>
      <c r="P121" s="2"/>
      <c r="Q121" s="2"/>
      <c r="R121" s="2"/>
      <c r="S121" s="2"/>
      <c r="T121" s="2"/>
      <c r="U121" s="2"/>
      <c r="V121" s="2"/>
      <c r="W121" s="2"/>
      <c r="X121" s="2"/>
      <c r="Y121" s="2"/>
      <c r="Z121" s="2"/>
    </row>
    <row r="122" spans="1:26" ht="19.5" customHeight="1">
      <c r="A122" s="4" t="s">
        <v>406</v>
      </c>
      <c r="B122" s="4" t="s">
        <v>407</v>
      </c>
      <c r="C122" s="6">
        <v>8</v>
      </c>
      <c r="D122" s="4" t="s">
        <v>306</v>
      </c>
      <c r="E122" s="6">
        <v>130</v>
      </c>
      <c r="F122" s="6">
        <v>14</v>
      </c>
      <c r="G122" s="6">
        <v>1</v>
      </c>
      <c r="H122" s="6">
        <v>7</v>
      </c>
      <c r="I122" s="6">
        <v>3</v>
      </c>
      <c r="J122" s="6">
        <v>105</v>
      </c>
      <c r="K122" s="6">
        <v>0</v>
      </c>
      <c r="L122" s="6">
        <v>0</v>
      </c>
      <c r="M122" s="4" t="s">
        <v>408</v>
      </c>
      <c r="N122" s="2"/>
      <c r="O122" s="2"/>
      <c r="P122" s="2"/>
      <c r="Q122" s="2"/>
      <c r="R122" s="2"/>
      <c r="S122" s="2"/>
      <c r="T122" s="2"/>
      <c r="U122" s="2"/>
      <c r="V122" s="2"/>
      <c r="W122" s="2"/>
      <c r="X122" s="2"/>
      <c r="Y122" s="2"/>
      <c r="Z122" s="2"/>
    </row>
    <row r="123" spans="1:26" ht="19.5" customHeight="1">
      <c r="A123" s="4" t="s">
        <v>409</v>
      </c>
      <c r="B123" s="4" t="s">
        <v>410</v>
      </c>
      <c r="C123" s="6">
        <v>6</v>
      </c>
      <c r="D123" s="4" t="s">
        <v>236</v>
      </c>
      <c r="E123" s="6">
        <v>80</v>
      </c>
      <c r="F123" s="6">
        <v>4</v>
      </c>
      <c r="G123" s="6">
        <v>7</v>
      </c>
      <c r="H123" s="6">
        <v>4.5</v>
      </c>
      <c r="I123" s="6">
        <v>3</v>
      </c>
      <c r="J123" s="6">
        <v>220</v>
      </c>
      <c r="K123" s="6">
        <v>0</v>
      </c>
      <c r="L123" s="6">
        <v>20</v>
      </c>
      <c r="M123" s="4" t="s">
        <v>411</v>
      </c>
      <c r="N123" s="2"/>
      <c r="O123" s="2"/>
      <c r="P123" s="2"/>
      <c r="Q123" s="2"/>
      <c r="R123" s="2"/>
      <c r="S123" s="2"/>
      <c r="T123" s="2"/>
      <c r="U123" s="2"/>
      <c r="V123" s="2"/>
      <c r="W123" s="2"/>
      <c r="X123" s="2"/>
      <c r="Y123" s="2"/>
      <c r="Z123" s="2"/>
    </row>
    <row r="124" spans="1:26" ht="19.5" customHeight="1">
      <c r="A124" s="4" t="s">
        <v>412</v>
      </c>
      <c r="B124" s="4" t="s">
        <v>413</v>
      </c>
      <c r="C124" s="6">
        <v>6</v>
      </c>
      <c r="D124" s="4" t="s">
        <v>236</v>
      </c>
      <c r="E124" s="6">
        <v>100</v>
      </c>
      <c r="F124" s="6">
        <v>15</v>
      </c>
      <c r="G124" s="6">
        <v>1</v>
      </c>
      <c r="H124" s="6">
        <v>3.5</v>
      </c>
      <c r="I124" s="6">
        <v>12</v>
      </c>
      <c r="J124" s="6">
        <v>20</v>
      </c>
      <c r="K124" s="6">
        <v>2</v>
      </c>
      <c r="L124" s="6">
        <v>0</v>
      </c>
      <c r="M124" s="4" t="s">
        <v>414</v>
      </c>
      <c r="N124" s="2"/>
      <c r="O124" s="2"/>
      <c r="P124" s="2"/>
      <c r="Q124" s="2"/>
      <c r="R124" s="2"/>
      <c r="S124" s="2"/>
      <c r="T124" s="2"/>
      <c r="U124" s="2"/>
      <c r="V124" s="2"/>
      <c r="W124" s="2"/>
      <c r="X124" s="2"/>
      <c r="Y124" s="2"/>
      <c r="Z124" s="2"/>
    </row>
    <row r="125" spans="1:26" ht="19.5" customHeight="1">
      <c r="A125" s="4" t="s">
        <v>415</v>
      </c>
      <c r="B125" s="4" t="s">
        <v>416</v>
      </c>
      <c r="C125" s="6">
        <v>6</v>
      </c>
      <c r="D125" s="4" t="s">
        <v>236</v>
      </c>
      <c r="E125" s="6">
        <v>150</v>
      </c>
      <c r="F125" s="6">
        <v>14</v>
      </c>
      <c r="G125" s="6">
        <v>4</v>
      </c>
      <c r="H125" s="6">
        <v>9</v>
      </c>
      <c r="I125" s="6">
        <v>1</v>
      </c>
      <c r="J125" s="6">
        <v>440</v>
      </c>
      <c r="K125" s="6">
        <v>5</v>
      </c>
      <c r="L125" s="6">
        <v>5</v>
      </c>
      <c r="M125" s="4" t="s">
        <v>417</v>
      </c>
      <c r="N125" s="2"/>
      <c r="O125" s="2"/>
      <c r="P125" s="2"/>
      <c r="Q125" s="2"/>
      <c r="R125" s="2"/>
      <c r="S125" s="2"/>
      <c r="T125" s="2"/>
      <c r="U125" s="2"/>
      <c r="V125" s="2"/>
      <c r="W125" s="2"/>
      <c r="X125" s="2"/>
      <c r="Y125" s="2"/>
      <c r="Z125" s="2"/>
    </row>
    <row r="126" spans="1:26" ht="19.5" customHeight="1">
      <c r="A126" s="4" t="s">
        <v>418</v>
      </c>
      <c r="B126" s="4" t="s">
        <v>419</v>
      </c>
      <c r="C126" s="7" t="s">
        <v>108</v>
      </c>
      <c r="D126" s="4" t="s">
        <v>320</v>
      </c>
      <c r="E126" s="6">
        <v>110</v>
      </c>
      <c r="F126" s="6">
        <v>20</v>
      </c>
      <c r="G126" s="6">
        <v>5</v>
      </c>
      <c r="H126" s="6">
        <v>2</v>
      </c>
      <c r="I126" s="6">
        <v>0</v>
      </c>
      <c r="J126" s="6">
        <v>223</v>
      </c>
      <c r="K126" s="6">
        <v>4</v>
      </c>
      <c r="L126" s="6">
        <v>0</v>
      </c>
      <c r="M126" s="4" t="s">
        <v>420</v>
      </c>
      <c r="N126" s="2"/>
      <c r="O126" s="2"/>
      <c r="P126" s="2"/>
      <c r="Q126" s="2"/>
      <c r="R126" s="2"/>
      <c r="S126" s="2"/>
      <c r="T126" s="2"/>
      <c r="U126" s="2"/>
      <c r="V126" s="2"/>
      <c r="W126" s="2"/>
      <c r="X126" s="2"/>
      <c r="Y126" s="2"/>
      <c r="Z126" s="2"/>
    </row>
    <row r="127" spans="1:26" ht="19.5" customHeight="1">
      <c r="A127" s="4" t="s">
        <v>421</v>
      </c>
      <c r="B127" s="4" t="s">
        <v>422</v>
      </c>
      <c r="C127" s="6">
        <v>5</v>
      </c>
      <c r="D127" s="4" t="s">
        <v>423</v>
      </c>
      <c r="E127" s="6">
        <v>130</v>
      </c>
      <c r="F127" s="6">
        <v>13</v>
      </c>
      <c r="G127" s="6">
        <v>12</v>
      </c>
      <c r="H127" s="6">
        <v>4</v>
      </c>
      <c r="I127" s="6">
        <v>0</v>
      </c>
      <c r="J127" s="6">
        <v>250</v>
      </c>
      <c r="K127" s="6">
        <v>2</v>
      </c>
      <c r="L127" s="7" t="s">
        <v>424</v>
      </c>
      <c r="M127" s="4" t="s">
        <v>425</v>
      </c>
      <c r="N127" s="2"/>
      <c r="O127" s="2"/>
      <c r="P127" s="2"/>
      <c r="Q127" s="2"/>
      <c r="R127" s="2"/>
      <c r="S127" s="2"/>
      <c r="T127" s="2"/>
      <c r="U127" s="2"/>
      <c r="V127" s="2"/>
      <c r="W127" s="2"/>
      <c r="X127" s="2"/>
      <c r="Y127" s="2"/>
      <c r="Z127" s="2"/>
    </row>
    <row r="128" spans="1:26" ht="19.5" customHeight="1">
      <c r="A128" s="4" t="s">
        <v>426</v>
      </c>
      <c r="B128" s="4" t="s">
        <v>427</v>
      </c>
      <c r="C128" s="6">
        <v>4.4000000000000004</v>
      </c>
      <c r="D128" s="4" t="s">
        <v>205</v>
      </c>
      <c r="E128" s="6">
        <v>270</v>
      </c>
      <c r="F128" s="6">
        <v>15</v>
      </c>
      <c r="G128" s="6">
        <v>3</v>
      </c>
      <c r="H128" s="6">
        <v>23</v>
      </c>
      <c r="I128" s="6">
        <v>9</v>
      </c>
      <c r="J128" s="6">
        <v>450</v>
      </c>
      <c r="K128" s="6">
        <v>4</v>
      </c>
      <c r="L128" s="6">
        <v>0</v>
      </c>
      <c r="M128" s="4" t="s">
        <v>428</v>
      </c>
      <c r="N128" s="2"/>
      <c r="O128" s="2"/>
      <c r="P128" s="2"/>
      <c r="Q128" s="2"/>
      <c r="R128" s="2"/>
      <c r="S128" s="2"/>
      <c r="T128" s="2"/>
      <c r="U128" s="2"/>
      <c r="V128" s="2"/>
      <c r="W128" s="2"/>
      <c r="X128" s="2"/>
      <c r="Y128" s="2"/>
      <c r="Z128" s="2"/>
    </row>
    <row r="129" spans="1:26" ht="19.5" customHeight="1">
      <c r="A129" s="4" t="s">
        <v>429</v>
      </c>
      <c r="B129" s="4" t="s">
        <v>430</v>
      </c>
      <c r="C129" s="6">
        <v>4</v>
      </c>
      <c r="D129" s="4" t="s">
        <v>205</v>
      </c>
      <c r="E129" s="6">
        <v>240</v>
      </c>
      <c r="F129" s="6">
        <v>9</v>
      </c>
      <c r="G129" s="6">
        <v>19</v>
      </c>
      <c r="H129" s="6">
        <v>14</v>
      </c>
      <c r="I129" s="6">
        <v>0</v>
      </c>
      <c r="J129" s="6">
        <v>370</v>
      </c>
      <c r="K129" s="6">
        <v>3</v>
      </c>
      <c r="L129" s="6">
        <v>0</v>
      </c>
      <c r="M129" s="4" t="s">
        <v>431</v>
      </c>
      <c r="N129" s="2"/>
      <c r="O129" s="2"/>
      <c r="P129" s="2"/>
      <c r="Q129" s="2"/>
      <c r="R129" s="2"/>
      <c r="S129" s="2"/>
      <c r="T129" s="2"/>
      <c r="U129" s="2"/>
      <c r="V129" s="2"/>
      <c r="W129" s="2"/>
      <c r="X129" s="2"/>
      <c r="Y129" s="2"/>
      <c r="Z129" s="2"/>
    </row>
    <row r="130" spans="1:26" ht="19.5" customHeight="1">
      <c r="A130" s="4" t="s">
        <v>432</v>
      </c>
      <c r="B130" s="4" t="s">
        <v>433</v>
      </c>
      <c r="C130" s="6">
        <v>4</v>
      </c>
      <c r="D130" s="4" t="s">
        <v>236</v>
      </c>
      <c r="E130" s="6">
        <v>130</v>
      </c>
      <c r="F130" s="6">
        <v>16</v>
      </c>
      <c r="G130" s="6">
        <v>1</v>
      </c>
      <c r="H130" s="6">
        <v>6</v>
      </c>
      <c r="I130" s="6">
        <v>12</v>
      </c>
      <c r="J130" s="6">
        <v>0</v>
      </c>
      <c r="K130" s="6">
        <v>1</v>
      </c>
      <c r="L130" s="6">
        <v>0</v>
      </c>
      <c r="M130" s="4" t="s">
        <v>434</v>
      </c>
      <c r="N130" s="2"/>
      <c r="O130" s="2"/>
      <c r="P130" s="2"/>
      <c r="Q130" s="2"/>
      <c r="R130" s="2"/>
      <c r="S130" s="2"/>
      <c r="T130" s="2"/>
      <c r="U130" s="2"/>
      <c r="V130" s="2"/>
      <c r="W130" s="2"/>
      <c r="X130" s="2"/>
      <c r="Y130" s="2"/>
      <c r="Z130" s="2"/>
    </row>
    <row r="131" spans="1:26" ht="19.5" customHeight="1">
      <c r="A131" s="4" t="s">
        <v>435</v>
      </c>
      <c r="B131" s="4" t="s">
        <v>436</v>
      </c>
      <c r="C131" s="6">
        <v>4</v>
      </c>
      <c r="D131" s="4" t="s">
        <v>76</v>
      </c>
      <c r="E131" s="6">
        <v>40</v>
      </c>
      <c r="F131" s="6">
        <v>9</v>
      </c>
      <c r="G131" s="6">
        <v>0</v>
      </c>
      <c r="H131" s="6">
        <v>0</v>
      </c>
      <c r="I131" s="6">
        <v>5</v>
      </c>
      <c r="J131" s="6">
        <v>490</v>
      </c>
      <c r="K131" s="6">
        <v>1</v>
      </c>
      <c r="L131" s="6">
        <v>0</v>
      </c>
      <c r="M131" s="4" t="s">
        <v>437</v>
      </c>
      <c r="N131" s="2"/>
      <c r="O131" s="2"/>
      <c r="P131" s="2"/>
      <c r="Q131" s="2"/>
      <c r="R131" s="2"/>
      <c r="S131" s="2"/>
      <c r="T131" s="2"/>
      <c r="U131" s="2"/>
      <c r="V131" s="2"/>
      <c r="W131" s="2"/>
      <c r="X131" s="2"/>
      <c r="Y131" s="2"/>
      <c r="Z131" s="2"/>
    </row>
    <row r="132" spans="1:26" ht="19.5" customHeight="1">
      <c r="A132" s="4" t="s">
        <v>438</v>
      </c>
      <c r="B132" s="4" t="s">
        <v>439</v>
      </c>
      <c r="C132" s="6">
        <v>3</v>
      </c>
      <c r="D132" s="4" t="s">
        <v>440</v>
      </c>
      <c r="E132" s="6">
        <v>90</v>
      </c>
      <c r="F132" s="6">
        <v>1</v>
      </c>
      <c r="G132" s="6">
        <v>11</v>
      </c>
      <c r="H132" s="6">
        <v>5</v>
      </c>
      <c r="I132" s="6">
        <v>0</v>
      </c>
      <c r="J132" s="6">
        <v>440</v>
      </c>
      <c r="K132" s="6">
        <v>0</v>
      </c>
      <c r="L132" s="6">
        <v>45</v>
      </c>
      <c r="M132" s="4" t="s">
        <v>441</v>
      </c>
      <c r="N132" s="2"/>
      <c r="O132" s="2"/>
      <c r="P132" s="2"/>
      <c r="Q132" s="2"/>
      <c r="R132" s="2"/>
      <c r="S132" s="2"/>
      <c r="T132" s="2"/>
      <c r="U132" s="2"/>
      <c r="V132" s="2"/>
      <c r="W132" s="2"/>
      <c r="X132" s="2"/>
      <c r="Y132" s="2"/>
      <c r="Z132" s="2"/>
    </row>
    <row r="133" spans="1:26" ht="19.5" customHeight="1">
      <c r="A133" s="4" t="s">
        <v>442</v>
      </c>
      <c r="B133" s="4" t="s">
        <v>443</v>
      </c>
      <c r="C133" s="6">
        <v>3</v>
      </c>
      <c r="D133" s="4" t="s">
        <v>205</v>
      </c>
      <c r="E133" s="6">
        <v>100</v>
      </c>
      <c r="F133" s="6">
        <v>0</v>
      </c>
      <c r="G133" s="6">
        <v>21</v>
      </c>
      <c r="H133" s="6">
        <v>2.5</v>
      </c>
      <c r="I133" s="6">
        <v>0</v>
      </c>
      <c r="J133" s="6">
        <v>85</v>
      </c>
      <c r="K133" s="6">
        <v>0</v>
      </c>
      <c r="L133" s="6">
        <v>20</v>
      </c>
      <c r="M133" s="4" t="s">
        <v>444</v>
      </c>
      <c r="N133" s="2"/>
      <c r="O133" s="2"/>
      <c r="P133" s="2"/>
      <c r="Q133" s="2"/>
      <c r="R133" s="2"/>
      <c r="S133" s="2"/>
      <c r="T133" s="2"/>
      <c r="U133" s="2"/>
      <c r="V133" s="2"/>
      <c r="W133" s="2"/>
      <c r="X133" s="2"/>
      <c r="Y133" s="2"/>
      <c r="Z133" s="2"/>
    </row>
    <row r="134" spans="1:26" ht="19.5" customHeight="1">
      <c r="A134" s="4" t="s">
        <v>445</v>
      </c>
      <c r="B134" s="4" t="s">
        <v>446</v>
      </c>
      <c r="C134" s="6">
        <v>3</v>
      </c>
      <c r="D134" s="4" t="s">
        <v>205</v>
      </c>
      <c r="E134" s="6">
        <v>0</v>
      </c>
      <c r="F134" s="6">
        <v>1</v>
      </c>
      <c r="G134" s="7" t="s">
        <v>18</v>
      </c>
      <c r="H134" s="6">
        <v>0</v>
      </c>
      <c r="I134" s="6">
        <v>0</v>
      </c>
      <c r="J134" s="6">
        <v>0</v>
      </c>
      <c r="K134" s="6">
        <v>2</v>
      </c>
      <c r="L134" s="6">
        <v>0</v>
      </c>
      <c r="M134" s="4" t="s">
        <v>447</v>
      </c>
      <c r="N134" s="2"/>
      <c r="O134" s="2"/>
      <c r="P134" s="2"/>
      <c r="Q134" s="2"/>
      <c r="R134" s="2"/>
      <c r="S134" s="2"/>
      <c r="T134" s="2"/>
      <c r="U134" s="2"/>
      <c r="V134" s="2"/>
      <c r="W134" s="2"/>
      <c r="X134" s="2"/>
      <c r="Y134" s="2"/>
      <c r="Z134" s="2"/>
    </row>
    <row r="135" spans="1:26" ht="19.5" customHeight="1">
      <c r="A135" s="4" t="s">
        <v>448</v>
      </c>
      <c r="B135" s="4" t="s">
        <v>449</v>
      </c>
      <c r="C135" s="6">
        <v>3</v>
      </c>
      <c r="D135" s="4" t="s">
        <v>450</v>
      </c>
      <c r="E135" s="6">
        <v>140</v>
      </c>
      <c r="F135" s="6">
        <v>18</v>
      </c>
      <c r="G135" s="6">
        <v>2</v>
      </c>
      <c r="H135" s="6">
        <v>7</v>
      </c>
      <c r="I135" s="6">
        <v>8</v>
      </c>
      <c r="J135" s="6">
        <v>95</v>
      </c>
      <c r="K135" s="6">
        <v>1</v>
      </c>
      <c r="L135" s="6">
        <v>0</v>
      </c>
      <c r="M135" s="4" t="s">
        <v>451</v>
      </c>
      <c r="N135" s="2"/>
      <c r="O135" s="2"/>
      <c r="P135" s="2"/>
      <c r="Q135" s="2"/>
      <c r="R135" s="2"/>
      <c r="S135" s="2"/>
      <c r="T135" s="2"/>
      <c r="U135" s="2"/>
      <c r="V135" s="2"/>
      <c r="W135" s="2"/>
      <c r="X135" s="2"/>
      <c r="Y135" s="2"/>
      <c r="Z135" s="2"/>
    </row>
    <row r="136" spans="1:26" ht="19.5" customHeight="1">
      <c r="A136" s="4" t="s">
        <v>452</v>
      </c>
      <c r="B136" s="4" t="s">
        <v>453</v>
      </c>
      <c r="C136" s="6">
        <v>3</v>
      </c>
      <c r="D136" s="4" t="s">
        <v>205</v>
      </c>
      <c r="E136" s="6">
        <v>190</v>
      </c>
      <c r="F136" s="6">
        <v>17</v>
      </c>
      <c r="G136" s="6">
        <v>13</v>
      </c>
      <c r="H136" s="6">
        <v>8</v>
      </c>
      <c r="I136" s="6">
        <v>0</v>
      </c>
      <c r="J136" s="6">
        <v>470</v>
      </c>
      <c r="K136" s="6">
        <v>1</v>
      </c>
      <c r="L136" s="6">
        <v>40</v>
      </c>
      <c r="M136" s="4" t="s">
        <v>454</v>
      </c>
      <c r="N136" s="2"/>
      <c r="O136" s="2"/>
      <c r="P136" s="2"/>
      <c r="Q136" s="2"/>
      <c r="R136" s="2"/>
      <c r="S136" s="2"/>
      <c r="T136" s="2"/>
      <c r="U136" s="2"/>
      <c r="V136" s="2"/>
      <c r="W136" s="2"/>
      <c r="X136" s="2"/>
      <c r="Y136" s="2"/>
      <c r="Z136" s="2"/>
    </row>
    <row r="137" spans="1:26" ht="19.5" customHeight="1">
      <c r="A137" s="4" t="s">
        <v>455</v>
      </c>
      <c r="B137" s="4" t="s">
        <v>456</v>
      </c>
      <c r="C137" s="7" t="s">
        <v>457</v>
      </c>
      <c r="D137" s="4" t="s">
        <v>440</v>
      </c>
      <c r="E137" s="6">
        <v>110</v>
      </c>
      <c r="F137" s="6">
        <v>2</v>
      </c>
      <c r="G137" s="7" t="s">
        <v>172</v>
      </c>
      <c r="H137" s="6">
        <v>7</v>
      </c>
      <c r="I137" s="6">
        <v>2</v>
      </c>
      <c r="J137" s="6">
        <v>390</v>
      </c>
      <c r="K137" s="6">
        <v>0</v>
      </c>
      <c r="L137" s="6">
        <v>45</v>
      </c>
      <c r="M137" s="4" t="s">
        <v>458</v>
      </c>
      <c r="N137" s="2"/>
      <c r="O137" s="2"/>
      <c r="P137" s="2"/>
      <c r="Q137" s="2"/>
      <c r="R137" s="2"/>
      <c r="S137" s="2"/>
      <c r="T137" s="2"/>
      <c r="U137" s="2"/>
      <c r="V137" s="2"/>
      <c r="W137" s="2"/>
      <c r="X137" s="2"/>
      <c r="Y137" s="2"/>
      <c r="Z137" s="2"/>
    </row>
    <row r="138" spans="1:26" ht="19.5" customHeight="1">
      <c r="A138" s="4" t="s">
        <v>459</v>
      </c>
      <c r="B138" s="4" t="s">
        <v>460</v>
      </c>
      <c r="C138" s="6">
        <v>3</v>
      </c>
      <c r="D138" s="4" t="s">
        <v>440</v>
      </c>
      <c r="E138" s="6">
        <v>170</v>
      </c>
      <c r="F138" s="6">
        <v>1</v>
      </c>
      <c r="G138" s="6">
        <v>11</v>
      </c>
      <c r="H138" s="6">
        <v>14</v>
      </c>
      <c r="I138" s="6">
        <v>0</v>
      </c>
      <c r="J138" s="6">
        <v>400</v>
      </c>
      <c r="K138" s="6">
        <v>0</v>
      </c>
      <c r="L138" s="6">
        <v>40</v>
      </c>
      <c r="M138" s="4" t="s">
        <v>461</v>
      </c>
      <c r="N138" s="2"/>
      <c r="O138" s="2"/>
      <c r="P138" s="2"/>
      <c r="Q138" s="2"/>
      <c r="R138" s="2"/>
      <c r="S138" s="2"/>
      <c r="T138" s="2"/>
      <c r="U138" s="2"/>
      <c r="V138" s="2"/>
      <c r="W138" s="2"/>
      <c r="X138" s="2"/>
      <c r="Y138" s="2"/>
      <c r="Z138" s="2"/>
    </row>
    <row r="139" spans="1:26" ht="19.5" customHeight="1">
      <c r="A139" s="4" t="s">
        <v>462</v>
      </c>
      <c r="B139" s="4" t="s">
        <v>463</v>
      </c>
      <c r="C139" s="7" t="s">
        <v>457</v>
      </c>
      <c r="D139" s="4" t="s">
        <v>205</v>
      </c>
      <c r="E139" s="6">
        <v>190</v>
      </c>
      <c r="F139" s="6">
        <v>18</v>
      </c>
      <c r="G139" s="6">
        <v>12</v>
      </c>
      <c r="H139" s="6">
        <v>8</v>
      </c>
      <c r="I139" s="6">
        <v>0</v>
      </c>
      <c r="J139" s="6">
        <v>420</v>
      </c>
      <c r="K139" s="6">
        <v>1</v>
      </c>
      <c r="L139" s="6">
        <v>40</v>
      </c>
      <c r="M139" s="4" t="s">
        <v>464</v>
      </c>
      <c r="N139" s="2"/>
      <c r="O139" s="2"/>
      <c r="P139" s="2"/>
      <c r="Q139" s="2"/>
      <c r="R139" s="2"/>
      <c r="S139" s="2"/>
      <c r="T139" s="2"/>
      <c r="U139" s="2"/>
      <c r="V139" s="2"/>
      <c r="W139" s="2"/>
      <c r="X139" s="2"/>
      <c r="Y139" s="2"/>
      <c r="Z139" s="2"/>
    </row>
    <row r="140" spans="1:26" ht="19.5" customHeight="1">
      <c r="A140" s="4" t="s">
        <v>465</v>
      </c>
      <c r="B140" s="4" t="s">
        <v>466</v>
      </c>
      <c r="C140" s="6">
        <v>3</v>
      </c>
      <c r="D140" s="4" t="s">
        <v>467</v>
      </c>
      <c r="E140" s="6">
        <v>70</v>
      </c>
      <c r="F140" s="6">
        <v>14</v>
      </c>
      <c r="G140" s="6">
        <v>2</v>
      </c>
      <c r="H140" s="6">
        <v>0</v>
      </c>
      <c r="I140" s="6">
        <v>0</v>
      </c>
      <c r="J140" s="6">
        <v>85</v>
      </c>
      <c r="K140" s="6">
        <v>2</v>
      </c>
      <c r="L140" s="6">
        <v>0</v>
      </c>
      <c r="M140" s="4" t="s">
        <v>468</v>
      </c>
      <c r="N140" s="2"/>
      <c r="O140" s="2"/>
      <c r="P140" s="2"/>
      <c r="Q140" s="2"/>
      <c r="R140" s="2"/>
      <c r="S140" s="2"/>
      <c r="T140" s="2"/>
      <c r="U140" s="2"/>
      <c r="V140" s="2"/>
      <c r="W140" s="2"/>
      <c r="X140" s="2"/>
      <c r="Y140" s="2"/>
      <c r="Z140" s="2"/>
    </row>
    <row r="141" spans="1:26" ht="19.5" customHeight="1">
      <c r="A141" s="4" t="s">
        <v>469</v>
      </c>
      <c r="B141" s="4" t="s">
        <v>470</v>
      </c>
      <c r="C141" s="6">
        <v>2</v>
      </c>
      <c r="D141" s="4" t="s">
        <v>31</v>
      </c>
      <c r="E141" s="6">
        <v>200</v>
      </c>
      <c r="F141" s="6">
        <v>22</v>
      </c>
      <c r="G141" s="6">
        <v>2</v>
      </c>
      <c r="H141" s="6">
        <v>12</v>
      </c>
      <c r="I141" s="6">
        <v>21</v>
      </c>
      <c r="J141" s="6">
        <v>35</v>
      </c>
      <c r="K141" s="6">
        <v>1</v>
      </c>
      <c r="L141" s="6">
        <v>0</v>
      </c>
      <c r="M141" s="4" t="s">
        <v>471</v>
      </c>
      <c r="N141" s="2"/>
      <c r="O141" s="2"/>
      <c r="P141" s="2"/>
      <c r="Q141" s="2"/>
      <c r="R141" s="2"/>
      <c r="S141" s="2"/>
      <c r="T141" s="2"/>
      <c r="U141" s="2"/>
      <c r="V141" s="2"/>
      <c r="W141" s="2"/>
      <c r="X141" s="2"/>
      <c r="Y141" s="2"/>
      <c r="Z141" s="2"/>
    </row>
    <row r="142" spans="1:26" ht="19.5" customHeight="1">
      <c r="A142" s="4" t="s">
        <v>472</v>
      </c>
      <c r="B142" s="4" t="s">
        <v>473</v>
      </c>
      <c r="C142" s="6">
        <v>2</v>
      </c>
      <c r="D142" s="4" t="s">
        <v>474</v>
      </c>
      <c r="E142" s="6">
        <v>90</v>
      </c>
      <c r="F142" s="6">
        <v>14</v>
      </c>
      <c r="G142" s="6">
        <v>2</v>
      </c>
      <c r="H142" s="6">
        <v>2.5</v>
      </c>
      <c r="I142" s="6">
        <v>0</v>
      </c>
      <c r="J142" s="6">
        <v>210</v>
      </c>
      <c r="K142" s="6">
        <v>3</v>
      </c>
      <c r="L142" s="6">
        <v>0</v>
      </c>
      <c r="M142" s="4" t="s">
        <v>475</v>
      </c>
      <c r="N142" s="2"/>
      <c r="O142" s="2"/>
      <c r="P142" s="2"/>
      <c r="Q142" s="2"/>
      <c r="R142" s="2"/>
      <c r="S142" s="2"/>
      <c r="T142" s="2"/>
      <c r="U142" s="2"/>
      <c r="V142" s="2"/>
      <c r="W142" s="2"/>
      <c r="X142" s="2"/>
      <c r="Y142" s="2"/>
      <c r="Z142" s="2"/>
    </row>
    <row r="143" spans="1:26" ht="19.5" customHeight="1">
      <c r="A143" s="4" t="s">
        <v>476</v>
      </c>
      <c r="B143" s="4" t="s">
        <v>477</v>
      </c>
      <c r="C143" s="6">
        <v>2</v>
      </c>
      <c r="D143" s="4" t="s">
        <v>31</v>
      </c>
      <c r="E143" s="6">
        <v>80</v>
      </c>
      <c r="F143" s="6">
        <v>0</v>
      </c>
      <c r="G143" s="6">
        <v>1</v>
      </c>
      <c r="H143" s="6">
        <v>8</v>
      </c>
      <c r="I143" s="6">
        <v>0</v>
      </c>
      <c r="J143" s="6">
        <v>75</v>
      </c>
      <c r="K143" s="6">
        <v>0</v>
      </c>
      <c r="L143" s="6">
        <v>25</v>
      </c>
      <c r="M143" s="4" t="s">
        <v>478</v>
      </c>
      <c r="N143" s="2"/>
      <c r="O143" s="2"/>
      <c r="P143" s="2"/>
      <c r="Q143" s="2"/>
      <c r="R143" s="2"/>
      <c r="S143" s="2"/>
      <c r="T143" s="2"/>
      <c r="U143" s="2"/>
      <c r="V143" s="2"/>
      <c r="W143" s="2"/>
      <c r="X143" s="2"/>
      <c r="Y143" s="2"/>
      <c r="Z143" s="2"/>
    </row>
    <row r="144" spans="1:26" ht="19.5" customHeight="1">
      <c r="A144" s="4" t="s">
        <v>479</v>
      </c>
      <c r="B144" s="4" t="s">
        <v>480</v>
      </c>
      <c r="C144" s="6">
        <v>2</v>
      </c>
      <c r="D144" s="4" t="s">
        <v>31</v>
      </c>
      <c r="E144" s="6">
        <v>190</v>
      </c>
      <c r="F144" s="6">
        <v>8</v>
      </c>
      <c r="G144" s="6">
        <v>7</v>
      </c>
      <c r="H144" s="6">
        <v>16</v>
      </c>
      <c r="I144" s="6">
        <v>4</v>
      </c>
      <c r="J144" s="6">
        <v>80</v>
      </c>
      <c r="K144" s="6">
        <v>3</v>
      </c>
      <c r="L144" s="6">
        <v>0</v>
      </c>
      <c r="M144" s="4" t="s">
        <v>481</v>
      </c>
      <c r="N144" s="2"/>
      <c r="O144" s="2"/>
      <c r="P144" s="2"/>
      <c r="Q144" s="2"/>
      <c r="R144" s="2"/>
      <c r="S144" s="2"/>
      <c r="T144" s="2"/>
      <c r="U144" s="2"/>
      <c r="V144" s="2"/>
      <c r="W144" s="2"/>
      <c r="X144" s="2"/>
      <c r="Y144" s="2"/>
      <c r="Z144" s="2"/>
    </row>
    <row r="145" spans="1:26" ht="19.5" customHeight="1">
      <c r="A145" s="4" t="s">
        <v>482</v>
      </c>
      <c r="B145" s="4" t="s">
        <v>483</v>
      </c>
      <c r="C145" s="6">
        <v>2</v>
      </c>
      <c r="D145" s="4" t="s">
        <v>205</v>
      </c>
      <c r="E145" s="6">
        <v>190</v>
      </c>
      <c r="F145" s="6">
        <v>32</v>
      </c>
      <c r="G145" s="6">
        <v>14</v>
      </c>
      <c r="H145" s="6">
        <v>3.5</v>
      </c>
      <c r="I145" s="6">
        <v>5</v>
      </c>
      <c r="J145" s="6">
        <v>60</v>
      </c>
      <c r="K145" s="6">
        <v>8</v>
      </c>
      <c r="L145" s="6">
        <v>0</v>
      </c>
      <c r="M145" s="4" t="s">
        <v>484</v>
      </c>
      <c r="N145" s="2"/>
      <c r="O145" s="2"/>
      <c r="P145" s="2"/>
      <c r="Q145" s="2"/>
      <c r="R145" s="2"/>
      <c r="S145" s="2"/>
      <c r="T145" s="2"/>
      <c r="U145" s="2"/>
      <c r="V145" s="2"/>
      <c r="W145" s="2"/>
      <c r="X145" s="2"/>
      <c r="Y145" s="2"/>
      <c r="Z145" s="2"/>
    </row>
    <row r="146" spans="1:26" ht="19.5" customHeight="1">
      <c r="A146" s="4" t="s">
        <v>485</v>
      </c>
      <c r="B146" s="4" t="s">
        <v>486</v>
      </c>
      <c r="C146" s="7" t="s">
        <v>112</v>
      </c>
      <c r="D146" s="4" t="s">
        <v>205</v>
      </c>
      <c r="E146" s="7" t="s">
        <v>487</v>
      </c>
      <c r="F146" s="7" t="s">
        <v>488</v>
      </c>
      <c r="G146" s="7" t="s">
        <v>489</v>
      </c>
      <c r="H146" s="7" t="s">
        <v>490</v>
      </c>
      <c r="I146" s="7" t="s">
        <v>457</v>
      </c>
      <c r="J146" s="7" t="s">
        <v>18</v>
      </c>
      <c r="K146" s="7" t="s">
        <v>491</v>
      </c>
      <c r="L146" s="7" t="s">
        <v>18</v>
      </c>
      <c r="M146" s="4" t="s">
        <v>492</v>
      </c>
      <c r="N146" s="2"/>
      <c r="O146" s="2"/>
      <c r="P146" s="2"/>
      <c r="Q146" s="2"/>
      <c r="R146" s="2"/>
      <c r="S146" s="2"/>
      <c r="T146" s="2"/>
      <c r="U146" s="2"/>
      <c r="V146" s="2"/>
      <c r="W146" s="2"/>
      <c r="X146" s="2"/>
      <c r="Y146" s="2"/>
      <c r="Z146" s="2"/>
    </row>
    <row r="147" spans="1:26" ht="19.5" customHeight="1">
      <c r="A147" s="4" t="s">
        <v>493</v>
      </c>
      <c r="B147" s="4" t="s">
        <v>494</v>
      </c>
      <c r="C147" s="6">
        <v>2</v>
      </c>
      <c r="D147" s="4" t="s">
        <v>31</v>
      </c>
      <c r="E147" s="6">
        <v>190</v>
      </c>
      <c r="F147" s="6">
        <v>8</v>
      </c>
      <c r="G147" s="6">
        <v>6</v>
      </c>
      <c r="H147" s="6">
        <v>16</v>
      </c>
      <c r="I147" s="6">
        <v>3</v>
      </c>
      <c r="J147" s="6">
        <v>65</v>
      </c>
      <c r="K147" s="6">
        <v>3</v>
      </c>
      <c r="L147" s="6">
        <v>0</v>
      </c>
      <c r="M147" s="4" t="s">
        <v>495</v>
      </c>
      <c r="N147" s="2"/>
      <c r="O147" s="2"/>
      <c r="P147" s="2"/>
      <c r="Q147" s="2"/>
      <c r="R147" s="2"/>
      <c r="S147" s="2"/>
      <c r="T147" s="2"/>
      <c r="U147" s="2"/>
      <c r="V147" s="2"/>
      <c r="W147" s="2"/>
      <c r="X147" s="2"/>
      <c r="Y147" s="2"/>
      <c r="Z147" s="2"/>
    </row>
    <row r="148" spans="1:26" ht="19.5" customHeight="1">
      <c r="A148" s="4" t="s">
        <v>496</v>
      </c>
      <c r="B148" s="4" t="s">
        <v>497</v>
      </c>
      <c r="C148" s="6">
        <v>2</v>
      </c>
      <c r="D148" s="4" t="s">
        <v>31</v>
      </c>
      <c r="E148" s="6">
        <v>90</v>
      </c>
      <c r="F148" s="6">
        <v>3</v>
      </c>
      <c r="G148" s="6">
        <v>0</v>
      </c>
      <c r="H148" s="6">
        <v>9</v>
      </c>
      <c r="I148" s="6">
        <v>2</v>
      </c>
      <c r="J148" s="6">
        <v>170</v>
      </c>
      <c r="K148" s="6">
        <v>0</v>
      </c>
      <c r="L148" s="6">
        <v>0</v>
      </c>
      <c r="M148" s="4" t="s">
        <v>498</v>
      </c>
      <c r="N148" s="2"/>
      <c r="O148" s="2"/>
      <c r="P148" s="2"/>
      <c r="Q148" s="2"/>
      <c r="R148" s="2"/>
      <c r="S148" s="2"/>
      <c r="T148" s="2"/>
      <c r="U148" s="2"/>
      <c r="V148" s="2"/>
      <c r="W148" s="2"/>
      <c r="X148" s="2"/>
      <c r="Y148" s="2"/>
      <c r="Z148" s="2"/>
    </row>
    <row r="149" spans="1:26" ht="19.5" customHeight="1">
      <c r="A149" s="4" t="s">
        <v>499</v>
      </c>
      <c r="B149" s="4" t="s">
        <v>500</v>
      </c>
      <c r="C149" s="7" t="s">
        <v>112</v>
      </c>
      <c r="D149" s="4" t="s">
        <v>31</v>
      </c>
      <c r="E149" s="6">
        <v>120</v>
      </c>
      <c r="F149" s="6">
        <v>1</v>
      </c>
      <c r="G149" s="6">
        <v>0</v>
      </c>
      <c r="H149" s="6">
        <v>13</v>
      </c>
      <c r="I149" s="6">
        <v>0</v>
      </c>
      <c r="J149" s="6">
        <v>260</v>
      </c>
      <c r="K149" s="6">
        <v>0</v>
      </c>
      <c r="L149" s="6">
        <v>0</v>
      </c>
      <c r="M149" s="4" t="s">
        <v>501</v>
      </c>
      <c r="N149" s="2"/>
      <c r="O149" s="2"/>
      <c r="P149" s="2"/>
      <c r="Q149" s="2"/>
      <c r="R149" s="2"/>
      <c r="S149" s="2"/>
      <c r="T149" s="2"/>
      <c r="U149" s="2"/>
      <c r="V149" s="2"/>
      <c r="W149" s="2"/>
      <c r="X149" s="2"/>
      <c r="Y149" s="2"/>
      <c r="Z149" s="2"/>
    </row>
    <row r="150" spans="1:26" ht="19.5" customHeight="1">
      <c r="A150" s="4" t="s">
        <v>502</v>
      </c>
      <c r="B150" s="4" t="s">
        <v>503</v>
      </c>
      <c r="C150" s="6">
        <v>2</v>
      </c>
      <c r="D150" s="4" t="s">
        <v>31</v>
      </c>
      <c r="E150" s="6">
        <v>120</v>
      </c>
      <c r="F150" s="6">
        <v>2</v>
      </c>
      <c r="G150" s="6">
        <v>1</v>
      </c>
      <c r="H150" s="6">
        <v>12</v>
      </c>
      <c r="I150" s="6">
        <v>0</v>
      </c>
      <c r="J150" s="6">
        <v>340</v>
      </c>
      <c r="K150" s="6">
        <v>0</v>
      </c>
      <c r="L150" s="6">
        <v>0</v>
      </c>
      <c r="M150" s="4" t="s">
        <v>504</v>
      </c>
      <c r="N150" s="2"/>
      <c r="O150" s="2"/>
      <c r="P150" s="2"/>
      <c r="Q150" s="2"/>
      <c r="R150" s="2"/>
      <c r="S150" s="2"/>
      <c r="T150" s="2"/>
      <c r="U150" s="2"/>
      <c r="V150" s="2"/>
      <c r="W150" s="2"/>
      <c r="X150" s="2"/>
      <c r="Y150" s="2"/>
      <c r="Z150" s="2"/>
    </row>
    <row r="151" spans="1:26" ht="19.5" customHeight="1">
      <c r="A151" s="4" t="s">
        <v>505</v>
      </c>
      <c r="B151" s="4" t="s">
        <v>506</v>
      </c>
      <c r="C151" s="7" t="s">
        <v>112</v>
      </c>
      <c r="D151" s="4" t="s">
        <v>31</v>
      </c>
      <c r="E151" s="6">
        <v>180</v>
      </c>
      <c r="F151" s="6">
        <v>7</v>
      </c>
      <c r="G151" s="6">
        <v>7</v>
      </c>
      <c r="H151" s="6">
        <v>16</v>
      </c>
      <c r="I151" s="6">
        <v>1</v>
      </c>
      <c r="J151" s="6">
        <v>0</v>
      </c>
      <c r="K151" s="6">
        <v>4</v>
      </c>
      <c r="L151" s="6">
        <v>0</v>
      </c>
      <c r="M151" s="4" t="s">
        <v>507</v>
      </c>
      <c r="N151" s="2"/>
      <c r="O151" s="2"/>
      <c r="P151" s="2"/>
      <c r="Q151" s="2"/>
      <c r="R151" s="2"/>
      <c r="S151" s="2"/>
      <c r="T151" s="2"/>
      <c r="U151" s="2"/>
      <c r="V151" s="2"/>
      <c r="W151" s="2"/>
      <c r="X151" s="2"/>
      <c r="Y151" s="2"/>
      <c r="Z151" s="2"/>
    </row>
    <row r="152" spans="1:26" ht="19.5" customHeight="1">
      <c r="A152" s="4" t="s">
        <v>508</v>
      </c>
      <c r="B152" s="4" t="s">
        <v>509</v>
      </c>
      <c r="C152" s="7" t="s">
        <v>112</v>
      </c>
      <c r="D152" s="4" t="s">
        <v>31</v>
      </c>
      <c r="E152" s="6">
        <v>30</v>
      </c>
      <c r="F152" s="6">
        <v>2</v>
      </c>
      <c r="G152" s="6">
        <v>1</v>
      </c>
      <c r="H152" s="6">
        <v>2</v>
      </c>
      <c r="I152" s="6">
        <v>0</v>
      </c>
      <c r="J152" s="6">
        <v>200</v>
      </c>
      <c r="K152" s="7" t="s">
        <v>176</v>
      </c>
      <c r="L152" s="6">
        <v>0</v>
      </c>
      <c r="M152" s="4" t="s">
        <v>510</v>
      </c>
      <c r="N152" s="2"/>
      <c r="O152" s="2"/>
      <c r="P152" s="2"/>
      <c r="Q152" s="2"/>
      <c r="R152" s="2"/>
      <c r="S152" s="2"/>
      <c r="T152" s="2"/>
      <c r="U152" s="2"/>
      <c r="V152" s="2"/>
      <c r="W152" s="2"/>
      <c r="X152" s="2"/>
      <c r="Y152" s="2"/>
      <c r="Z152" s="2"/>
    </row>
    <row r="153" spans="1:26" ht="19.5" customHeight="1">
      <c r="A153" s="4" t="s">
        <v>511</v>
      </c>
      <c r="B153" s="4" t="s">
        <v>512</v>
      </c>
      <c r="C153" s="7" t="s">
        <v>112</v>
      </c>
      <c r="D153" s="4" t="s">
        <v>31</v>
      </c>
      <c r="E153" s="6">
        <v>60</v>
      </c>
      <c r="F153" s="6">
        <v>2</v>
      </c>
      <c r="G153" s="6">
        <v>1</v>
      </c>
      <c r="H153" s="6">
        <v>5</v>
      </c>
      <c r="I153" s="6">
        <v>2</v>
      </c>
      <c r="J153" s="6">
        <v>95</v>
      </c>
      <c r="K153" s="6">
        <v>0</v>
      </c>
      <c r="L153" s="6">
        <v>20</v>
      </c>
      <c r="M153" s="4" t="s">
        <v>513</v>
      </c>
      <c r="N153" s="2"/>
      <c r="O153" s="2"/>
      <c r="P153" s="2"/>
      <c r="Q153" s="2"/>
      <c r="R153" s="2"/>
      <c r="S153" s="2"/>
      <c r="T153" s="2"/>
      <c r="U153" s="2"/>
      <c r="V153" s="2"/>
      <c r="W153" s="2"/>
      <c r="X153" s="2"/>
      <c r="Y153" s="2"/>
      <c r="Z153" s="2"/>
    </row>
    <row r="154" spans="1:26" ht="19.5" customHeight="1">
      <c r="A154" s="4" t="s">
        <v>514</v>
      </c>
      <c r="B154" s="4" t="s">
        <v>515</v>
      </c>
      <c r="C154" s="6">
        <v>2</v>
      </c>
      <c r="D154" s="4" t="s">
        <v>440</v>
      </c>
      <c r="E154" s="6">
        <v>130</v>
      </c>
      <c r="F154" s="6">
        <v>1</v>
      </c>
      <c r="G154" s="7" t="s">
        <v>293</v>
      </c>
      <c r="H154" s="6">
        <v>11</v>
      </c>
      <c r="I154" s="6">
        <v>1</v>
      </c>
      <c r="J154" s="6">
        <v>410</v>
      </c>
      <c r="K154" s="7" t="s">
        <v>18</v>
      </c>
      <c r="L154" s="7" t="s">
        <v>296</v>
      </c>
      <c r="M154" s="4" t="s">
        <v>516</v>
      </c>
      <c r="N154" s="2"/>
      <c r="O154" s="2"/>
      <c r="P154" s="2"/>
      <c r="Q154" s="2"/>
      <c r="R154" s="2"/>
      <c r="S154" s="2"/>
      <c r="T154" s="2"/>
      <c r="U154" s="2"/>
      <c r="V154" s="2"/>
      <c r="W154" s="2"/>
      <c r="X154" s="2"/>
      <c r="Y154" s="2"/>
      <c r="Z154" s="2"/>
    </row>
    <row r="155" spans="1:26" ht="19.5" customHeight="1">
      <c r="A155" s="4" t="s">
        <v>517</v>
      </c>
      <c r="B155" s="4" t="s">
        <v>518</v>
      </c>
      <c r="C155" s="6">
        <v>2</v>
      </c>
      <c r="D155" s="4" t="s">
        <v>31</v>
      </c>
      <c r="E155" s="6">
        <v>215</v>
      </c>
      <c r="F155" s="6">
        <v>4</v>
      </c>
      <c r="G155" s="7" t="s">
        <v>400</v>
      </c>
      <c r="H155" s="6">
        <v>19</v>
      </c>
      <c r="I155" s="6">
        <v>0</v>
      </c>
      <c r="J155" s="6">
        <v>45</v>
      </c>
      <c r="K155" s="6">
        <v>4</v>
      </c>
      <c r="L155" s="6">
        <v>0</v>
      </c>
      <c r="M155" s="4" t="s">
        <v>519</v>
      </c>
      <c r="N155" s="2"/>
      <c r="O155" s="2"/>
      <c r="P155" s="2"/>
      <c r="Q155" s="2"/>
      <c r="R155" s="2"/>
      <c r="S155" s="2"/>
      <c r="T155" s="2"/>
      <c r="U155" s="2"/>
      <c r="V155" s="2"/>
      <c r="W155" s="2"/>
      <c r="X155" s="2"/>
      <c r="Y155" s="2"/>
      <c r="Z155" s="2"/>
    </row>
    <row r="156" spans="1:26" ht="19.5" customHeight="1">
      <c r="A156" s="4" t="s">
        <v>520</v>
      </c>
      <c r="B156" s="4" t="s">
        <v>521</v>
      </c>
      <c r="C156" s="6">
        <v>2</v>
      </c>
      <c r="D156" s="4" t="s">
        <v>31</v>
      </c>
      <c r="E156" s="6">
        <v>170</v>
      </c>
      <c r="F156" s="6">
        <v>15</v>
      </c>
      <c r="G156" s="6">
        <v>5</v>
      </c>
      <c r="H156" s="6">
        <v>11</v>
      </c>
      <c r="I156" s="6">
        <v>10</v>
      </c>
      <c r="J156" s="6">
        <v>0</v>
      </c>
      <c r="K156" s="6">
        <v>3</v>
      </c>
      <c r="L156" s="6">
        <v>0</v>
      </c>
      <c r="M156" s="4" t="s">
        <v>522</v>
      </c>
      <c r="N156" s="2"/>
      <c r="O156" s="2"/>
      <c r="P156" s="2"/>
      <c r="Q156" s="2"/>
      <c r="R156" s="2"/>
      <c r="S156" s="2"/>
      <c r="T156" s="2"/>
      <c r="U156" s="2"/>
      <c r="V156" s="2"/>
      <c r="W156" s="2"/>
      <c r="X156" s="2"/>
      <c r="Y156" s="2"/>
      <c r="Z156" s="2"/>
    </row>
    <row r="157" spans="1:26" ht="19.5" customHeight="1">
      <c r="A157" s="4" t="s">
        <v>523</v>
      </c>
      <c r="B157" s="4" t="s">
        <v>524</v>
      </c>
      <c r="C157" s="6">
        <v>2</v>
      </c>
      <c r="D157" s="4" t="s">
        <v>31</v>
      </c>
      <c r="E157" s="6">
        <v>190</v>
      </c>
      <c r="F157" s="6">
        <v>3</v>
      </c>
      <c r="G157" s="6">
        <v>6</v>
      </c>
      <c r="H157" s="6">
        <v>17</v>
      </c>
      <c r="I157" s="6">
        <v>0</v>
      </c>
      <c r="J157" s="6">
        <v>0</v>
      </c>
      <c r="K157" s="6">
        <v>0</v>
      </c>
      <c r="L157" s="6">
        <v>0</v>
      </c>
      <c r="M157" s="4" t="s">
        <v>525</v>
      </c>
      <c r="N157" s="2"/>
      <c r="O157" s="2"/>
      <c r="P157" s="2"/>
      <c r="Q157" s="2"/>
      <c r="R157" s="2"/>
      <c r="S157" s="2"/>
      <c r="T157" s="2"/>
      <c r="U157" s="2"/>
      <c r="V157" s="2"/>
      <c r="W157" s="2"/>
      <c r="X157" s="2"/>
      <c r="Y157" s="2"/>
      <c r="Z157" s="2"/>
    </row>
    <row r="158" spans="1:26" ht="19.5" customHeight="1">
      <c r="A158" s="4" t="s">
        <v>526</v>
      </c>
      <c r="B158" s="4" t="s">
        <v>527</v>
      </c>
      <c r="C158" s="6">
        <v>2</v>
      </c>
      <c r="D158" s="4" t="s">
        <v>31</v>
      </c>
      <c r="E158" s="6">
        <v>215</v>
      </c>
      <c r="F158" s="6">
        <v>15</v>
      </c>
      <c r="G158" s="6">
        <v>4</v>
      </c>
      <c r="H158" s="6">
        <v>12</v>
      </c>
      <c r="I158" s="6">
        <v>3</v>
      </c>
      <c r="J158" s="6">
        <v>20</v>
      </c>
      <c r="K158" s="6">
        <v>4</v>
      </c>
      <c r="L158" s="6">
        <v>0</v>
      </c>
      <c r="M158" s="4" t="s">
        <v>528</v>
      </c>
      <c r="N158" s="2"/>
      <c r="O158" s="2"/>
      <c r="P158" s="2"/>
      <c r="Q158" s="2"/>
      <c r="R158" s="2"/>
      <c r="S158" s="2"/>
      <c r="T158" s="2"/>
      <c r="U158" s="2"/>
      <c r="V158" s="2"/>
      <c r="W158" s="2"/>
      <c r="X158" s="2"/>
      <c r="Y158" s="2"/>
      <c r="Z158" s="2"/>
    </row>
    <row r="159" spans="1:26" ht="19.5" customHeight="1">
      <c r="A159" s="4" t="s">
        <v>529</v>
      </c>
      <c r="B159" s="4" t="s">
        <v>530</v>
      </c>
      <c r="C159" s="6">
        <v>2</v>
      </c>
      <c r="D159" s="4" t="s">
        <v>236</v>
      </c>
      <c r="E159" s="6">
        <v>120</v>
      </c>
      <c r="F159" s="6">
        <v>12</v>
      </c>
      <c r="G159" s="6">
        <v>16</v>
      </c>
      <c r="H159" s="6">
        <v>1.5</v>
      </c>
      <c r="I159" s="6">
        <v>0</v>
      </c>
      <c r="J159" s="6">
        <v>390</v>
      </c>
      <c r="K159" s="6">
        <v>1</v>
      </c>
      <c r="L159" s="6">
        <v>40</v>
      </c>
      <c r="M159" s="4" t="s">
        <v>531</v>
      </c>
      <c r="N159" s="2"/>
      <c r="O159" s="2"/>
      <c r="P159" s="2"/>
      <c r="Q159" s="2"/>
      <c r="R159" s="2"/>
      <c r="S159" s="2"/>
      <c r="T159" s="2"/>
      <c r="U159" s="2"/>
      <c r="V159" s="2"/>
      <c r="W159" s="2"/>
      <c r="X159" s="2"/>
      <c r="Y159" s="2"/>
      <c r="Z159" s="2"/>
    </row>
    <row r="160" spans="1:26" ht="19.5" customHeight="1">
      <c r="A160" s="4" t="s">
        <v>532</v>
      </c>
      <c r="B160" s="4" t="s">
        <v>533</v>
      </c>
      <c r="C160" s="6">
        <v>2</v>
      </c>
      <c r="D160" s="4" t="s">
        <v>534</v>
      </c>
      <c r="E160" s="6">
        <v>130</v>
      </c>
      <c r="F160" s="6">
        <v>24</v>
      </c>
      <c r="G160" s="6">
        <v>1</v>
      </c>
      <c r="H160" s="6">
        <v>3</v>
      </c>
      <c r="I160" s="6">
        <v>1</v>
      </c>
      <c r="J160" s="6">
        <v>240</v>
      </c>
      <c r="K160" s="6">
        <v>3</v>
      </c>
      <c r="L160" s="6">
        <v>0</v>
      </c>
      <c r="M160" s="4" t="s">
        <v>535</v>
      </c>
      <c r="N160" s="2"/>
      <c r="O160" s="2"/>
      <c r="P160" s="2"/>
      <c r="Q160" s="2"/>
      <c r="R160" s="2"/>
      <c r="S160" s="2"/>
      <c r="T160" s="2"/>
      <c r="U160" s="2"/>
      <c r="V160" s="2"/>
      <c r="W160" s="2"/>
      <c r="X160" s="2"/>
      <c r="Y160" s="2"/>
      <c r="Z160" s="2"/>
    </row>
    <row r="161" spans="1:26" ht="19.5" customHeight="1">
      <c r="A161" s="4" t="s">
        <v>536</v>
      </c>
      <c r="B161" s="4" t="s">
        <v>537</v>
      </c>
      <c r="C161" s="6">
        <v>2</v>
      </c>
      <c r="D161" s="4" t="s">
        <v>76</v>
      </c>
      <c r="E161" s="6">
        <v>20</v>
      </c>
      <c r="F161" s="6">
        <v>2</v>
      </c>
      <c r="G161" s="6">
        <v>0</v>
      </c>
      <c r="H161" s="6">
        <v>1.5</v>
      </c>
      <c r="I161" s="6">
        <v>0</v>
      </c>
      <c r="J161" s="6">
        <v>0</v>
      </c>
      <c r="K161" s="6">
        <v>0</v>
      </c>
      <c r="L161" s="6">
        <v>0</v>
      </c>
      <c r="M161" s="4" t="s">
        <v>538</v>
      </c>
      <c r="N161" s="2"/>
      <c r="O161" s="2"/>
      <c r="P161" s="2"/>
      <c r="Q161" s="2"/>
      <c r="R161" s="2"/>
      <c r="S161" s="2"/>
      <c r="T161" s="2"/>
      <c r="U161" s="2"/>
      <c r="V161" s="2"/>
      <c r="W161" s="2"/>
      <c r="X161" s="2"/>
      <c r="Y161" s="2"/>
      <c r="Z161" s="2"/>
    </row>
    <row r="162" spans="1:26" ht="19.5" customHeight="1">
      <c r="A162" s="4" t="s">
        <v>539</v>
      </c>
      <c r="B162" s="4" t="s">
        <v>540</v>
      </c>
      <c r="C162" s="6">
        <v>2</v>
      </c>
      <c r="D162" s="4" t="s">
        <v>76</v>
      </c>
      <c r="E162" s="6">
        <v>20</v>
      </c>
      <c r="F162" s="6">
        <v>2</v>
      </c>
      <c r="G162" s="6">
        <v>0</v>
      </c>
      <c r="H162" s="6">
        <v>1.5</v>
      </c>
      <c r="I162" s="6">
        <v>0</v>
      </c>
      <c r="J162" s="6">
        <v>0</v>
      </c>
      <c r="K162" s="6">
        <v>0</v>
      </c>
      <c r="L162" s="6">
        <v>0</v>
      </c>
      <c r="M162" s="4" t="s">
        <v>541</v>
      </c>
      <c r="N162" s="2"/>
      <c r="O162" s="2"/>
      <c r="P162" s="2"/>
      <c r="Q162" s="2"/>
      <c r="R162" s="2"/>
      <c r="S162" s="2"/>
      <c r="T162" s="2"/>
      <c r="U162" s="2"/>
      <c r="V162" s="2"/>
      <c r="W162" s="2"/>
      <c r="X162" s="2"/>
      <c r="Y162" s="2"/>
      <c r="Z162" s="2"/>
    </row>
    <row r="163" spans="1:26" ht="19.5" customHeight="1">
      <c r="A163" s="4" t="s">
        <v>542</v>
      </c>
      <c r="B163" s="4" t="s">
        <v>543</v>
      </c>
      <c r="C163" s="7" t="s">
        <v>112</v>
      </c>
      <c r="D163" s="4" t="s">
        <v>544</v>
      </c>
      <c r="E163" s="6">
        <v>140</v>
      </c>
      <c r="F163" s="6">
        <v>31</v>
      </c>
      <c r="G163" s="6">
        <v>1</v>
      </c>
      <c r="H163" s="6">
        <v>1</v>
      </c>
      <c r="I163" s="6">
        <v>20</v>
      </c>
      <c r="J163" s="6">
        <v>15</v>
      </c>
      <c r="K163" s="6">
        <v>0</v>
      </c>
      <c r="L163" s="6">
        <v>0</v>
      </c>
      <c r="M163" s="4" t="s">
        <v>545</v>
      </c>
      <c r="N163" s="2"/>
      <c r="O163" s="2"/>
      <c r="P163" s="2"/>
      <c r="Q163" s="2"/>
      <c r="R163" s="2"/>
      <c r="S163" s="2"/>
      <c r="T163" s="2"/>
      <c r="U163" s="2"/>
      <c r="V163" s="2"/>
      <c r="W163" s="2"/>
      <c r="X163" s="2"/>
      <c r="Y163" s="2"/>
      <c r="Z163" s="2"/>
    </row>
    <row r="164" spans="1:26" ht="19.5" customHeight="1">
      <c r="A164" s="4" t="s">
        <v>546</v>
      </c>
      <c r="B164" s="4" t="s">
        <v>547</v>
      </c>
      <c r="C164" s="6">
        <v>2</v>
      </c>
      <c r="D164" s="4" t="s">
        <v>76</v>
      </c>
      <c r="E164" s="6">
        <v>20</v>
      </c>
      <c r="F164" s="6">
        <v>2</v>
      </c>
      <c r="G164" s="6">
        <v>0</v>
      </c>
      <c r="H164" s="6">
        <v>1.5</v>
      </c>
      <c r="I164" s="6">
        <v>0</v>
      </c>
      <c r="J164" s="6">
        <v>0</v>
      </c>
      <c r="K164" s="6">
        <v>0</v>
      </c>
      <c r="L164" s="6">
        <v>0</v>
      </c>
      <c r="M164" s="4" t="s">
        <v>548</v>
      </c>
      <c r="N164" s="2"/>
      <c r="O164" s="2"/>
      <c r="P164" s="2"/>
      <c r="Q164" s="2"/>
      <c r="R164" s="2"/>
      <c r="S164" s="2"/>
      <c r="T164" s="2"/>
      <c r="U164" s="2"/>
      <c r="V164" s="2"/>
      <c r="W164" s="2"/>
      <c r="X164" s="2"/>
      <c r="Y164" s="2"/>
      <c r="Z164" s="2"/>
    </row>
    <row r="165" spans="1:26" ht="19.5" customHeight="1">
      <c r="A165" s="4" t="s">
        <v>549</v>
      </c>
      <c r="B165" s="4" t="s">
        <v>550</v>
      </c>
      <c r="C165" s="6">
        <v>2</v>
      </c>
      <c r="D165" s="4" t="s">
        <v>544</v>
      </c>
      <c r="E165" s="6">
        <v>140</v>
      </c>
      <c r="F165" s="6">
        <v>32</v>
      </c>
      <c r="G165" s="6">
        <v>1</v>
      </c>
      <c r="H165" s="6">
        <v>1</v>
      </c>
      <c r="I165" s="6">
        <v>20</v>
      </c>
      <c r="J165" s="6">
        <v>15</v>
      </c>
      <c r="K165" s="6">
        <v>0</v>
      </c>
      <c r="L165" s="6">
        <v>0</v>
      </c>
      <c r="M165" s="12" t="s">
        <v>551</v>
      </c>
      <c r="N165" s="2"/>
      <c r="O165" s="2"/>
      <c r="P165" s="2"/>
      <c r="Q165" s="2"/>
      <c r="R165" s="2"/>
      <c r="S165" s="2"/>
      <c r="T165" s="2"/>
      <c r="U165" s="2"/>
      <c r="V165" s="2"/>
      <c r="W165" s="2"/>
      <c r="X165" s="2"/>
      <c r="Y165" s="2"/>
      <c r="Z165" s="2"/>
    </row>
    <row r="166" spans="1:26" ht="19.5" customHeight="1">
      <c r="A166" s="4" t="s">
        <v>552</v>
      </c>
      <c r="B166" s="4" t="s">
        <v>553</v>
      </c>
      <c r="C166" s="6">
        <v>2</v>
      </c>
      <c r="D166" s="4" t="s">
        <v>554</v>
      </c>
      <c r="E166" s="6">
        <v>40</v>
      </c>
      <c r="F166" s="6">
        <v>10</v>
      </c>
      <c r="G166" s="6">
        <v>0</v>
      </c>
      <c r="H166" s="6">
        <v>0</v>
      </c>
      <c r="I166" s="6">
        <v>10</v>
      </c>
      <c r="J166" s="6">
        <v>160</v>
      </c>
      <c r="K166" s="6">
        <v>0</v>
      </c>
      <c r="L166" s="6">
        <v>0</v>
      </c>
      <c r="M166" s="12" t="s">
        <v>555</v>
      </c>
      <c r="N166" s="2"/>
      <c r="O166" s="2"/>
      <c r="P166" s="2"/>
      <c r="Q166" s="2"/>
      <c r="R166" s="2"/>
      <c r="S166" s="2"/>
      <c r="T166" s="2"/>
      <c r="U166" s="2"/>
      <c r="V166" s="2"/>
      <c r="W166" s="2"/>
      <c r="X166" s="2"/>
      <c r="Y166" s="2"/>
      <c r="Z166" s="2"/>
    </row>
    <row r="167" spans="1:26" ht="19.5" customHeight="1">
      <c r="A167" s="9" t="s">
        <v>556</v>
      </c>
      <c r="B167" s="10" t="s">
        <v>557</v>
      </c>
      <c r="C167" s="6">
        <v>2</v>
      </c>
      <c r="D167" s="4" t="s">
        <v>558</v>
      </c>
      <c r="E167" s="6">
        <v>15</v>
      </c>
      <c r="F167" s="6">
        <v>4</v>
      </c>
      <c r="G167" s="6">
        <v>0</v>
      </c>
      <c r="H167" s="6">
        <v>0</v>
      </c>
      <c r="I167" s="6">
        <v>4</v>
      </c>
      <c r="J167" s="6">
        <v>40</v>
      </c>
      <c r="K167" s="6">
        <v>0</v>
      </c>
      <c r="L167" s="6">
        <v>0</v>
      </c>
      <c r="M167" s="4" t="s">
        <v>559</v>
      </c>
      <c r="N167" s="2"/>
      <c r="O167" s="2"/>
      <c r="P167" s="2"/>
      <c r="Q167" s="2"/>
      <c r="R167" s="2"/>
      <c r="S167" s="2"/>
      <c r="T167" s="2"/>
      <c r="U167" s="2"/>
      <c r="V167" s="2"/>
      <c r="W167" s="2"/>
      <c r="X167" s="2"/>
      <c r="Y167" s="2"/>
      <c r="Z167" s="2"/>
    </row>
    <row r="168" spans="1:26" ht="19.5" customHeight="1">
      <c r="A168" s="4" t="s">
        <v>560</v>
      </c>
      <c r="B168" s="4" t="s">
        <v>561</v>
      </c>
      <c r="C168" s="6">
        <v>2</v>
      </c>
      <c r="D168" s="4" t="s">
        <v>562</v>
      </c>
      <c r="E168" s="6">
        <v>140</v>
      </c>
      <c r="F168" s="6">
        <v>25</v>
      </c>
      <c r="G168" s="6">
        <v>3</v>
      </c>
      <c r="H168" s="6">
        <v>5</v>
      </c>
      <c r="I168" s="6">
        <v>3</v>
      </c>
      <c r="J168" s="6">
        <v>310</v>
      </c>
      <c r="K168" s="6">
        <v>7</v>
      </c>
      <c r="L168" s="6">
        <v>0</v>
      </c>
      <c r="M168" s="4" t="s">
        <v>563</v>
      </c>
      <c r="N168" s="2"/>
      <c r="O168" s="2"/>
      <c r="P168" s="2"/>
      <c r="Q168" s="2"/>
      <c r="R168" s="2"/>
      <c r="S168" s="2"/>
      <c r="T168" s="2"/>
      <c r="U168" s="2"/>
      <c r="V168" s="2"/>
      <c r="W168" s="2"/>
      <c r="X168" s="2"/>
      <c r="Y168" s="2"/>
      <c r="Z168" s="2"/>
    </row>
    <row r="169" spans="1:26" ht="19.5" customHeight="1">
      <c r="A169" s="4" t="s">
        <v>564</v>
      </c>
      <c r="B169" s="4" t="s">
        <v>565</v>
      </c>
      <c r="C169" s="6">
        <v>2</v>
      </c>
      <c r="D169" s="4" t="s">
        <v>562</v>
      </c>
      <c r="E169" s="6">
        <v>140</v>
      </c>
      <c r="F169" s="6">
        <v>25</v>
      </c>
      <c r="G169" s="6">
        <v>3</v>
      </c>
      <c r="H169" s="6">
        <v>5</v>
      </c>
      <c r="I169" s="6">
        <v>3</v>
      </c>
      <c r="J169" s="6">
        <v>310</v>
      </c>
      <c r="K169" s="6">
        <v>7</v>
      </c>
      <c r="L169" s="6">
        <v>0</v>
      </c>
      <c r="M169" s="12" t="s">
        <v>566</v>
      </c>
      <c r="N169" s="2"/>
      <c r="O169" s="2"/>
      <c r="P169" s="2"/>
      <c r="Q169" s="2"/>
      <c r="R169" s="2"/>
      <c r="S169" s="2"/>
      <c r="T169" s="2"/>
      <c r="U169" s="2"/>
      <c r="V169" s="2"/>
      <c r="W169" s="2"/>
      <c r="X169" s="2"/>
      <c r="Y169" s="2"/>
      <c r="Z169" s="2"/>
    </row>
    <row r="170" spans="1:26" ht="19.5" customHeight="1">
      <c r="A170" s="4" t="s">
        <v>567</v>
      </c>
      <c r="B170" s="4" t="s">
        <v>568</v>
      </c>
      <c r="C170" s="6">
        <v>2</v>
      </c>
      <c r="D170" s="4" t="s">
        <v>569</v>
      </c>
      <c r="E170" s="6">
        <v>70</v>
      </c>
      <c r="F170" s="6">
        <v>0</v>
      </c>
      <c r="G170" s="6">
        <v>6</v>
      </c>
      <c r="H170" s="6">
        <v>5</v>
      </c>
      <c r="I170" s="6">
        <v>0</v>
      </c>
      <c r="J170" s="6">
        <v>310</v>
      </c>
      <c r="K170" s="6">
        <v>0</v>
      </c>
      <c r="L170" s="6">
        <v>10</v>
      </c>
      <c r="M170" s="4" t="s">
        <v>570</v>
      </c>
      <c r="N170" s="2"/>
      <c r="O170" s="2"/>
      <c r="P170" s="2"/>
      <c r="Q170" s="2"/>
      <c r="R170" s="2"/>
      <c r="S170" s="2"/>
      <c r="T170" s="2"/>
      <c r="U170" s="2"/>
      <c r="V170" s="2"/>
      <c r="W170" s="2"/>
      <c r="X170" s="2"/>
      <c r="Y170" s="2"/>
      <c r="Z170" s="2"/>
    </row>
    <row r="171" spans="1:26" ht="19.5" customHeight="1">
      <c r="A171" s="4" t="s">
        <v>571</v>
      </c>
      <c r="B171" s="4" t="s">
        <v>572</v>
      </c>
      <c r="C171" s="6">
        <v>2</v>
      </c>
      <c r="D171" s="4" t="s">
        <v>31</v>
      </c>
      <c r="E171" s="6">
        <v>15</v>
      </c>
      <c r="F171" s="6">
        <v>2</v>
      </c>
      <c r="G171" s="6">
        <v>0</v>
      </c>
      <c r="H171" s="6">
        <v>1</v>
      </c>
      <c r="I171" s="6">
        <v>0.5</v>
      </c>
      <c r="J171" s="6">
        <v>200</v>
      </c>
      <c r="K171" s="6">
        <v>0.5</v>
      </c>
      <c r="L171" s="6">
        <v>0</v>
      </c>
      <c r="M171" s="4" t="s">
        <v>573</v>
      </c>
      <c r="N171" s="2"/>
      <c r="O171" s="2"/>
      <c r="P171" s="2"/>
      <c r="Q171" s="2"/>
      <c r="R171" s="2"/>
      <c r="S171" s="2"/>
      <c r="T171" s="2"/>
      <c r="U171" s="2"/>
      <c r="V171" s="2"/>
      <c r="W171" s="2"/>
      <c r="X171" s="2"/>
      <c r="Y171" s="2"/>
      <c r="Z171" s="2"/>
    </row>
    <row r="172" spans="1:26" ht="19.5" customHeight="1">
      <c r="A172" s="4" t="s">
        <v>574</v>
      </c>
      <c r="B172" s="4" t="s">
        <v>575</v>
      </c>
      <c r="C172" s="6">
        <v>2</v>
      </c>
      <c r="D172" s="4" t="s">
        <v>467</v>
      </c>
      <c r="E172" s="6">
        <v>60</v>
      </c>
      <c r="F172" s="6">
        <v>15</v>
      </c>
      <c r="G172" s="6">
        <v>2</v>
      </c>
      <c r="H172" s="6">
        <v>0</v>
      </c>
      <c r="I172" s="6">
        <v>0</v>
      </c>
      <c r="J172" s="6">
        <v>70</v>
      </c>
      <c r="K172" s="6">
        <v>3</v>
      </c>
      <c r="L172" s="6">
        <v>0</v>
      </c>
      <c r="M172" s="4" t="s">
        <v>576</v>
      </c>
      <c r="N172" s="2"/>
      <c r="O172" s="2"/>
      <c r="P172" s="2"/>
      <c r="Q172" s="2"/>
      <c r="R172" s="2"/>
      <c r="S172" s="2"/>
      <c r="T172" s="2"/>
      <c r="U172" s="2"/>
      <c r="V172" s="2"/>
      <c r="W172" s="2"/>
      <c r="X172" s="2"/>
      <c r="Y172" s="2"/>
      <c r="Z172" s="2"/>
    </row>
    <row r="173" spans="1:26" ht="19.5" customHeight="1">
      <c r="A173" s="4" t="s">
        <v>577</v>
      </c>
      <c r="B173" s="4" t="s">
        <v>578</v>
      </c>
      <c r="C173" s="6">
        <v>2</v>
      </c>
      <c r="D173" s="4" t="s">
        <v>31</v>
      </c>
      <c r="E173" s="6">
        <v>15</v>
      </c>
      <c r="F173" s="6">
        <v>0</v>
      </c>
      <c r="G173" s="6">
        <v>0</v>
      </c>
      <c r="H173" s="6">
        <v>1.5</v>
      </c>
      <c r="I173" s="6">
        <v>0</v>
      </c>
      <c r="J173" s="6">
        <v>30</v>
      </c>
      <c r="K173" s="6">
        <v>0</v>
      </c>
      <c r="L173" s="6">
        <v>0</v>
      </c>
      <c r="M173" s="4" t="s">
        <v>579</v>
      </c>
      <c r="N173" s="2"/>
      <c r="O173" s="2"/>
      <c r="P173" s="2"/>
      <c r="Q173" s="2"/>
      <c r="R173" s="2"/>
      <c r="S173" s="2"/>
      <c r="T173" s="2"/>
      <c r="U173" s="2"/>
      <c r="V173" s="2"/>
      <c r="W173" s="2"/>
      <c r="X173" s="2"/>
      <c r="Y173" s="2"/>
      <c r="Z173" s="2"/>
    </row>
    <row r="174" spans="1:26" ht="19.5" customHeight="1">
      <c r="A174" s="4" t="s">
        <v>580</v>
      </c>
      <c r="B174" s="4" t="s">
        <v>581</v>
      </c>
      <c r="C174" s="6">
        <v>2</v>
      </c>
      <c r="D174" s="4" t="s">
        <v>582</v>
      </c>
      <c r="E174" s="6">
        <v>140</v>
      </c>
      <c r="F174" s="6">
        <v>16</v>
      </c>
      <c r="G174" s="6">
        <v>7</v>
      </c>
      <c r="H174" s="6">
        <v>7</v>
      </c>
      <c r="I174" s="6">
        <v>0</v>
      </c>
      <c r="J174" s="6">
        <v>340</v>
      </c>
      <c r="K174" s="6">
        <v>5</v>
      </c>
      <c r="L174" s="6">
        <v>100</v>
      </c>
      <c r="M174" s="4" t="s">
        <v>583</v>
      </c>
      <c r="N174" s="2"/>
      <c r="O174" s="2"/>
      <c r="P174" s="2"/>
      <c r="Q174" s="2"/>
      <c r="R174" s="2"/>
      <c r="S174" s="2"/>
      <c r="T174" s="2"/>
      <c r="U174" s="2"/>
      <c r="V174" s="2"/>
      <c r="W174" s="2"/>
      <c r="X174" s="2"/>
      <c r="Y174" s="2"/>
      <c r="Z174" s="2"/>
    </row>
    <row r="175" spans="1:26" ht="19.5" customHeight="1">
      <c r="A175" s="4" t="s">
        <v>584</v>
      </c>
      <c r="B175" s="4" t="s">
        <v>585</v>
      </c>
      <c r="C175" s="6">
        <v>2</v>
      </c>
      <c r="D175" s="4" t="s">
        <v>440</v>
      </c>
      <c r="E175" s="6">
        <v>120</v>
      </c>
      <c r="F175" s="6">
        <v>1</v>
      </c>
      <c r="G175" s="6">
        <v>7</v>
      </c>
      <c r="H175" s="6">
        <v>10</v>
      </c>
      <c r="I175" s="6">
        <v>1</v>
      </c>
      <c r="J175" s="6">
        <v>390</v>
      </c>
      <c r="K175" s="6">
        <v>0</v>
      </c>
      <c r="L175" s="6">
        <v>30</v>
      </c>
      <c r="M175" s="4" t="s">
        <v>586</v>
      </c>
      <c r="N175" s="2"/>
      <c r="O175" s="2"/>
      <c r="P175" s="2"/>
      <c r="Q175" s="2"/>
      <c r="R175" s="2"/>
      <c r="S175" s="2"/>
      <c r="T175" s="2"/>
      <c r="U175" s="2"/>
      <c r="V175" s="2"/>
      <c r="W175" s="2"/>
      <c r="X175" s="2"/>
      <c r="Y175" s="2"/>
      <c r="Z175" s="2"/>
    </row>
    <row r="176" spans="1:26" ht="19.5" customHeight="1">
      <c r="A176" s="4" t="s">
        <v>587</v>
      </c>
      <c r="B176" s="4" t="s">
        <v>575</v>
      </c>
      <c r="C176" s="7" t="s">
        <v>112</v>
      </c>
      <c r="D176" s="4" t="s">
        <v>467</v>
      </c>
      <c r="E176" s="6">
        <v>60</v>
      </c>
      <c r="F176" s="6">
        <v>15</v>
      </c>
      <c r="G176" s="6">
        <v>2</v>
      </c>
      <c r="H176" s="6">
        <v>0</v>
      </c>
      <c r="I176" s="6">
        <v>0</v>
      </c>
      <c r="J176" s="6">
        <v>70</v>
      </c>
      <c r="K176" s="6">
        <v>3</v>
      </c>
      <c r="L176" s="6">
        <v>0</v>
      </c>
      <c r="M176" s="4" t="s">
        <v>576</v>
      </c>
      <c r="N176" s="2"/>
      <c r="O176" s="2"/>
      <c r="P176" s="2"/>
      <c r="Q176" s="2"/>
      <c r="R176" s="2"/>
      <c r="S176" s="2"/>
      <c r="T176" s="2"/>
      <c r="U176" s="2"/>
      <c r="V176" s="2"/>
      <c r="W176" s="2"/>
      <c r="X176" s="2"/>
      <c r="Y176" s="2"/>
      <c r="Z176" s="2"/>
    </row>
    <row r="177" spans="1:26" ht="19.5" customHeight="1">
      <c r="A177" s="4" t="s">
        <v>588</v>
      </c>
      <c r="B177" s="4" t="s">
        <v>589</v>
      </c>
      <c r="C177" s="6">
        <v>2</v>
      </c>
      <c r="D177" s="4" t="s">
        <v>236</v>
      </c>
      <c r="E177" s="6">
        <v>80</v>
      </c>
      <c r="F177" s="6">
        <v>12</v>
      </c>
      <c r="G177" s="6">
        <v>2</v>
      </c>
      <c r="H177" s="6">
        <v>2.5</v>
      </c>
      <c r="I177" s="6">
        <v>7</v>
      </c>
      <c r="J177" s="6">
        <v>0</v>
      </c>
      <c r="K177" s="6">
        <v>2</v>
      </c>
      <c r="L177" s="6">
        <v>0</v>
      </c>
      <c r="M177" s="4" t="s">
        <v>590</v>
      </c>
      <c r="N177" s="2"/>
      <c r="O177" s="2"/>
      <c r="P177" s="2"/>
      <c r="Q177" s="2"/>
      <c r="R177" s="2"/>
      <c r="S177" s="2"/>
      <c r="T177" s="2"/>
      <c r="U177" s="2"/>
      <c r="V177" s="2"/>
      <c r="W177" s="2"/>
      <c r="X177" s="2"/>
      <c r="Y177" s="2"/>
      <c r="Z177" s="2"/>
    </row>
    <row r="178" spans="1:26" ht="19.5" customHeight="1">
      <c r="A178" s="4" t="s">
        <v>591</v>
      </c>
      <c r="B178" s="4" t="s">
        <v>592</v>
      </c>
      <c r="C178" s="6">
        <v>1.75</v>
      </c>
      <c r="D178" s="4" t="s">
        <v>62</v>
      </c>
      <c r="E178" s="6">
        <v>140</v>
      </c>
      <c r="F178" s="6">
        <v>17</v>
      </c>
      <c r="G178" s="6">
        <v>3</v>
      </c>
      <c r="H178" s="6">
        <v>8</v>
      </c>
      <c r="I178" s="6">
        <v>1</v>
      </c>
      <c r="J178" s="6">
        <v>160</v>
      </c>
      <c r="K178" s="6">
        <v>2</v>
      </c>
      <c r="L178" s="6">
        <v>0</v>
      </c>
      <c r="M178" s="4" t="s">
        <v>593</v>
      </c>
      <c r="N178" s="2"/>
      <c r="O178" s="2"/>
      <c r="P178" s="2"/>
      <c r="Q178" s="2"/>
      <c r="R178" s="2"/>
      <c r="S178" s="2"/>
      <c r="T178" s="2"/>
      <c r="U178" s="2"/>
      <c r="V178" s="2"/>
      <c r="W178" s="2"/>
      <c r="X178" s="2"/>
      <c r="Y178" s="2"/>
      <c r="Z178" s="2"/>
    </row>
    <row r="179" spans="1:26" ht="19.5" customHeight="1">
      <c r="A179" s="4" t="s">
        <v>594</v>
      </c>
      <c r="B179" s="4" t="s">
        <v>595</v>
      </c>
      <c r="C179" s="6">
        <v>1.25</v>
      </c>
      <c r="D179" s="4" t="s">
        <v>17</v>
      </c>
      <c r="E179" s="6">
        <v>160</v>
      </c>
      <c r="F179" s="6">
        <v>18</v>
      </c>
      <c r="G179" s="6">
        <v>10</v>
      </c>
      <c r="H179" s="6">
        <v>5</v>
      </c>
      <c r="I179" s="6">
        <v>2</v>
      </c>
      <c r="J179" s="6">
        <v>330</v>
      </c>
      <c r="K179" s="6">
        <v>1</v>
      </c>
      <c r="L179" s="6">
        <v>15</v>
      </c>
      <c r="M179" s="4" t="s">
        <v>596</v>
      </c>
      <c r="N179" s="2"/>
      <c r="O179" s="2"/>
      <c r="P179" s="2"/>
      <c r="Q179" s="2"/>
      <c r="R179" s="2"/>
      <c r="S179" s="2"/>
      <c r="T179" s="2"/>
      <c r="U179" s="2"/>
      <c r="V179" s="2"/>
      <c r="W179" s="2"/>
      <c r="X179" s="2"/>
      <c r="Y179" s="2"/>
      <c r="Z179" s="2"/>
    </row>
    <row r="180" spans="1:26" ht="19.5" customHeight="1">
      <c r="A180" s="4" t="s">
        <v>597</v>
      </c>
      <c r="B180" s="4" t="s">
        <v>598</v>
      </c>
      <c r="C180" s="6">
        <v>1</v>
      </c>
      <c r="D180" s="4" t="s">
        <v>599</v>
      </c>
      <c r="E180" s="6">
        <v>250</v>
      </c>
      <c r="F180" s="6">
        <v>20</v>
      </c>
      <c r="G180" s="6">
        <v>3</v>
      </c>
      <c r="H180" s="6">
        <v>18</v>
      </c>
      <c r="I180" s="6">
        <v>19</v>
      </c>
      <c r="J180" s="6">
        <v>40</v>
      </c>
      <c r="K180" s="6">
        <v>0</v>
      </c>
      <c r="L180" s="6">
        <v>45</v>
      </c>
      <c r="M180" s="4" t="s">
        <v>600</v>
      </c>
      <c r="N180" s="2"/>
      <c r="O180" s="2"/>
      <c r="P180" s="2"/>
      <c r="Q180" s="2"/>
      <c r="R180" s="2"/>
      <c r="S180" s="2"/>
      <c r="T180" s="2"/>
      <c r="U180" s="2"/>
      <c r="V180" s="2"/>
      <c r="W180" s="2"/>
      <c r="X180" s="2"/>
      <c r="Y180" s="2"/>
      <c r="Z180" s="2"/>
    </row>
    <row r="181" spans="1:26" ht="19.5" customHeight="1">
      <c r="A181" s="4" t="s">
        <v>601</v>
      </c>
      <c r="B181" s="4" t="s">
        <v>602</v>
      </c>
      <c r="C181" s="6">
        <v>1</v>
      </c>
      <c r="D181" s="4" t="s">
        <v>17</v>
      </c>
      <c r="E181" s="6">
        <v>120</v>
      </c>
      <c r="F181" s="6">
        <v>23</v>
      </c>
      <c r="G181" s="6">
        <v>2</v>
      </c>
      <c r="H181" s="6">
        <v>2.5</v>
      </c>
      <c r="I181" s="6">
        <v>7</v>
      </c>
      <c r="J181" s="6">
        <v>190</v>
      </c>
      <c r="K181" s="6">
        <v>3</v>
      </c>
      <c r="L181" s="6">
        <v>0</v>
      </c>
      <c r="M181" s="4" t="s">
        <v>603</v>
      </c>
      <c r="N181" s="2"/>
      <c r="O181" s="2"/>
      <c r="P181" s="2"/>
      <c r="Q181" s="2"/>
      <c r="R181" s="2"/>
      <c r="S181" s="2"/>
      <c r="T181" s="2"/>
      <c r="U181" s="2"/>
      <c r="V181" s="2"/>
      <c r="W181" s="2"/>
      <c r="X181" s="2"/>
      <c r="Y181" s="2"/>
      <c r="Z181" s="2"/>
    </row>
    <row r="182" spans="1:26" ht="19.5" customHeight="1">
      <c r="A182" s="4" t="s">
        <v>604</v>
      </c>
      <c r="B182" s="4" t="s">
        <v>605</v>
      </c>
      <c r="C182" s="6">
        <v>1</v>
      </c>
      <c r="D182" s="4" t="s">
        <v>606</v>
      </c>
      <c r="E182" s="6">
        <v>330</v>
      </c>
      <c r="F182" s="6">
        <v>24</v>
      </c>
      <c r="G182" s="6">
        <v>7</v>
      </c>
      <c r="H182" s="6">
        <v>23</v>
      </c>
      <c r="I182" s="6">
        <v>9</v>
      </c>
      <c r="J182" s="8">
        <v>1300</v>
      </c>
      <c r="K182" s="6">
        <v>4</v>
      </c>
      <c r="L182" s="6">
        <v>0</v>
      </c>
      <c r="M182" s="4" t="s">
        <v>607</v>
      </c>
      <c r="N182" s="2"/>
      <c r="O182" s="2"/>
      <c r="P182" s="2"/>
      <c r="Q182" s="2"/>
      <c r="R182" s="2"/>
      <c r="S182" s="2"/>
      <c r="T182" s="2"/>
      <c r="U182" s="2"/>
      <c r="V182" s="2"/>
      <c r="W182" s="2"/>
      <c r="X182" s="2"/>
      <c r="Y182" s="2"/>
      <c r="Z182" s="2"/>
    </row>
    <row r="183" spans="1:26" ht="19.5" customHeight="1">
      <c r="A183" s="4" t="s">
        <v>608</v>
      </c>
      <c r="B183" s="4" t="s">
        <v>609</v>
      </c>
      <c r="C183" s="7" t="s">
        <v>176</v>
      </c>
      <c r="D183" s="4" t="s">
        <v>17</v>
      </c>
      <c r="E183" s="6">
        <v>170</v>
      </c>
      <c r="F183" s="6">
        <v>22</v>
      </c>
      <c r="G183" s="6">
        <v>10</v>
      </c>
      <c r="H183" s="6">
        <v>5</v>
      </c>
      <c r="I183" s="6">
        <v>2</v>
      </c>
      <c r="J183" s="6">
        <v>410</v>
      </c>
      <c r="K183" s="6">
        <v>2</v>
      </c>
      <c r="L183" s="6">
        <v>15</v>
      </c>
      <c r="M183" s="4" t="s">
        <v>610</v>
      </c>
      <c r="N183" s="2"/>
      <c r="O183" s="2"/>
      <c r="P183" s="2"/>
      <c r="Q183" s="2"/>
      <c r="R183" s="2"/>
      <c r="S183" s="2"/>
      <c r="T183" s="2"/>
      <c r="U183" s="2"/>
      <c r="V183" s="2"/>
      <c r="W183" s="2"/>
      <c r="X183" s="2"/>
      <c r="Y183" s="2"/>
      <c r="Z183" s="2"/>
    </row>
    <row r="184" spans="1:26" ht="19.5" customHeight="1">
      <c r="A184" s="4" t="s">
        <v>611</v>
      </c>
      <c r="B184" s="4" t="s">
        <v>612</v>
      </c>
      <c r="C184" s="6">
        <v>1</v>
      </c>
      <c r="D184" s="4" t="s">
        <v>613</v>
      </c>
      <c r="E184" s="6">
        <v>190</v>
      </c>
      <c r="F184" s="6">
        <v>15</v>
      </c>
      <c r="G184" s="6">
        <v>23</v>
      </c>
      <c r="H184" s="6">
        <v>4</v>
      </c>
      <c r="I184" s="6">
        <v>8</v>
      </c>
      <c r="J184" s="6">
        <v>500</v>
      </c>
      <c r="K184" s="6">
        <v>4</v>
      </c>
      <c r="L184" s="6">
        <v>75</v>
      </c>
      <c r="M184" s="4" t="s">
        <v>614</v>
      </c>
      <c r="N184" s="2"/>
      <c r="O184" s="2"/>
      <c r="P184" s="2"/>
      <c r="Q184" s="2"/>
      <c r="R184" s="2"/>
      <c r="S184" s="2"/>
      <c r="T184" s="2"/>
      <c r="U184" s="2"/>
      <c r="V184" s="2"/>
      <c r="W184" s="2"/>
      <c r="X184" s="2"/>
      <c r="Y184" s="2"/>
      <c r="Z184" s="2"/>
    </row>
    <row r="185" spans="1:26" ht="19.5" customHeight="1">
      <c r="A185" s="4" t="s">
        <v>615</v>
      </c>
      <c r="B185" s="4" t="s">
        <v>616</v>
      </c>
      <c r="C185" s="6">
        <v>1</v>
      </c>
      <c r="D185" s="4" t="s">
        <v>617</v>
      </c>
      <c r="E185" s="6">
        <v>90</v>
      </c>
      <c r="F185" s="6">
        <v>17</v>
      </c>
      <c r="G185" s="6">
        <v>4</v>
      </c>
      <c r="H185" s="6">
        <v>1.5</v>
      </c>
      <c r="I185" s="6">
        <v>3</v>
      </c>
      <c r="J185" s="6">
        <v>80</v>
      </c>
      <c r="K185" s="6">
        <v>4</v>
      </c>
      <c r="L185" s="6">
        <v>0</v>
      </c>
      <c r="M185" s="4" t="s">
        <v>618</v>
      </c>
      <c r="N185" s="2"/>
      <c r="O185" s="2"/>
      <c r="P185" s="2"/>
      <c r="Q185" s="2"/>
      <c r="R185" s="2"/>
      <c r="S185" s="2"/>
      <c r="T185" s="2"/>
      <c r="U185" s="2"/>
      <c r="V185" s="2"/>
      <c r="W185" s="2"/>
      <c r="X185" s="2"/>
      <c r="Y185" s="2"/>
      <c r="Z185" s="2"/>
    </row>
    <row r="186" spans="1:26" ht="19.5" customHeight="1">
      <c r="A186" s="4" t="s">
        <v>619</v>
      </c>
      <c r="B186" s="4" t="s">
        <v>620</v>
      </c>
      <c r="C186" s="7" t="s">
        <v>176</v>
      </c>
      <c r="D186" s="4" t="s">
        <v>613</v>
      </c>
      <c r="E186" s="6">
        <v>190</v>
      </c>
      <c r="F186" s="6">
        <v>8</v>
      </c>
      <c r="G186" s="6">
        <v>28</v>
      </c>
      <c r="H186" s="6">
        <v>5</v>
      </c>
      <c r="I186" s="6">
        <v>2</v>
      </c>
      <c r="J186" s="6">
        <v>600</v>
      </c>
      <c r="K186" s="6">
        <v>4</v>
      </c>
      <c r="L186" s="6">
        <v>85</v>
      </c>
      <c r="M186" s="4" t="s">
        <v>621</v>
      </c>
      <c r="N186" s="2"/>
      <c r="O186" s="2"/>
      <c r="P186" s="2"/>
      <c r="Q186" s="2"/>
      <c r="R186" s="2"/>
      <c r="S186" s="2"/>
      <c r="T186" s="2"/>
      <c r="U186" s="2"/>
      <c r="V186" s="2"/>
      <c r="W186" s="2"/>
      <c r="X186" s="2"/>
      <c r="Y186" s="2"/>
      <c r="Z186" s="2"/>
    </row>
    <row r="187" spans="1:26" ht="19.5" customHeight="1">
      <c r="A187" s="4" t="s">
        <v>622</v>
      </c>
      <c r="B187" s="4" t="s">
        <v>623</v>
      </c>
      <c r="C187" s="6">
        <v>1</v>
      </c>
      <c r="D187" s="4" t="s">
        <v>624</v>
      </c>
      <c r="E187" s="6">
        <v>160</v>
      </c>
      <c r="F187" s="6">
        <v>18</v>
      </c>
      <c r="G187" s="6">
        <v>5</v>
      </c>
      <c r="H187" s="6">
        <v>12</v>
      </c>
      <c r="I187" s="6">
        <v>1</v>
      </c>
      <c r="J187" s="6">
        <v>280</v>
      </c>
      <c r="K187" s="7" t="s">
        <v>174</v>
      </c>
      <c r="L187" s="6">
        <v>70</v>
      </c>
      <c r="M187" s="12" t="s">
        <v>625</v>
      </c>
      <c r="N187" s="2"/>
      <c r="O187" s="2"/>
      <c r="P187" s="2"/>
      <c r="Q187" s="2"/>
      <c r="R187" s="2"/>
      <c r="S187" s="2"/>
      <c r="T187" s="2"/>
      <c r="U187" s="2"/>
      <c r="V187" s="2"/>
      <c r="W187" s="2"/>
      <c r="X187" s="2"/>
      <c r="Y187" s="2"/>
      <c r="Z187" s="2"/>
    </row>
    <row r="188" spans="1:26" ht="19.5" customHeight="1">
      <c r="A188" s="4" t="s">
        <v>626</v>
      </c>
      <c r="B188" s="4" t="s">
        <v>627</v>
      </c>
      <c r="C188" s="6">
        <v>1</v>
      </c>
      <c r="D188" s="4" t="s">
        <v>628</v>
      </c>
      <c r="E188" s="6">
        <v>60</v>
      </c>
      <c r="F188" s="6">
        <v>1</v>
      </c>
      <c r="G188" s="6">
        <v>5</v>
      </c>
      <c r="H188" s="6">
        <v>4</v>
      </c>
      <c r="I188" s="6">
        <v>1</v>
      </c>
      <c r="J188" s="6">
        <v>220</v>
      </c>
      <c r="K188" s="6">
        <v>0</v>
      </c>
      <c r="L188" s="6">
        <v>25</v>
      </c>
      <c r="M188" s="12" t="s">
        <v>629</v>
      </c>
      <c r="N188" s="2"/>
      <c r="O188" s="2"/>
      <c r="P188" s="2"/>
      <c r="Q188" s="2"/>
      <c r="R188" s="2"/>
      <c r="S188" s="2"/>
      <c r="T188" s="2"/>
      <c r="U188" s="2"/>
      <c r="V188" s="2"/>
      <c r="W188" s="2"/>
      <c r="X188" s="2"/>
      <c r="Y188" s="2"/>
      <c r="Z188" s="2"/>
    </row>
    <row r="189" spans="1:26" ht="19.5" customHeight="1">
      <c r="A189" s="4" t="s">
        <v>630</v>
      </c>
      <c r="B189" s="4" t="s">
        <v>631</v>
      </c>
      <c r="C189" s="6">
        <v>1</v>
      </c>
      <c r="D189" s="4" t="s">
        <v>200</v>
      </c>
      <c r="E189" s="6">
        <v>110</v>
      </c>
      <c r="F189" s="6">
        <v>21</v>
      </c>
      <c r="G189" s="6">
        <v>3</v>
      </c>
      <c r="H189" s="6">
        <v>2</v>
      </c>
      <c r="I189" s="7" t="s">
        <v>173</v>
      </c>
      <c r="J189" s="6">
        <v>125</v>
      </c>
      <c r="K189" s="6">
        <v>2</v>
      </c>
      <c r="L189" s="6">
        <v>25</v>
      </c>
      <c r="M189" s="4" t="s">
        <v>632</v>
      </c>
      <c r="N189" s="2"/>
      <c r="O189" s="2"/>
      <c r="P189" s="2"/>
      <c r="Q189" s="2"/>
      <c r="R189" s="2"/>
      <c r="S189" s="2"/>
      <c r="T189" s="2"/>
      <c r="U189" s="2"/>
      <c r="V189" s="2"/>
      <c r="W189" s="2"/>
      <c r="X189" s="2"/>
      <c r="Y189" s="2"/>
      <c r="Z189" s="2"/>
    </row>
    <row r="190" spans="1:26" ht="19.5" customHeight="1">
      <c r="A190" s="4" t="s">
        <v>633</v>
      </c>
      <c r="B190" s="4" t="s">
        <v>634</v>
      </c>
      <c r="C190" s="7" t="s">
        <v>176</v>
      </c>
      <c r="D190" s="4" t="s">
        <v>606</v>
      </c>
      <c r="E190" s="6">
        <v>0</v>
      </c>
      <c r="F190" s="6">
        <v>0</v>
      </c>
      <c r="G190" s="6">
        <v>0</v>
      </c>
      <c r="H190" s="6">
        <v>0</v>
      </c>
      <c r="I190" s="6">
        <v>0</v>
      </c>
      <c r="J190" s="6">
        <v>35</v>
      </c>
      <c r="K190" s="6">
        <v>0</v>
      </c>
      <c r="L190" s="6">
        <v>0</v>
      </c>
      <c r="M190" s="12" t="s">
        <v>635</v>
      </c>
      <c r="N190" s="2"/>
      <c r="O190" s="2"/>
      <c r="P190" s="2"/>
      <c r="Q190" s="2"/>
      <c r="R190" s="2"/>
      <c r="S190" s="2"/>
      <c r="T190" s="2"/>
      <c r="U190" s="2"/>
      <c r="V190" s="2"/>
      <c r="W190" s="2"/>
      <c r="X190" s="2"/>
      <c r="Y190" s="2"/>
      <c r="Z190" s="2"/>
    </row>
    <row r="191" spans="1:26" ht="19.5" customHeight="1">
      <c r="A191" s="4" t="s">
        <v>636</v>
      </c>
      <c r="B191" s="4" t="s">
        <v>637</v>
      </c>
      <c r="C191" s="7" t="s">
        <v>176</v>
      </c>
      <c r="D191" s="4" t="s">
        <v>606</v>
      </c>
      <c r="E191" s="6">
        <v>0</v>
      </c>
      <c r="F191" s="6">
        <v>0</v>
      </c>
      <c r="G191" s="6">
        <v>0</v>
      </c>
      <c r="H191" s="6">
        <v>0</v>
      </c>
      <c r="I191" s="6">
        <v>0</v>
      </c>
      <c r="J191" s="6">
        <v>0</v>
      </c>
      <c r="K191" s="6">
        <v>0</v>
      </c>
      <c r="L191" s="6">
        <v>0</v>
      </c>
      <c r="M191" s="4" t="s">
        <v>638</v>
      </c>
      <c r="N191" s="2"/>
      <c r="O191" s="2"/>
      <c r="P191" s="2"/>
      <c r="Q191" s="2"/>
      <c r="R191" s="2"/>
      <c r="S191" s="2"/>
      <c r="T191" s="2"/>
      <c r="U191" s="2"/>
      <c r="V191" s="2"/>
      <c r="W191" s="2"/>
      <c r="X191" s="2"/>
      <c r="Y191" s="2"/>
      <c r="Z191" s="2"/>
    </row>
    <row r="192" spans="1:26" ht="19.5" customHeight="1">
      <c r="A192" s="4" t="s">
        <v>639</v>
      </c>
      <c r="B192" s="4" t="s">
        <v>640</v>
      </c>
      <c r="C192" s="6">
        <v>1</v>
      </c>
      <c r="D192" s="4" t="s">
        <v>76</v>
      </c>
      <c r="E192" s="6">
        <v>10</v>
      </c>
      <c r="F192" s="6">
        <v>0</v>
      </c>
      <c r="G192" s="6">
        <v>0</v>
      </c>
      <c r="H192" s="6">
        <v>1</v>
      </c>
      <c r="I192" s="6">
        <v>0</v>
      </c>
      <c r="J192" s="6">
        <v>35</v>
      </c>
      <c r="K192" s="6">
        <v>0</v>
      </c>
      <c r="L192" s="6">
        <v>0</v>
      </c>
      <c r="M192" s="4" t="s">
        <v>641</v>
      </c>
      <c r="N192" s="2"/>
      <c r="O192" s="2"/>
      <c r="P192" s="2"/>
      <c r="Q192" s="2"/>
      <c r="R192" s="2"/>
      <c r="S192" s="2"/>
      <c r="T192" s="2"/>
      <c r="U192" s="2"/>
      <c r="V192" s="2"/>
      <c r="W192" s="2"/>
      <c r="X192" s="2"/>
      <c r="Y192" s="2"/>
      <c r="Z192" s="2"/>
    </row>
    <row r="193" spans="1:26" ht="19.5" customHeight="1">
      <c r="A193" s="4" t="s">
        <v>642</v>
      </c>
      <c r="B193" s="4" t="s">
        <v>643</v>
      </c>
      <c r="C193" s="7" t="s">
        <v>176</v>
      </c>
      <c r="D193" s="4" t="s">
        <v>624</v>
      </c>
      <c r="E193" s="6">
        <v>180</v>
      </c>
      <c r="F193" s="6">
        <v>19</v>
      </c>
      <c r="G193" s="6">
        <v>5</v>
      </c>
      <c r="H193" s="6">
        <v>13</v>
      </c>
      <c r="I193" s="6">
        <v>0</v>
      </c>
      <c r="J193" s="6">
        <v>260</v>
      </c>
      <c r="K193" s="6">
        <v>4</v>
      </c>
      <c r="L193" s="6">
        <v>70</v>
      </c>
      <c r="M193" s="4" t="s">
        <v>644</v>
      </c>
      <c r="N193" s="2"/>
      <c r="O193" s="2"/>
      <c r="P193" s="2"/>
      <c r="Q193" s="2"/>
      <c r="R193" s="2"/>
      <c r="S193" s="2"/>
      <c r="T193" s="2"/>
      <c r="U193" s="2"/>
      <c r="V193" s="2"/>
      <c r="W193" s="2"/>
      <c r="X193" s="2"/>
      <c r="Y193" s="2"/>
      <c r="Z193" s="2"/>
    </row>
    <row r="194" spans="1:26" ht="19.5" customHeight="1">
      <c r="A194" s="4" t="s">
        <v>645</v>
      </c>
      <c r="B194" s="4" t="s">
        <v>646</v>
      </c>
      <c r="C194" s="6">
        <v>1</v>
      </c>
      <c r="D194" s="4" t="s">
        <v>606</v>
      </c>
      <c r="E194" s="6">
        <v>5</v>
      </c>
      <c r="F194" s="6">
        <v>9</v>
      </c>
      <c r="G194" s="6">
        <v>0</v>
      </c>
      <c r="H194" s="6">
        <v>0</v>
      </c>
      <c r="I194" s="6">
        <v>1</v>
      </c>
      <c r="J194" s="6">
        <v>10</v>
      </c>
      <c r="K194" s="6">
        <v>0</v>
      </c>
      <c r="L194" s="6">
        <v>0</v>
      </c>
      <c r="M194" s="4" t="s">
        <v>647</v>
      </c>
      <c r="N194" s="2"/>
      <c r="O194" s="2"/>
      <c r="P194" s="2"/>
      <c r="Q194" s="2"/>
      <c r="R194" s="2"/>
      <c r="S194" s="2"/>
      <c r="T194" s="2"/>
      <c r="U194" s="2"/>
      <c r="V194" s="2"/>
      <c r="W194" s="2"/>
      <c r="X194" s="2"/>
      <c r="Y194" s="2"/>
      <c r="Z194" s="2"/>
    </row>
    <row r="195" spans="1:26" ht="19.5" customHeight="1">
      <c r="A195" s="4" t="s">
        <v>648</v>
      </c>
      <c r="B195" s="4" t="s">
        <v>649</v>
      </c>
      <c r="C195" s="6">
        <v>1</v>
      </c>
      <c r="D195" s="4" t="s">
        <v>205</v>
      </c>
      <c r="E195" s="6">
        <v>45</v>
      </c>
      <c r="F195" s="6">
        <v>0</v>
      </c>
      <c r="G195" s="6">
        <v>5</v>
      </c>
      <c r="H195" s="6">
        <v>3</v>
      </c>
      <c r="I195" s="6">
        <v>0</v>
      </c>
      <c r="J195" s="6">
        <v>150</v>
      </c>
      <c r="K195" s="6">
        <v>0</v>
      </c>
      <c r="L195" s="6">
        <v>10</v>
      </c>
      <c r="M195" s="4" t="s">
        <v>650</v>
      </c>
      <c r="N195" s="2"/>
      <c r="O195" s="2"/>
      <c r="P195" s="2"/>
      <c r="Q195" s="2"/>
      <c r="R195" s="2"/>
      <c r="S195" s="2"/>
      <c r="T195" s="2"/>
      <c r="U195" s="2"/>
      <c r="V195" s="2"/>
      <c r="W195" s="2"/>
      <c r="X195" s="2"/>
      <c r="Y195" s="2"/>
      <c r="Z195" s="2"/>
    </row>
    <row r="196" spans="1:26" ht="19.5" customHeight="1">
      <c r="A196" s="4" t="s">
        <v>651</v>
      </c>
      <c r="B196" s="4" t="s">
        <v>652</v>
      </c>
      <c r="C196" s="6">
        <v>1</v>
      </c>
      <c r="D196" s="4" t="s">
        <v>31</v>
      </c>
      <c r="E196" s="6">
        <v>25</v>
      </c>
      <c r="F196" s="6">
        <v>6</v>
      </c>
      <c r="G196" s="6">
        <v>0</v>
      </c>
      <c r="H196" s="6">
        <v>0</v>
      </c>
      <c r="I196" s="6">
        <v>6</v>
      </c>
      <c r="J196" s="6">
        <v>0</v>
      </c>
      <c r="K196" s="6">
        <v>0</v>
      </c>
      <c r="L196" s="6">
        <v>0</v>
      </c>
      <c r="M196" s="4" t="s">
        <v>653</v>
      </c>
      <c r="N196" s="2"/>
      <c r="O196" s="2"/>
      <c r="P196" s="2"/>
      <c r="Q196" s="2"/>
      <c r="R196" s="2"/>
      <c r="S196" s="2"/>
      <c r="T196" s="2"/>
      <c r="U196" s="2"/>
      <c r="V196" s="2"/>
      <c r="W196" s="2"/>
      <c r="X196" s="2"/>
      <c r="Y196" s="2"/>
      <c r="Z196" s="2"/>
    </row>
    <row r="197" spans="1:26" ht="19.5" customHeight="1">
      <c r="A197" s="4" t="s">
        <v>654</v>
      </c>
      <c r="B197" s="4" t="s">
        <v>655</v>
      </c>
      <c r="C197" s="6">
        <v>1</v>
      </c>
      <c r="D197" s="4" t="s">
        <v>31</v>
      </c>
      <c r="E197" s="6">
        <v>25</v>
      </c>
      <c r="F197" s="6">
        <v>3</v>
      </c>
      <c r="G197" s="6">
        <v>1</v>
      </c>
      <c r="H197" s="6">
        <v>1</v>
      </c>
      <c r="I197" s="6">
        <v>0</v>
      </c>
      <c r="J197" s="6">
        <v>90</v>
      </c>
      <c r="K197" s="6">
        <v>0</v>
      </c>
      <c r="L197" s="6">
        <v>0</v>
      </c>
      <c r="M197" s="4" t="s">
        <v>656</v>
      </c>
      <c r="N197" s="2"/>
      <c r="O197" s="2"/>
      <c r="P197" s="2"/>
      <c r="Q197" s="2"/>
      <c r="R197" s="2"/>
      <c r="S197" s="2"/>
      <c r="T197" s="2"/>
      <c r="U197" s="2"/>
      <c r="V197" s="2"/>
      <c r="W197" s="2"/>
      <c r="X197" s="2"/>
      <c r="Y197" s="2"/>
      <c r="Z197" s="2"/>
    </row>
    <row r="198" spans="1:26" ht="19.5" customHeight="1">
      <c r="A198" s="4" t="s">
        <v>657</v>
      </c>
      <c r="B198" s="4" t="s">
        <v>658</v>
      </c>
      <c r="C198" s="6">
        <v>1</v>
      </c>
      <c r="D198" s="4" t="s">
        <v>17</v>
      </c>
      <c r="E198" s="6">
        <v>20</v>
      </c>
      <c r="F198" s="6">
        <v>2</v>
      </c>
      <c r="G198" s="6">
        <v>1</v>
      </c>
      <c r="H198" s="6">
        <v>1</v>
      </c>
      <c r="I198" s="6">
        <v>1</v>
      </c>
      <c r="J198" s="6">
        <v>115</v>
      </c>
      <c r="K198" s="6">
        <v>0</v>
      </c>
      <c r="L198" s="6">
        <v>5</v>
      </c>
      <c r="M198" s="4" t="s">
        <v>659</v>
      </c>
      <c r="N198" s="2"/>
      <c r="O198" s="2"/>
      <c r="P198" s="2"/>
      <c r="Q198" s="2"/>
      <c r="R198" s="2"/>
      <c r="S198" s="2"/>
      <c r="T198" s="2"/>
      <c r="U198" s="2"/>
      <c r="V198" s="2"/>
      <c r="W198" s="2"/>
      <c r="X198" s="2"/>
      <c r="Y198" s="2"/>
      <c r="Z198" s="2"/>
    </row>
    <row r="199" spans="1:26" ht="19.5" customHeight="1">
      <c r="A199" s="4" t="s">
        <v>660</v>
      </c>
      <c r="B199" s="4" t="s">
        <v>661</v>
      </c>
      <c r="C199" s="6">
        <v>1</v>
      </c>
      <c r="D199" s="4" t="s">
        <v>205</v>
      </c>
      <c r="E199" s="6">
        <v>5</v>
      </c>
      <c r="F199" s="6">
        <v>1</v>
      </c>
      <c r="G199" s="6">
        <v>0</v>
      </c>
      <c r="H199" s="6">
        <v>0</v>
      </c>
      <c r="I199" s="6">
        <v>0</v>
      </c>
      <c r="J199" s="6">
        <v>280</v>
      </c>
      <c r="K199" s="6">
        <v>0</v>
      </c>
      <c r="L199" s="6">
        <v>0</v>
      </c>
      <c r="M199" s="4" t="s">
        <v>662</v>
      </c>
      <c r="N199" s="2"/>
      <c r="O199" s="2"/>
      <c r="P199" s="2"/>
      <c r="Q199" s="2"/>
      <c r="R199" s="2"/>
      <c r="S199" s="2"/>
      <c r="T199" s="2"/>
      <c r="U199" s="2"/>
      <c r="V199" s="2"/>
      <c r="W199" s="2"/>
      <c r="X199" s="2"/>
      <c r="Y199" s="2"/>
      <c r="Z199" s="2"/>
    </row>
    <row r="200" spans="1:26" ht="19.5" customHeight="1">
      <c r="A200" s="4" t="s">
        <v>663</v>
      </c>
      <c r="B200" s="4" t="s">
        <v>664</v>
      </c>
      <c r="C200" s="6">
        <v>1</v>
      </c>
      <c r="D200" s="4" t="s">
        <v>205</v>
      </c>
      <c r="E200" s="6">
        <v>10</v>
      </c>
      <c r="F200" s="6">
        <v>2</v>
      </c>
      <c r="G200" s="6">
        <v>0</v>
      </c>
      <c r="H200" s="6">
        <v>0</v>
      </c>
      <c r="I200" s="6">
        <v>0</v>
      </c>
      <c r="J200" s="6">
        <v>180</v>
      </c>
      <c r="K200" s="6">
        <v>0</v>
      </c>
      <c r="L200" s="6">
        <v>0</v>
      </c>
      <c r="M200" s="4" t="s">
        <v>665</v>
      </c>
      <c r="N200" s="2"/>
      <c r="O200" s="2"/>
      <c r="P200" s="2"/>
      <c r="Q200" s="2"/>
      <c r="R200" s="2"/>
      <c r="S200" s="2"/>
      <c r="T200" s="2"/>
      <c r="U200" s="2"/>
      <c r="V200" s="2"/>
      <c r="W200" s="2"/>
      <c r="X200" s="2"/>
      <c r="Y200" s="2"/>
      <c r="Z200" s="2"/>
    </row>
    <row r="201" spans="1:26" ht="19.5" customHeight="1">
      <c r="A201" s="4" t="s">
        <v>666</v>
      </c>
      <c r="B201" s="4" t="s">
        <v>667</v>
      </c>
      <c r="C201" s="7" t="s">
        <v>176</v>
      </c>
      <c r="D201" s="4" t="s">
        <v>31</v>
      </c>
      <c r="E201" s="6">
        <v>51</v>
      </c>
      <c r="F201" s="6">
        <v>4</v>
      </c>
      <c r="G201" s="6">
        <v>1</v>
      </c>
      <c r="H201" s="6">
        <v>4</v>
      </c>
      <c r="I201" s="6">
        <v>0</v>
      </c>
      <c r="J201" s="6">
        <v>16</v>
      </c>
      <c r="K201" s="6">
        <v>1</v>
      </c>
      <c r="L201" s="6">
        <v>0</v>
      </c>
      <c r="M201" s="4" t="s">
        <v>668</v>
      </c>
      <c r="N201" s="2"/>
      <c r="O201" s="2"/>
      <c r="P201" s="2"/>
      <c r="Q201" s="2"/>
      <c r="R201" s="2"/>
      <c r="S201" s="2"/>
      <c r="T201" s="2"/>
      <c r="U201" s="2"/>
      <c r="V201" s="2"/>
      <c r="W201" s="2"/>
      <c r="X201" s="2"/>
      <c r="Y201" s="2"/>
      <c r="Z201" s="2"/>
    </row>
    <row r="202" spans="1:26" ht="19.5" customHeight="1">
      <c r="A202" s="4" t="s">
        <v>669</v>
      </c>
      <c r="B202" s="4" t="s">
        <v>670</v>
      </c>
      <c r="C202" s="7" t="s">
        <v>176</v>
      </c>
      <c r="D202" s="4" t="s">
        <v>205</v>
      </c>
      <c r="E202" s="6">
        <v>30</v>
      </c>
      <c r="F202" s="6">
        <v>6</v>
      </c>
      <c r="G202" s="6">
        <v>0</v>
      </c>
      <c r="H202" s="6">
        <v>0</v>
      </c>
      <c r="I202" s="6">
        <v>2</v>
      </c>
      <c r="J202" s="6">
        <v>10</v>
      </c>
      <c r="K202" s="6">
        <v>1</v>
      </c>
      <c r="L202" s="6">
        <v>0</v>
      </c>
      <c r="M202" s="4" t="s">
        <v>671</v>
      </c>
      <c r="N202" s="2"/>
      <c r="O202" s="2"/>
      <c r="P202" s="2"/>
      <c r="Q202" s="2"/>
      <c r="R202" s="2"/>
      <c r="S202" s="2"/>
      <c r="T202" s="2"/>
      <c r="U202" s="2"/>
      <c r="V202" s="2"/>
      <c r="W202" s="2"/>
      <c r="X202" s="2"/>
      <c r="Y202" s="2"/>
      <c r="Z202" s="2"/>
    </row>
    <row r="203" spans="1:26" ht="19.5" customHeight="1">
      <c r="A203" s="4" t="s">
        <v>672</v>
      </c>
      <c r="B203" s="4" t="s">
        <v>673</v>
      </c>
      <c r="C203" s="6">
        <v>1</v>
      </c>
      <c r="D203" s="4" t="s">
        <v>17</v>
      </c>
      <c r="E203" s="6">
        <v>50</v>
      </c>
      <c r="F203" s="6">
        <v>1</v>
      </c>
      <c r="G203" s="6">
        <v>2</v>
      </c>
      <c r="H203" s="6">
        <v>0</v>
      </c>
      <c r="I203" s="6">
        <v>0</v>
      </c>
      <c r="J203" s="6">
        <v>70</v>
      </c>
      <c r="K203" s="6">
        <v>0</v>
      </c>
      <c r="L203" s="6">
        <v>0</v>
      </c>
      <c r="M203" s="4" t="s">
        <v>674</v>
      </c>
      <c r="N203" s="2"/>
      <c r="O203" s="2"/>
      <c r="P203" s="2"/>
      <c r="Q203" s="2"/>
      <c r="R203" s="2"/>
      <c r="S203" s="2"/>
      <c r="T203" s="2"/>
      <c r="U203" s="2"/>
      <c r="V203" s="2"/>
      <c r="W203" s="2"/>
      <c r="X203" s="2"/>
      <c r="Y203" s="2"/>
      <c r="Z203" s="2"/>
    </row>
    <row r="204" spans="1:26" ht="19.5" customHeight="1">
      <c r="A204" s="4" t="s">
        <v>675</v>
      </c>
      <c r="B204" s="4" t="s">
        <v>676</v>
      </c>
      <c r="C204" s="6">
        <v>1</v>
      </c>
      <c r="D204" s="4" t="s">
        <v>599</v>
      </c>
      <c r="E204" s="6">
        <v>160</v>
      </c>
      <c r="F204" s="6">
        <v>15</v>
      </c>
      <c r="G204" s="6">
        <v>6</v>
      </c>
      <c r="H204" s="6">
        <v>13</v>
      </c>
      <c r="I204" s="6">
        <v>2</v>
      </c>
      <c r="J204" s="6">
        <v>230</v>
      </c>
      <c r="K204" s="6">
        <v>7</v>
      </c>
      <c r="L204" s="6">
        <v>0</v>
      </c>
      <c r="M204" s="4" t="s">
        <v>677</v>
      </c>
      <c r="N204" s="2"/>
      <c r="O204" s="2"/>
      <c r="P204" s="2"/>
      <c r="Q204" s="2"/>
      <c r="R204" s="2"/>
      <c r="S204" s="2"/>
      <c r="T204" s="2"/>
      <c r="U204" s="2"/>
      <c r="V204" s="2"/>
      <c r="W204" s="2"/>
      <c r="X204" s="2"/>
      <c r="Y204" s="2"/>
      <c r="Z204" s="2"/>
    </row>
    <row r="205" spans="1:26" ht="19.5" customHeight="1">
      <c r="A205" s="4" t="s">
        <v>678</v>
      </c>
      <c r="B205" s="4" t="s">
        <v>679</v>
      </c>
      <c r="C205" s="6">
        <v>1</v>
      </c>
      <c r="D205" s="4" t="s">
        <v>205</v>
      </c>
      <c r="E205" s="6">
        <v>140</v>
      </c>
      <c r="F205" s="6">
        <v>21</v>
      </c>
      <c r="G205" s="6">
        <v>1</v>
      </c>
      <c r="H205" s="6">
        <v>6</v>
      </c>
      <c r="I205" s="6">
        <v>1</v>
      </c>
      <c r="J205" s="6">
        <v>135</v>
      </c>
      <c r="K205" s="6">
        <v>0</v>
      </c>
      <c r="L205" s="6">
        <v>0</v>
      </c>
      <c r="M205" s="4" t="s">
        <v>680</v>
      </c>
      <c r="N205" s="2"/>
      <c r="O205" s="2"/>
      <c r="P205" s="2"/>
      <c r="Q205" s="2"/>
      <c r="R205" s="2"/>
      <c r="S205" s="2"/>
      <c r="T205" s="2"/>
      <c r="U205" s="2"/>
      <c r="V205" s="2"/>
      <c r="W205" s="2"/>
      <c r="X205" s="2"/>
      <c r="Y205" s="2"/>
      <c r="Z205" s="2"/>
    </row>
    <row r="206" spans="1:26" ht="19.5" customHeight="1">
      <c r="A206" s="4" t="s">
        <v>681</v>
      </c>
      <c r="B206" s="4" t="s">
        <v>682</v>
      </c>
      <c r="C206" s="6">
        <v>1</v>
      </c>
      <c r="D206" s="4" t="s">
        <v>205</v>
      </c>
      <c r="E206" s="6">
        <v>180</v>
      </c>
      <c r="F206" s="6">
        <v>10</v>
      </c>
      <c r="G206" s="6">
        <v>2</v>
      </c>
      <c r="H206" s="6">
        <v>15</v>
      </c>
      <c r="I206" s="6">
        <v>1</v>
      </c>
      <c r="J206" s="6">
        <v>105</v>
      </c>
      <c r="K206" s="6">
        <v>5</v>
      </c>
      <c r="L206" s="6">
        <v>0</v>
      </c>
      <c r="M206" s="4" t="s">
        <v>683</v>
      </c>
      <c r="N206" s="2"/>
      <c r="O206" s="2"/>
      <c r="P206" s="2"/>
      <c r="Q206" s="2"/>
      <c r="R206" s="2"/>
      <c r="S206" s="2"/>
      <c r="T206" s="2"/>
      <c r="U206" s="2"/>
      <c r="V206" s="2"/>
      <c r="W206" s="2"/>
      <c r="X206" s="2"/>
      <c r="Y206" s="2"/>
      <c r="Z206" s="2"/>
    </row>
    <row r="207" spans="1:26" ht="19.5" customHeight="1">
      <c r="A207" s="4" t="s">
        <v>684</v>
      </c>
      <c r="B207" s="4" t="s">
        <v>685</v>
      </c>
      <c r="C207" s="6">
        <v>1</v>
      </c>
      <c r="D207" s="4" t="s">
        <v>686</v>
      </c>
      <c r="E207" s="6">
        <v>100</v>
      </c>
      <c r="F207" s="6">
        <v>0.5</v>
      </c>
      <c r="G207" s="6">
        <v>10</v>
      </c>
      <c r="H207" s="6">
        <v>2.5</v>
      </c>
      <c r="I207" s="6">
        <v>0</v>
      </c>
      <c r="J207" s="6">
        <v>290</v>
      </c>
      <c r="K207" s="6">
        <v>0</v>
      </c>
      <c r="L207" s="6">
        <v>22</v>
      </c>
      <c r="M207" s="4" t="s">
        <v>687</v>
      </c>
      <c r="N207" s="2"/>
      <c r="O207" s="2"/>
      <c r="P207" s="2"/>
      <c r="Q207" s="2"/>
      <c r="R207" s="2"/>
      <c r="S207" s="2"/>
      <c r="T207" s="2"/>
      <c r="U207" s="2"/>
      <c r="V207" s="2"/>
      <c r="W207" s="2"/>
      <c r="X207" s="2"/>
      <c r="Y207" s="2"/>
      <c r="Z207" s="2"/>
    </row>
    <row r="208" spans="1:26" ht="19.5" customHeight="1">
      <c r="A208" s="4" t="s">
        <v>688</v>
      </c>
      <c r="B208" s="4" t="s">
        <v>689</v>
      </c>
      <c r="C208" s="6">
        <v>1</v>
      </c>
      <c r="D208" s="4" t="s">
        <v>690</v>
      </c>
      <c r="E208" s="6">
        <v>290</v>
      </c>
      <c r="F208" s="6">
        <v>35</v>
      </c>
      <c r="G208" s="6">
        <v>19</v>
      </c>
      <c r="H208" s="6">
        <v>8</v>
      </c>
      <c r="I208" s="6">
        <v>6</v>
      </c>
      <c r="J208" s="6">
        <v>660</v>
      </c>
      <c r="K208" s="6">
        <v>7</v>
      </c>
      <c r="L208" s="6">
        <v>55</v>
      </c>
      <c r="M208" s="4" t="s">
        <v>691</v>
      </c>
      <c r="N208" s="2"/>
      <c r="O208" s="2"/>
      <c r="P208" s="2"/>
      <c r="Q208" s="2"/>
      <c r="R208" s="2"/>
      <c r="S208" s="2"/>
      <c r="T208" s="2"/>
      <c r="U208" s="2"/>
      <c r="V208" s="2"/>
      <c r="W208" s="2"/>
      <c r="X208" s="2"/>
      <c r="Y208" s="2"/>
      <c r="Z208" s="2"/>
    </row>
    <row r="209" spans="1:26" ht="19.5" customHeight="1">
      <c r="A209" s="4" t="s">
        <v>692</v>
      </c>
      <c r="B209" s="4" t="s">
        <v>693</v>
      </c>
      <c r="C209" s="6">
        <v>1</v>
      </c>
      <c r="D209" s="4" t="s">
        <v>599</v>
      </c>
      <c r="E209" s="6">
        <v>210</v>
      </c>
      <c r="F209" s="6">
        <v>11</v>
      </c>
      <c r="G209" s="6">
        <v>9</v>
      </c>
      <c r="H209" s="6">
        <v>15</v>
      </c>
      <c r="I209" s="6">
        <v>3</v>
      </c>
      <c r="J209" s="6">
        <v>55</v>
      </c>
      <c r="K209" s="6">
        <v>6</v>
      </c>
      <c r="L209" s="6">
        <v>0</v>
      </c>
      <c r="M209" s="4" t="s">
        <v>694</v>
      </c>
      <c r="N209" s="2"/>
      <c r="O209" s="2"/>
      <c r="P209" s="2"/>
      <c r="Q209" s="2"/>
      <c r="R209" s="2"/>
      <c r="S209" s="2"/>
      <c r="T209" s="2"/>
      <c r="U209" s="2"/>
      <c r="V209" s="2"/>
      <c r="W209" s="2"/>
      <c r="X209" s="2"/>
      <c r="Y209" s="2"/>
      <c r="Z209" s="2"/>
    </row>
    <row r="210" spans="1:26" ht="19.5" customHeight="1">
      <c r="A210" s="4" t="s">
        <v>695</v>
      </c>
      <c r="B210" s="4" t="s">
        <v>696</v>
      </c>
      <c r="C210" s="6">
        <v>1</v>
      </c>
      <c r="D210" s="4" t="s">
        <v>599</v>
      </c>
      <c r="E210" s="6">
        <v>210</v>
      </c>
      <c r="F210" s="6">
        <v>11</v>
      </c>
      <c r="G210" s="6">
        <v>9</v>
      </c>
      <c r="H210" s="6">
        <v>15</v>
      </c>
      <c r="I210" s="6">
        <v>3</v>
      </c>
      <c r="J210" s="6">
        <v>40</v>
      </c>
      <c r="K210" s="6">
        <v>6</v>
      </c>
      <c r="L210" s="6">
        <v>0</v>
      </c>
      <c r="M210" s="4" t="s">
        <v>697</v>
      </c>
      <c r="N210" s="2"/>
      <c r="O210" s="2"/>
      <c r="P210" s="2"/>
      <c r="Q210" s="2"/>
      <c r="R210" s="2"/>
      <c r="S210" s="2"/>
      <c r="T210" s="2"/>
      <c r="U210" s="2"/>
      <c r="V210" s="2"/>
      <c r="W210" s="2"/>
      <c r="X210" s="2"/>
      <c r="Y210" s="2"/>
      <c r="Z210" s="2"/>
    </row>
    <row r="211" spans="1:26" ht="19.5" customHeight="1">
      <c r="A211" s="4" t="s">
        <v>698</v>
      </c>
      <c r="B211" s="4" t="s">
        <v>699</v>
      </c>
      <c r="C211" s="7" t="s">
        <v>176</v>
      </c>
      <c r="D211" s="4" t="s">
        <v>599</v>
      </c>
      <c r="E211" s="6">
        <v>210</v>
      </c>
      <c r="F211" s="6">
        <v>11</v>
      </c>
      <c r="G211" s="6">
        <v>9</v>
      </c>
      <c r="H211" s="6">
        <v>16</v>
      </c>
      <c r="I211" s="6">
        <v>2</v>
      </c>
      <c r="J211" s="6">
        <v>110</v>
      </c>
      <c r="K211" s="6">
        <v>6</v>
      </c>
      <c r="L211" s="6">
        <v>0</v>
      </c>
      <c r="M211" s="4" t="s">
        <v>700</v>
      </c>
      <c r="N211" s="2"/>
      <c r="O211" s="2"/>
      <c r="P211" s="2"/>
      <c r="Q211" s="2"/>
      <c r="R211" s="2"/>
      <c r="S211" s="2"/>
      <c r="T211" s="2"/>
      <c r="U211" s="2"/>
      <c r="V211" s="2"/>
      <c r="W211" s="2"/>
      <c r="X211" s="2"/>
      <c r="Y211" s="2"/>
      <c r="Z211" s="2"/>
    </row>
    <row r="212" spans="1:26" ht="19.5" customHeight="1">
      <c r="A212" s="4" t="s">
        <v>701</v>
      </c>
      <c r="B212" s="4" t="s">
        <v>702</v>
      </c>
      <c r="C212" s="6">
        <v>1</v>
      </c>
      <c r="D212" s="4" t="s">
        <v>599</v>
      </c>
      <c r="E212" s="6">
        <v>210</v>
      </c>
      <c r="F212" s="6">
        <v>11</v>
      </c>
      <c r="G212" s="6">
        <v>9</v>
      </c>
      <c r="H212" s="6">
        <v>16</v>
      </c>
      <c r="I212" s="6">
        <v>1</v>
      </c>
      <c r="J212" s="6">
        <v>50</v>
      </c>
      <c r="K212" s="6">
        <v>6</v>
      </c>
      <c r="L212" s="6">
        <v>0</v>
      </c>
      <c r="M212" s="4" t="s">
        <v>703</v>
      </c>
      <c r="N212" s="2"/>
      <c r="O212" s="2"/>
      <c r="P212" s="2"/>
      <c r="Q212" s="2"/>
      <c r="R212" s="2"/>
      <c r="S212" s="2"/>
      <c r="T212" s="2"/>
      <c r="U212" s="2"/>
      <c r="V212" s="2"/>
      <c r="W212" s="2"/>
      <c r="X212" s="2"/>
      <c r="Y212" s="2"/>
      <c r="Z212" s="2"/>
    </row>
    <row r="213" spans="1:26" ht="19.5" customHeight="1">
      <c r="A213" s="4" t="s">
        <v>704</v>
      </c>
      <c r="B213" s="4" t="s">
        <v>705</v>
      </c>
      <c r="C213" s="6">
        <v>1</v>
      </c>
      <c r="D213" s="4" t="s">
        <v>624</v>
      </c>
      <c r="E213" s="6">
        <v>180</v>
      </c>
      <c r="F213" s="6">
        <v>17</v>
      </c>
      <c r="G213" s="6">
        <v>5</v>
      </c>
      <c r="H213" s="6">
        <v>14</v>
      </c>
      <c r="I213" s="6">
        <v>1</v>
      </c>
      <c r="J213" s="6">
        <v>290</v>
      </c>
      <c r="K213" s="6">
        <v>4</v>
      </c>
      <c r="L213" s="6">
        <v>65</v>
      </c>
      <c r="M213" s="4" t="s">
        <v>706</v>
      </c>
      <c r="N213" s="2"/>
      <c r="O213" s="2"/>
      <c r="P213" s="2"/>
      <c r="Q213" s="2"/>
      <c r="R213" s="2"/>
      <c r="S213" s="2"/>
      <c r="T213" s="2"/>
      <c r="U213" s="2"/>
      <c r="V213" s="2"/>
      <c r="W213" s="2"/>
      <c r="X213" s="2"/>
      <c r="Y213" s="2"/>
      <c r="Z213" s="2"/>
    </row>
    <row r="214" spans="1:26" ht="19.5" customHeight="1">
      <c r="A214" s="4" t="s">
        <v>707</v>
      </c>
      <c r="B214" s="4" t="s">
        <v>708</v>
      </c>
      <c r="C214" s="6">
        <v>1</v>
      </c>
      <c r="D214" s="4" t="s">
        <v>205</v>
      </c>
      <c r="E214" s="6">
        <v>120</v>
      </c>
      <c r="F214" s="6">
        <v>10</v>
      </c>
      <c r="G214" s="6">
        <v>4</v>
      </c>
      <c r="H214" s="6">
        <v>8</v>
      </c>
      <c r="I214" s="7" t="s">
        <v>172</v>
      </c>
      <c r="J214" s="6">
        <v>40</v>
      </c>
      <c r="K214" s="6">
        <v>1</v>
      </c>
      <c r="L214" s="6">
        <v>0</v>
      </c>
      <c r="M214" s="4" t="s">
        <v>709</v>
      </c>
      <c r="N214" s="2"/>
      <c r="O214" s="2"/>
      <c r="P214" s="2"/>
      <c r="Q214" s="2"/>
      <c r="R214" s="2"/>
      <c r="S214" s="2"/>
      <c r="T214" s="2"/>
      <c r="U214" s="2"/>
      <c r="V214" s="2"/>
      <c r="W214" s="2"/>
      <c r="X214" s="2"/>
      <c r="Y214" s="2"/>
      <c r="Z214" s="2"/>
    </row>
    <row r="215" spans="1:26" ht="19.5" customHeight="1">
      <c r="A215" s="4" t="s">
        <v>710</v>
      </c>
      <c r="B215" s="4" t="s">
        <v>711</v>
      </c>
      <c r="C215" s="6">
        <v>1</v>
      </c>
      <c r="D215" s="4" t="s">
        <v>212</v>
      </c>
      <c r="E215" s="6">
        <v>160</v>
      </c>
      <c r="F215" s="6">
        <v>0</v>
      </c>
      <c r="G215" s="6">
        <v>32</v>
      </c>
      <c r="H215" s="6">
        <v>4</v>
      </c>
      <c r="I215" s="6">
        <v>0</v>
      </c>
      <c r="J215" s="6">
        <v>460</v>
      </c>
      <c r="K215" s="6">
        <v>0</v>
      </c>
      <c r="L215" s="6">
        <v>80</v>
      </c>
      <c r="M215" s="4" t="s">
        <v>712</v>
      </c>
      <c r="N215" s="2"/>
      <c r="O215" s="2"/>
      <c r="P215" s="2"/>
      <c r="Q215" s="2"/>
      <c r="R215" s="2"/>
      <c r="S215" s="2"/>
      <c r="T215" s="2"/>
      <c r="U215" s="2"/>
      <c r="V215" s="2"/>
      <c r="W215" s="2"/>
      <c r="X215" s="2"/>
      <c r="Y215" s="2"/>
      <c r="Z215" s="2"/>
    </row>
    <row r="216" spans="1:26" ht="19.5" customHeight="1">
      <c r="A216" s="4" t="s">
        <v>713</v>
      </c>
      <c r="B216" s="4" t="s">
        <v>714</v>
      </c>
      <c r="C216" s="6">
        <v>1</v>
      </c>
      <c r="D216" s="4" t="s">
        <v>17</v>
      </c>
      <c r="E216" s="6">
        <v>40</v>
      </c>
      <c r="F216" s="6">
        <v>7</v>
      </c>
      <c r="G216" s="6">
        <v>2</v>
      </c>
      <c r="H216" s="6">
        <v>0</v>
      </c>
      <c r="I216" s="6">
        <v>0</v>
      </c>
      <c r="J216" s="6">
        <v>55</v>
      </c>
      <c r="K216" s="6">
        <v>0</v>
      </c>
      <c r="L216" s="6">
        <v>0</v>
      </c>
      <c r="M216" s="4" t="s">
        <v>715</v>
      </c>
      <c r="N216" s="2"/>
      <c r="O216" s="2"/>
      <c r="P216" s="2"/>
      <c r="Q216" s="2"/>
      <c r="R216" s="2"/>
      <c r="S216" s="2"/>
      <c r="T216" s="2"/>
      <c r="U216" s="2"/>
      <c r="V216" s="2"/>
      <c r="W216" s="2"/>
      <c r="X216" s="2"/>
      <c r="Y216" s="2"/>
      <c r="Z216" s="2"/>
    </row>
    <row r="217" spans="1:26" ht="19.5" customHeight="1">
      <c r="A217" s="4" t="s">
        <v>716</v>
      </c>
      <c r="B217" s="4" t="s">
        <v>717</v>
      </c>
      <c r="C217" s="6">
        <v>1</v>
      </c>
      <c r="D217" s="4" t="s">
        <v>17</v>
      </c>
      <c r="E217" s="6">
        <v>25</v>
      </c>
      <c r="F217" s="6">
        <v>6</v>
      </c>
      <c r="G217" s="6">
        <v>0</v>
      </c>
      <c r="H217" s="6">
        <v>0</v>
      </c>
      <c r="I217" s="6">
        <v>4</v>
      </c>
      <c r="J217" s="6">
        <v>210</v>
      </c>
      <c r="K217" s="6">
        <v>0</v>
      </c>
      <c r="L217" s="6">
        <v>0</v>
      </c>
      <c r="M217" s="4" t="s">
        <v>718</v>
      </c>
      <c r="N217" s="2"/>
      <c r="O217" s="2"/>
      <c r="P217" s="2"/>
      <c r="Q217" s="2"/>
      <c r="R217" s="2"/>
      <c r="S217" s="2"/>
      <c r="T217" s="2"/>
      <c r="U217" s="2"/>
      <c r="V217" s="2"/>
      <c r="W217" s="2"/>
      <c r="X217" s="2"/>
      <c r="Y217" s="2"/>
      <c r="Z217" s="2"/>
    </row>
    <row r="218" spans="1:26" ht="19.5" customHeight="1">
      <c r="A218" s="4" t="s">
        <v>719</v>
      </c>
      <c r="B218" s="4" t="s">
        <v>720</v>
      </c>
      <c r="C218" s="6">
        <v>1</v>
      </c>
      <c r="D218" s="4" t="s">
        <v>212</v>
      </c>
      <c r="E218" s="6">
        <v>180</v>
      </c>
      <c r="F218" s="6">
        <v>1</v>
      </c>
      <c r="G218" s="6">
        <v>3</v>
      </c>
      <c r="H218" s="6">
        <v>5</v>
      </c>
      <c r="I218" s="6">
        <v>0</v>
      </c>
      <c r="J218" s="6">
        <v>700</v>
      </c>
      <c r="K218" s="6">
        <v>0</v>
      </c>
      <c r="L218" s="6">
        <v>80</v>
      </c>
      <c r="M218" s="4" t="s">
        <v>721</v>
      </c>
      <c r="N218" s="2"/>
      <c r="O218" s="2"/>
      <c r="P218" s="2"/>
      <c r="Q218" s="2"/>
      <c r="R218" s="2"/>
      <c r="S218" s="2"/>
      <c r="T218" s="2"/>
      <c r="U218" s="2"/>
      <c r="V218" s="2"/>
      <c r="W218" s="2"/>
      <c r="X218" s="2"/>
      <c r="Y218" s="2"/>
      <c r="Z218" s="2"/>
    </row>
    <row r="219" spans="1:26" ht="19.5" customHeight="1">
      <c r="A219" s="4" t="s">
        <v>722</v>
      </c>
      <c r="B219" s="4" t="s">
        <v>723</v>
      </c>
      <c r="C219" s="6">
        <v>1</v>
      </c>
      <c r="D219" s="12" t="s">
        <v>606</v>
      </c>
      <c r="E219" s="7" t="s">
        <v>18</v>
      </c>
      <c r="F219" s="6">
        <v>0</v>
      </c>
      <c r="G219" s="7" t="s">
        <v>18</v>
      </c>
      <c r="H219" s="6">
        <v>0</v>
      </c>
      <c r="I219" s="7" t="s">
        <v>18</v>
      </c>
      <c r="J219" s="7" t="s">
        <v>296</v>
      </c>
      <c r="K219" s="7" t="s">
        <v>18</v>
      </c>
      <c r="L219" s="7" t="s">
        <v>18</v>
      </c>
      <c r="M219" s="12" t="s">
        <v>724</v>
      </c>
      <c r="N219" s="2"/>
      <c r="O219" s="2"/>
      <c r="P219" s="2"/>
      <c r="Q219" s="2"/>
      <c r="R219" s="2"/>
      <c r="S219" s="2"/>
      <c r="T219" s="2"/>
      <c r="U219" s="2"/>
      <c r="V219" s="2"/>
      <c r="W219" s="2"/>
      <c r="X219" s="2"/>
      <c r="Y219" s="2"/>
      <c r="Z219" s="2"/>
    </row>
    <row r="220" spans="1:26" ht="19.5" customHeight="1">
      <c r="A220" s="4" t="s">
        <v>725</v>
      </c>
      <c r="B220" s="4" t="s">
        <v>726</v>
      </c>
      <c r="C220" s="7" t="s">
        <v>176</v>
      </c>
      <c r="D220" s="4" t="s">
        <v>727</v>
      </c>
      <c r="E220" s="6">
        <v>0</v>
      </c>
      <c r="F220" s="6">
        <v>0</v>
      </c>
      <c r="G220" s="6">
        <v>0</v>
      </c>
      <c r="H220" s="6">
        <v>0</v>
      </c>
      <c r="I220" s="6">
        <v>0</v>
      </c>
      <c r="J220" s="6">
        <v>0</v>
      </c>
      <c r="K220" s="6">
        <v>0</v>
      </c>
      <c r="L220" s="6">
        <v>0</v>
      </c>
      <c r="M220" s="4" t="s">
        <v>728</v>
      </c>
      <c r="N220" s="2"/>
      <c r="O220" s="2"/>
      <c r="P220" s="2"/>
      <c r="Q220" s="2"/>
      <c r="R220" s="2"/>
      <c r="S220" s="2"/>
      <c r="T220" s="2"/>
      <c r="U220" s="2"/>
      <c r="V220" s="2"/>
      <c r="W220" s="2"/>
      <c r="X220" s="2"/>
      <c r="Y220" s="2"/>
      <c r="Z220" s="2"/>
    </row>
    <row r="221" spans="1:26" ht="19.5" customHeight="1">
      <c r="A221" s="4" t="s">
        <v>729</v>
      </c>
      <c r="B221" s="4" t="s">
        <v>730</v>
      </c>
      <c r="C221" s="7" t="s">
        <v>176</v>
      </c>
      <c r="D221" s="4" t="s">
        <v>606</v>
      </c>
      <c r="E221" s="6">
        <v>0</v>
      </c>
      <c r="F221" s="6">
        <v>0</v>
      </c>
      <c r="G221" s="6">
        <v>0</v>
      </c>
      <c r="H221" s="6">
        <v>0</v>
      </c>
      <c r="I221" s="6">
        <v>0</v>
      </c>
      <c r="J221" s="6">
        <v>0</v>
      </c>
      <c r="K221" s="6">
        <v>0</v>
      </c>
      <c r="L221" s="6">
        <v>0</v>
      </c>
      <c r="M221" s="4" t="s">
        <v>731</v>
      </c>
      <c r="N221" s="2"/>
      <c r="O221" s="2"/>
      <c r="P221" s="2"/>
      <c r="Q221" s="2"/>
      <c r="R221" s="2"/>
      <c r="S221" s="2"/>
      <c r="T221" s="2"/>
      <c r="U221" s="2"/>
      <c r="V221" s="2"/>
      <c r="W221" s="2"/>
      <c r="X221" s="2"/>
      <c r="Y221" s="2"/>
      <c r="Z221" s="2"/>
    </row>
    <row r="222" spans="1:26" ht="19.5" customHeight="1">
      <c r="A222" s="4" t="s">
        <v>732</v>
      </c>
      <c r="B222" s="4" t="s">
        <v>733</v>
      </c>
      <c r="C222" s="7" t="s">
        <v>176</v>
      </c>
      <c r="D222" s="4" t="s">
        <v>17</v>
      </c>
      <c r="E222" s="6">
        <v>35</v>
      </c>
      <c r="F222" s="6">
        <v>0</v>
      </c>
      <c r="G222" s="6">
        <v>9</v>
      </c>
      <c r="H222" s="6">
        <v>0</v>
      </c>
      <c r="I222" s="6">
        <v>0</v>
      </c>
      <c r="J222" s="6">
        <v>85</v>
      </c>
      <c r="K222" s="6">
        <v>0</v>
      </c>
      <c r="L222" s="6">
        <v>0</v>
      </c>
      <c r="M222" s="4" t="s">
        <v>734</v>
      </c>
      <c r="N222" s="2"/>
      <c r="O222" s="2"/>
      <c r="P222" s="2"/>
      <c r="Q222" s="2"/>
      <c r="R222" s="2"/>
      <c r="S222" s="2"/>
      <c r="T222" s="2"/>
      <c r="U222" s="2"/>
      <c r="V222" s="2"/>
      <c r="W222" s="2"/>
      <c r="X222" s="2"/>
      <c r="Y222" s="2"/>
      <c r="Z222" s="2"/>
    </row>
    <row r="223" spans="1:26" ht="19.5" customHeight="1">
      <c r="A223" s="4" t="s">
        <v>735</v>
      </c>
      <c r="B223" s="4" t="s">
        <v>736</v>
      </c>
      <c r="C223" s="7" t="s">
        <v>176</v>
      </c>
      <c r="D223" s="4" t="s">
        <v>17</v>
      </c>
      <c r="E223" s="6">
        <v>50</v>
      </c>
      <c r="F223" s="6">
        <v>2</v>
      </c>
      <c r="G223" s="6">
        <v>11</v>
      </c>
      <c r="H223" s="6">
        <v>0</v>
      </c>
      <c r="I223" s="6">
        <v>0</v>
      </c>
      <c r="J223" s="6">
        <v>220</v>
      </c>
      <c r="K223" s="6">
        <v>0</v>
      </c>
      <c r="L223" s="6">
        <v>3</v>
      </c>
      <c r="M223" s="4" t="s">
        <v>737</v>
      </c>
      <c r="N223" s="2"/>
      <c r="O223" s="2"/>
      <c r="P223" s="2"/>
      <c r="Q223" s="2"/>
      <c r="R223" s="2"/>
      <c r="S223" s="2"/>
      <c r="T223" s="2"/>
      <c r="U223" s="2"/>
      <c r="V223" s="2"/>
      <c r="W223" s="2"/>
      <c r="X223" s="2"/>
      <c r="Y223" s="2"/>
      <c r="Z223" s="2"/>
    </row>
    <row r="224" spans="1:26" ht="19.5" customHeight="1">
      <c r="A224" s="4" t="s">
        <v>738</v>
      </c>
      <c r="B224" s="4" t="s">
        <v>739</v>
      </c>
      <c r="C224" s="7" t="s">
        <v>176</v>
      </c>
      <c r="D224" s="4" t="s">
        <v>599</v>
      </c>
      <c r="E224" s="6">
        <v>250</v>
      </c>
      <c r="F224" s="6">
        <v>34</v>
      </c>
      <c r="G224" s="6">
        <v>5</v>
      </c>
      <c r="H224" s="6">
        <v>11</v>
      </c>
      <c r="I224" s="6">
        <v>9</v>
      </c>
      <c r="J224" s="6">
        <v>0</v>
      </c>
      <c r="K224" s="6">
        <v>1</v>
      </c>
      <c r="L224" s="6">
        <v>0</v>
      </c>
      <c r="M224" s="4" t="s">
        <v>740</v>
      </c>
      <c r="N224" s="2"/>
      <c r="O224" s="2"/>
      <c r="P224" s="2"/>
      <c r="Q224" s="2"/>
      <c r="R224" s="2"/>
      <c r="S224" s="2"/>
      <c r="T224" s="2"/>
      <c r="U224" s="2"/>
      <c r="V224" s="2"/>
      <c r="W224" s="2"/>
      <c r="X224" s="2"/>
      <c r="Y224" s="2"/>
      <c r="Z224" s="2"/>
    </row>
    <row r="225" spans="1:26" ht="19.5" customHeight="1">
      <c r="A225" s="4" t="s">
        <v>741</v>
      </c>
      <c r="B225" s="4" t="s">
        <v>742</v>
      </c>
      <c r="C225" s="6">
        <v>1</v>
      </c>
      <c r="D225" s="4" t="s">
        <v>599</v>
      </c>
      <c r="E225" s="6">
        <v>270</v>
      </c>
      <c r="F225" s="6">
        <v>38</v>
      </c>
      <c r="G225" s="6">
        <v>10</v>
      </c>
      <c r="H225" s="6">
        <v>9</v>
      </c>
      <c r="I225" s="6">
        <v>11</v>
      </c>
      <c r="J225" s="6">
        <v>25</v>
      </c>
      <c r="K225" s="6">
        <v>3</v>
      </c>
      <c r="L225" s="6">
        <v>0</v>
      </c>
      <c r="M225" s="4" t="s">
        <v>743</v>
      </c>
      <c r="N225" s="2"/>
      <c r="O225" s="2"/>
      <c r="P225" s="2"/>
      <c r="Q225" s="2"/>
      <c r="R225" s="2"/>
      <c r="S225" s="2"/>
      <c r="T225" s="2"/>
      <c r="U225" s="2"/>
      <c r="V225" s="2"/>
      <c r="W225" s="2"/>
      <c r="X225" s="2"/>
      <c r="Y225" s="2"/>
      <c r="Z225" s="2"/>
    </row>
    <row r="226" spans="1:26" ht="19.5" customHeight="1">
      <c r="A226" s="4" t="s">
        <v>744</v>
      </c>
      <c r="B226" s="4" t="s">
        <v>745</v>
      </c>
      <c r="C226" s="6">
        <v>1</v>
      </c>
      <c r="D226" s="4" t="s">
        <v>606</v>
      </c>
      <c r="E226" s="6">
        <v>5</v>
      </c>
      <c r="F226" s="6">
        <v>1</v>
      </c>
      <c r="G226" s="6">
        <v>0</v>
      </c>
      <c r="H226" s="6">
        <v>0</v>
      </c>
      <c r="I226" s="6">
        <v>0</v>
      </c>
      <c r="J226" s="6">
        <v>0</v>
      </c>
      <c r="K226" s="6">
        <v>0</v>
      </c>
      <c r="L226" s="6">
        <v>0</v>
      </c>
      <c r="M226" s="4" t="s">
        <v>746</v>
      </c>
      <c r="N226" s="2"/>
      <c r="O226" s="2"/>
      <c r="P226" s="2"/>
      <c r="Q226" s="2"/>
      <c r="R226" s="2"/>
      <c r="S226" s="2"/>
      <c r="T226" s="2"/>
      <c r="U226" s="2"/>
      <c r="V226" s="2"/>
      <c r="W226" s="2"/>
      <c r="X226" s="2"/>
      <c r="Y226" s="2"/>
      <c r="Z226" s="2"/>
    </row>
    <row r="227" spans="1:26" ht="19.5" customHeight="1">
      <c r="A227" s="4" t="s">
        <v>747</v>
      </c>
      <c r="B227" s="4" t="s">
        <v>748</v>
      </c>
      <c r="C227" s="6">
        <v>1</v>
      </c>
      <c r="D227" s="4" t="s">
        <v>31</v>
      </c>
      <c r="E227" s="6">
        <v>15</v>
      </c>
      <c r="F227" s="6">
        <v>0</v>
      </c>
      <c r="G227" s="6">
        <v>4</v>
      </c>
      <c r="H227" s="6">
        <v>0</v>
      </c>
      <c r="I227" s="6">
        <v>0</v>
      </c>
      <c r="J227" s="6">
        <v>1440</v>
      </c>
      <c r="K227" s="6">
        <v>0</v>
      </c>
      <c r="L227" s="6">
        <v>0</v>
      </c>
      <c r="M227" s="4" t="s">
        <v>749</v>
      </c>
      <c r="N227" s="2"/>
      <c r="O227" s="2"/>
      <c r="P227" s="2"/>
      <c r="Q227" s="2"/>
      <c r="R227" s="2"/>
      <c r="S227" s="2"/>
      <c r="T227" s="2"/>
      <c r="U227" s="2"/>
      <c r="V227" s="2"/>
      <c r="W227" s="2"/>
      <c r="X227" s="2"/>
      <c r="Y227" s="2"/>
      <c r="Z227" s="2"/>
    </row>
    <row r="228" spans="1:26" ht="19.5" customHeight="1">
      <c r="A228" s="4" t="s">
        <v>750</v>
      </c>
      <c r="B228" s="4" t="s">
        <v>751</v>
      </c>
      <c r="C228" s="6">
        <v>1</v>
      </c>
      <c r="D228" s="4" t="s">
        <v>599</v>
      </c>
      <c r="E228" s="6">
        <v>210</v>
      </c>
      <c r="F228" s="6">
        <v>11</v>
      </c>
      <c r="G228" s="6">
        <v>9</v>
      </c>
      <c r="H228" s="6">
        <v>15</v>
      </c>
      <c r="I228" s="6">
        <v>3</v>
      </c>
      <c r="J228" s="6">
        <v>80</v>
      </c>
      <c r="K228" s="6">
        <v>6</v>
      </c>
      <c r="L228" s="6">
        <v>0</v>
      </c>
      <c r="M228" s="4" t="s">
        <v>752</v>
      </c>
      <c r="N228" s="2"/>
      <c r="O228" s="2"/>
      <c r="P228" s="2"/>
      <c r="Q228" s="2"/>
      <c r="R228" s="2"/>
      <c r="S228" s="2"/>
      <c r="T228" s="2"/>
      <c r="U228" s="2"/>
      <c r="V228" s="2"/>
      <c r="W228" s="2"/>
      <c r="X228" s="2"/>
      <c r="Y228" s="2"/>
      <c r="Z228" s="2"/>
    </row>
    <row r="229" spans="1:26" ht="19.5" customHeight="1">
      <c r="A229" s="4" t="s">
        <v>753</v>
      </c>
      <c r="B229" s="4" t="s">
        <v>754</v>
      </c>
      <c r="C229" s="6">
        <v>1</v>
      </c>
      <c r="D229" s="4" t="s">
        <v>599</v>
      </c>
      <c r="E229" s="6">
        <v>210</v>
      </c>
      <c r="F229" s="6">
        <v>10</v>
      </c>
      <c r="G229" s="6">
        <v>9</v>
      </c>
      <c r="H229" s="6">
        <v>16</v>
      </c>
      <c r="I229" s="6">
        <v>2</v>
      </c>
      <c r="J229" s="6">
        <v>110</v>
      </c>
      <c r="K229" s="6">
        <v>6</v>
      </c>
      <c r="L229" s="6">
        <v>0</v>
      </c>
      <c r="M229" s="4" t="s">
        <v>755</v>
      </c>
      <c r="N229" s="2"/>
      <c r="O229" s="2"/>
      <c r="P229" s="2"/>
      <c r="Q229" s="2"/>
      <c r="R229" s="2"/>
      <c r="S229" s="2"/>
      <c r="T229" s="2"/>
      <c r="U229" s="2"/>
      <c r="V229" s="2"/>
      <c r="W229" s="2"/>
      <c r="X229" s="2"/>
      <c r="Y229" s="2"/>
      <c r="Z229" s="2"/>
    </row>
    <row r="230" spans="1:26" ht="19.5" customHeight="1">
      <c r="A230" s="4" t="s">
        <v>756</v>
      </c>
      <c r="B230" s="4" t="s">
        <v>757</v>
      </c>
      <c r="C230" s="6">
        <v>1</v>
      </c>
      <c r="D230" s="4" t="s">
        <v>599</v>
      </c>
      <c r="E230" s="6">
        <v>290</v>
      </c>
      <c r="F230" s="6">
        <v>39</v>
      </c>
      <c r="G230" s="6">
        <v>11</v>
      </c>
      <c r="H230" s="6">
        <v>11</v>
      </c>
      <c r="I230" s="6">
        <v>14</v>
      </c>
      <c r="J230" s="6">
        <v>10</v>
      </c>
      <c r="K230" s="6">
        <v>2</v>
      </c>
      <c r="L230" s="6">
        <v>0</v>
      </c>
      <c r="M230" s="4" t="s">
        <v>758</v>
      </c>
      <c r="N230" s="2"/>
      <c r="O230" s="2"/>
      <c r="P230" s="2"/>
      <c r="Q230" s="2"/>
      <c r="R230" s="2"/>
      <c r="S230" s="2"/>
      <c r="T230" s="2"/>
      <c r="U230" s="2"/>
      <c r="V230" s="2"/>
      <c r="W230" s="2"/>
      <c r="X230" s="2"/>
      <c r="Y230" s="2"/>
      <c r="Z230" s="2"/>
    </row>
    <row r="231" spans="1:26" ht="19.5" customHeight="1">
      <c r="A231" s="4" t="s">
        <v>759</v>
      </c>
      <c r="B231" s="4" t="s">
        <v>760</v>
      </c>
      <c r="C231" s="6">
        <v>1</v>
      </c>
      <c r="D231" s="4" t="s">
        <v>76</v>
      </c>
      <c r="E231" s="6">
        <v>15</v>
      </c>
      <c r="F231" s="6">
        <v>0</v>
      </c>
      <c r="G231" s="6">
        <v>3</v>
      </c>
      <c r="H231" s="6">
        <v>0</v>
      </c>
      <c r="I231" s="6">
        <v>0</v>
      </c>
      <c r="J231" s="6">
        <v>1570</v>
      </c>
      <c r="K231" s="6">
        <v>0</v>
      </c>
      <c r="L231" s="6">
        <v>0</v>
      </c>
      <c r="M231" s="4" t="s">
        <v>761</v>
      </c>
      <c r="N231" s="2"/>
      <c r="O231" s="2"/>
      <c r="P231" s="2"/>
      <c r="Q231" s="2"/>
      <c r="R231" s="2"/>
      <c r="S231" s="2"/>
      <c r="T231" s="2"/>
      <c r="U231" s="2"/>
      <c r="V231" s="2"/>
      <c r="W231" s="2"/>
      <c r="X231" s="2"/>
      <c r="Y231" s="2"/>
      <c r="Z231" s="2"/>
    </row>
    <row r="232" spans="1:26" ht="19.5" customHeight="1">
      <c r="A232" s="4" t="s">
        <v>762</v>
      </c>
      <c r="B232" s="4" t="s">
        <v>763</v>
      </c>
      <c r="C232" s="6">
        <v>1</v>
      </c>
      <c r="D232" s="4" t="s">
        <v>76</v>
      </c>
      <c r="E232" s="6">
        <v>0</v>
      </c>
      <c r="F232" s="6">
        <v>0</v>
      </c>
      <c r="G232" s="6">
        <v>0</v>
      </c>
      <c r="H232" s="6">
        <v>0</v>
      </c>
      <c r="I232" s="6">
        <v>0</v>
      </c>
      <c r="J232" s="6">
        <v>490</v>
      </c>
      <c r="K232" s="6">
        <v>0</v>
      </c>
      <c r="L232" s="6">
        <v>0</v>
      </c>
      <c r="M232" s="4" t="s">
        <v>764</v>
      </c>
      <c r="N232" s="2"/>
      <c r="O232" s="2"/>
      <c r="P232" s="2"/>
      <c r="Q232" s="2"/>
      <c r="R232" s="2"/>
      <c r="S232" s="2"/>
      <c r="T232" s="2"/>
      <c r="U232" s="2"/>
      <c r="V232" s="2"/>
      <c r="W232" s="2"/>
      <c r="X232" s="2"/>
      <c r="Y232" s="2"/>
      <c r="Z232" s="2"/>
    </row>
    <row r="233" spans="1:26" ht="19.5" customHeight="1">
      <c r="A233" s="4" t="s">
        <v>765</v>
      </c>
      <c r="B233" s="4" t="s">
        <v>766</v>
      </c>
      <c r="C233" s="6">
        <v>1</v>
      </c>
      <c r="D233" s="4" t="s">
        <v>31</v>
      </c>
      <c r="E233" s="6">
        <v>15</v>
      </c>
      <c r="F233" s="6">
        <v>0</v>
      </c>
      <c r="G233" s="6">
        <v>3</v>
      </c>
      <c r="H233" s="6">
        <v>0</v>
      </c>
      <c r="I233" s="6">
        <v>0</v>
      </c>
      <c r="J233" s="6">
        <v>1520</v>
      </c>
      <c r="K233" s="6">
        <v>0</v>
      </c>
      <c r="L233" s="6">
        <v>0</v>
      </c>
      <c r="M233" s="4" t="s">
        <v>767</v>
      </c>
      <c r="N233" s="2"/>
      <c r="O233" s="2"/>
      <c r="P233" s="2"/>
      <c r="Q233" s="2"/>
      <c r="R233" s="2"/>
      <c r="S233" s="2"/>
      <c r="T233" s="2"/>
      <c r="U233" s="2"/>
      <c r="V233" s="2"/>
      <c r="W233" s="2"/>
      <c r="X233" s="2"/>
      <c r="Y233" s="2"/>
      <c r="Z233" s="2"/>
    </row>
    <row r="234" spans="1:26" ht="19.5" customHeight="1">
      <c r="A234" s="4" t="s">
        <v>768</v>
      </c>
      <c r="B234" s="4" t="s">
        <v>769</v>
      </c>
      <c r="C234" s="6">
        <v>1</v>
      </c>
      <c r="D234" s="4" t="s">
        <v>31</v>
      </c>
      <c r="E234" s="6">
        <v>10</v>
      </c>
      <c r="F234" s="6">
        <v>1</v>
      </c>
      <c r="G234" s="6">
        <v>2</v>
      </c>
      <c r="H234" s="6">
        <v>0</v>
      </c>
      <c r="I234" s="6">
        <v>0</v>
      </c>
      <c r="J234" s="6">
        <v>1370</v>
      </c>
      <c r="K234" s="6">
        <v>0</v>
      </c>
      <c r="L234" s="6">
        <v>0</v>
      </c>
      <c r="M234" s="4" t="s">
        <v>770</v>
      </c>
      <c r="N234" s="2"/>
      <c r="O234" s="2"/>
      <c r="P234" s="2"/>
      <c r="Q234" s="2"/>
      <c r="R234" s="2"/>
      <c r="S234" s="2"/>
      <c r="T234" s="2"/>
      <c r="U234" s="2"/>
      <c r="V234" s="2"/>
      <c r="W234" s="2"/>
      <c r="X234" s="2"/>
      <c r="Y234" s="2"/>
      <c r="Z234" s="2"/>
    </row>
    <row r="235" spans="1:26" ht="19.5" customHeight="1">
      <c r="A235" s="4" t="s">
        <v>771</v>
      </c>
      <c r="B235" s="4" t="s">
        <v>772</v>
      </c>
      <c r="C235" s="6">
        <v>1</v>
      </c>
      <c r="D235" s="4" t="s">
        <v>31</v>
      </c>
      <c r="E235" s="6">
        <v>68</v>
      </c>
      <c r="F235" s="6">
        <v>9</v>
      </c>
      <c r="G235" s="6">
        <v>1</v>
      </c>
      <c r="H235" s="6">
        <v>3</v>
      </c>
      <c r="I235" s="6">
        <v>9</v>
      </c>
      <c r="J235" s="6">
        <v>10</v>
      </c>
      <c r="K235" s="6">
        <v>0</v>
      </c>
      <c r="L235" s="6">
        <v>0</v>
      </c>
      <c r="M235" s="4" t="s">
        <v>773</v>
      </c>
      <c r="N235" s="2"/>
      <c r="O235" s="2"/>
      <c r="P235" s="2"/>
      <c r="Q235" s="2"/>
      <c r="R235" s="2"/>
      <c r="S235" s="2"/>
      <c r="T235" s="2"/>
      <c r="U235" s="2"/>
      <c r="V235" s="2"/>
      <c r="W235" s="2"/>
      <c r="X235" s="2"/>
      <c r="Y235" s="2"/>
      <c r="Z235" s="2"/>
    </row>
    <row r="236" spans="1:26" ht="19.5" customHeight="1">
      <c r="A236" s="4" t="s">
        <v>774</v>
      </c>
      <c r="B236" s="4" t="s">
        <v>775</v>
      </c>
      <c r="C236" s="6">
        <v>1</v>
      </c>
      <c r="D236" s="4" t="s">
        <v>599</v>
      </c>
      <c r="E236" s="6">
        <v>160</v>
      </c>
      <c r="F236" s="6">
        <v>15</v>
      </c>
      <c r="G236" s="6">
        <v>6</v>
      </c>
      <c r="H236" s="6">
        <v>13</v>
      </c>
      <c r="I236" s="6">
        <v>2</v>
      </c>
      <c r="J236" s="6">
        <v>230</v>
      </c>
      <c r="K236" s="6">
        <v>7</v>
      </c>
      <c r="L236" s="6">
        <v>0</v>
      </c>
      <c r="M236" s="4" t="s">
        <v>677</v>
      </c>
      <c r="N236" s="2"/>
      <c r="O236" s="2"/>
      <c r="P236" s="2"/>
      <c r="Q236" s="2"/>
      <c r="R236" s="2"/>
      <c r="S236" s="2"/>
      <c r="T236" s="2"/>
      <c r="U236" s="2"/>
      <c r="V236" s="2"/>
      <c r="W236" s="2"/>
      <c r="X236" s="2"/>
      <c r="Y236" s="2"/>
      <c r="Z236" s="2"/>
    </row>
    <row r="237" spans="1:26" ht="19.5" customHeight="1">
      <c r="A237" s="4" t="s">
        <v>776</v>
      </c>
      <c r="B237" s="4" t="s">
        <v>777</v>
      </c>
      <c r="C237" s="6">
        <v>1</v>
      </c>
      <c r="D237" s="4" t="s">
        <v>778</v>
      </c>
      <c r="E237" s="6">
        <v>270</v>
      </c>
      <c r="F237" s="6">
        <v>40</v>
      </c>
      <c r="G237" s="6">
        <v>15</v>
      </c>
      <c r="H237" s="6">
        <v>6</v>
      </c>
      <c r="I237" s="6">
        <v>4</v>
      </c>
      <c r="J237" s="6">
        <v>540</v>
      </c>
      <c r="K237" s="6">
        <v>1</v>
      </c>
      <c r="L237" s="6">
        <v>20</v>
      </c>
      <c r="M237" s="4" t="s">
        <v>779</v>
      </c>
      <c r="N237" s="2"/>
      <c r="O237" s="2"/>
      <c r="P237" s="2"/>
      <c r="Q237" s="2"/>
      <c r="R237" s="2"/>
      <c r="S237" s="2"/>
      <c r="T237" s="2"/>
      <c r="U237" s="2"/>
      <c r="V237" s="2"/>
      <c r="W237" s="2"/>
      <c r="X237" s="2"/>
      <c r="Y237" s="2"/>
      <c r="Z237" s="2"/>
    </row>
    <row r="238" spans="1:26" ht="19.5" customHeight="1">
      <c r="A238" s="4" t="s">
        <v>780</v>
      </c>
      <c r="B238" s="4" t="s">
        <v>781</v>
      </c>
      <c r="C238" s="7" t="s">
        <v>176</v>
      </c>
      <c r="D238" s="4" t="s">
        <v>617</v>
      </c>
      <c r="E238" s="6">
        <v>70</v>
      </c>
      <c r="F238" s="6">
        <v>10</v>
      </c>
      <c r="G238" s="6">
        <v>2</v>
      </c>
      <c r="H238" s="6">
        <v>2</v>
      </c>
      <c r="I238" s="6">
        <v>7</v>
      </c>
      <c r="J238" s="6">
        <v>10</v>
      </c>
      <c r="K238" s="6">
        <v>4</v>
      </c>
      <c r="L238" s="6">
        <v>0</v>
      </c>
      <c r="M238" s="4" t="s">
        <v>782</v>
      </c>
      <c r="N238" s="2"/>
      <c r="O238" s="2"/>
      <c r="P238" s="2"/>
      <c r="Q238" s="2"/>
      <c r="R238" s="2"/>
      <c r="S238" s="2"/>
      <c r="T238" s="2"/>
      <c r="U238" s="2"/>
      <c r="V238" s="2"/>
      <c r="W238" s="2"/>
      <c r="X238" s="2"/>
      <c r="Y238" s="2"/>
      <c r="Z238" s="2"/>
    </row>
    <row r="239" spans="1:26" ht="19.5" customHeight="1">
      <c r="A239" s="4" t="s">
        <v>783</v>
      </c>
      <c r="B239" s="4" t="s">
        <v>784</v>
      </c>
      <c r="C239" s="6">
        <v>1</v>
      </c>
      <c r="D239" s="4" t="s">
        <v>599</v>
      </c>
      <c r="E239" s="6">
        <v>100</v>
      </c>
      <c r="F239" s="6">
        <v>18</v>
      </c>
      <c r="G239" s="6">
        <v>1</v>
      </c>
      <c r="H239" s="6">
        <v>3</v>
      </c>
      <c r="I239" s="6">
        <v>10</v>
      </c>
      <c r="J239" s="6">
        <v>80</v>
      </c>
      <c r="K239" s="6">
        <v>0</v>
      </c>
      <c r="L239" s="6">
        <v>0</v>
      </c>
      <c r="M239" s="4" t="s">
        <v>785</v>
      </c>
      <c r="N239" s="2"/>
      <c r="O239" s="2"/>
      <c r="P239" s="2"/>
      <c r="Q239" s="2"/>
      <c r="R239" s="2"/>
      <c r="S239" s="2"/>
      <c r="T239" s="2"/>
      <c r="U239" s="2"/>
      <c r="V239" s="2"/>
      <c r="W239" s="2"/>
      <c r="X239" s="2"/>
      <c r="Y239" s="2"/>
      <c r="Z239" s="2"/>
    </row>
    <row r="240" spans="1:26" ht="19.5" customHeight="1">
      <c r="A240" s="4" t="s">
        <v>786</v>
      </c>
      <c r="B240" s="4" t="s">
        <v>787</v>
      </c>
      <c r="C240" s="6">
        <v>1</v>
      </c>
      <c r="D240" s="4" t="s">
        <v>606</v>
      </c>
      <c r="E240" s="6">
        <v>10</v>
      </c>
      <c r="F240" s="6">
        <v>3</v>
      </c>
      <c r="G240" s="6">
        <v>0</v>
      </c>
      <c r="H240" s="6">
        <v>0</v>
      </c>
      <c r="I240" s="6">
        <v>1</v>
      </c>
      <c r="J240" s="6">
        <v>0</v>
      </c>
      <c r="K240" s="6">
        <v>0</v>
      </c>
      <c r="L240" s="6">
        <v>0</v>
      </c>
      <c r="M240" s="4" t="s">
        <v>788</v>
      </c>
      <c r="N240" s="2"/>
      <c r="O240" s="2"/>
      <c r="P240" s="2"/>
      <c r="Q240" s="2"/>
      <c r="R240" s="2"/>
      <c r="S240" s="2"/>
      <c r="T240" s="2"/>
      <c r="U240" s="2"/>
      <c r="V240" s="2"/>
      <c r="W240" s="2"/>
      <c r="X240" s="2"/>
      <c r="Y240" s="2"/>
      <c r="Z240" s="2"/>
    </row>
    <row r="241" spans="1:26" ht="19.5" customHeight="1">
      <c r="A241" s="4" t="s">
        <v>789</v>
      </c>
      <c r="B241" s="4" t="s">
        <v>790</v>
      </c>
      <c r="C241" s="6">
        <v>1</v>
      </c>
      <c r="D241" s="4" t="s">
        <v>31</v>
      </c>
      <c r="E241" s="6">
        <v>50</v>
      </c>
      <c r="F241" s="6">
        <v>12</v>
      </c>
      <c r="G241" s="6">
        <v>0</v>
      </c>
      <c r="H241" s="6">
        <v>0</v>
      </c>
      <c r="I241" s="6">
        <v>12</v>
      </c>
      <c r="J241" s="6">
        <v>40</v>
      </c>
      <c r="K241" s="6">
        <v>0</v>
      </c>
      <c r="L241" s="6">
        <v>0</v>
      </c>
      <c r="M241" s="4" t="s">
        <v>791</v>
      </c>
      <c r="N241" s="2"/>
      <c r="O241" s="2"/>
      <c r="P241" s="2"/>
      <c r="Q241" s="2"/>
      <c r="R241" s="2"/>
      <c r="S241" s="2"/>
      <c r="T241" s="2"/>
      <c r="U241" s="2"/>
      <c r="V241" s="2"/>
      <c r="W241" s="2"/>
      <c r="X241" s="2"/>
      <c r="Y241" s="2"/>
      <c r="Z241" s="2"/>
    </row>
    <row r="242" spans="1:26" ht="19.5" customHeight="1">
      <c r="A242" s="4" t="s">
        <v>792</v>
      </c>
      <c r="B242" s="4" t="s">
        <v>793</v>
      </c>
      <c r="C242" s="7" t="s">
        <v>176</v>
      </c>
      <c r="D242" s="4" t="s">
        <v>31</v>
      </c>
      <c r="E242" s="6">
        <v>10</v>
      </c>
      <c r="F242" s="6">
        <v>1</v>
      </c>
      <c r="G242" s="6">
        <v>0</v>
      </c>
      <c r="H242" s="6">
        <v>0</v>
      </c>
      <c r="I242" s="6">
        <v>1</v>
      </c>
      <c r="J242" s="6">
        <v>60</v>
      </c>
      <c r="K242" s="6">
        <v>0</v>
      </c>
      <c r="L242" s="6">
        <v>0</v>
      </c>
      <c r="M242" s="4" t="s">
        <v>794</v>
      </c>
      <c r="N242" s="2"/>
      <c r="O242" s="2"/>
      <c r="P242" s="2"/>
      <c r="Q242" s="2"/>
      <c r="R242" s="2"/>
      <c r="S242" s="2"/>
      <c r="T242" s="2"/>
      <c r="U242" s="2"/>
      <c r="V242" s="2"/>
      <c r="W242" s="2"/>
      <c r="X242" s="2"/>
      <c r="Y242" s="2"/>
      <c r="Z242" s="2"/>
    </row>
    <row r="243" spans="1:26" ht="19.5" customHeight="1">
      <c r="A243" s="4" t="s">
        <v>795</v>
      </c>
      <c r="B243" s="4" t="s">
        <v>796</v>
      </c>
      <c r="C243" s="6">
        <v>1</v>
      </c>
      <c r="D243" s="4" t="s">
        <v>31</v>
      </c>
      <c r="E243" s="6">
        <v>10</v>
      </c>
      <c r="F243" s="6">
        <v>2</v>
      </c>
      <c r="G243" s="6">
        <v>0</v>
      </c>
      <c r="H243" s="6">
        <v>0</v>
      </c>
      <c r="I243" s="6">
        <v>1</v>
      </c>
      <c r="J243" s="6">
        <v>480</v>
      </c>
      <c r="K243" s="6">
        <v>0</v>
      </c>
      <c r="L243" s="6">
        <v>0</v>
      </c>
      <c r="M243" s="4" t="s">
        <v>797</v>
      </c>
      <c r="N243" s="2"/>
      <c r="O243" s="2"/>
      <c r="P243" s="2"/>
      <c r="Q243" s="2"/>
      <c r="R243" s="2"/>
      <c r="S243" s="2"/>
      <c r="T243" s="2"/>
      <c r="U243" s="2"/>
      <c r="V243" s="2"/>
      <c r="W243" s="2"/>
      <c r="X243" s="2"/>
      <c r="Y243" s="2"/>
      <c r="Z243" s="2"/>
    </row>
    <row r="244" spans="1:26" ht="19.5" customHeight="1">
      <c r="A244" s="4" t="s">
        <v>798</v>
      </c>
      <c r="B244" s="4" t="s">
        <v>799</v>
      </c>
      <c r="C244" s="7" t="s">
        <v>176</v>
      </c>
      <c r="D244" s="4" t="s">
        <v>205</v>
      </c>
      <c r="E244" s="6">
        <v>170</v>
      </c>
      <c r="F244" s="6">
        <v>2</v>
      </c>
      <c r="G244" s="6">
        <v>11</v>
      </c>
      <c r="H244" s="6">
        <v>14</v>
      </c>
      <c r="I244" s="6">
        <v>1</v>
      </c>
      <c r="J244" s="6">
        <v>350</v>
      </c>
      <c r="K244" s="6">
        <v>1</v>
      </c>
      <c r="L244" s="6">
        <v>45</v>
      </c>
      <c r="M244" s="4" t="s">
        <v>800</v>
      </c>
      <c r="N244" s="2"/>
      <c r="O244" s="2"/>
      <c r="P244" s="2"/>
      <c r="Q244" s="2"/>
      <c r="R244" s="2"/>
      <c r="S244" s="2"/>
      <c r="T244" s="2"/>
      <c r="U244" s="2"/>
      <c r="V244" s="2"/>
      <c r="W244" s="2"/>
      <c r="X244" s="2"/>
      <c r="Y244" s="2"/>
      <c r="Z244" s="2"/>
    </row>
    <row r="245" spans="1:26" ht="19.5" customHeight="1">
      <c r="A245" s="4" t="s">
        <v>801</v>
      </c>
      <c r="B245" s="4" t="s">
        <v>802</v>
      </c>
      <c r="C245" s="6">
        <v>1</v>
      </c>
      <c r="D245" s="4" t="s">
        <v>628</v>
      </c>
      <c r="E245" s="6">
        <v>260</v>
      </c>
      <c r="F245" s="6">
        <v>5</v>
      </c>
      <c r="G245" s="6">
        <v>20</v>
      </c>
      <c r="H245" s="6">
        <v>18</v>
      </c>
      <c r="I245" s="6">
        <v>0</v>
      </c>
      <c r="J245" s="6">
        <v>350</v>
      </c>
      <c r="K245" s="6">
        <v>2</v>
      </c>
      <c r="L245" s="7" t="s">
        <v>18</v>
      </c>
      <c r="M245" s="4" t="s">
        <v>803</v>
      </c>
      <c r="N245" s="2"/>
      <c r="O245" s="2"/>
      <c r="P245" s="2"/>
      <c r="Q245" s="2"/>
      <c r="R245" s="2"/>
      <c r="S245" s="2"/>
      <c r="T245" s="2"/>
      <c r="U245" s="2"/>
      <c r="V245" s="2"/>
      <c r="W245" s="2"/>
      <c r="X245" s="2"/>
      <c r="Y245" s="2"/>
      <c r="Z245" s="2"/>
    </row>
    <row r="246" spans="1:26" ht="19.5" customHeight="1">
      <c r="A246" s="4" t="s">
        <v>804</v>
      </c>
      <c r="B246" s="4" t="s">
        <v>805</v>
      </c>
      <c r="C246" s="6">
        <v>1</v>
      </c>
      <c r="D246" s="4" t="s">
        <v>599</v>
      </c>
      <c r="E246" s="6">
        <v>220</v>
      </c>
      <c r="F246" s="6">
        <v>14</v>
      </c>
      <c r="G246" s="6">
        <v>12</v>
      </c>
      <c r="H246" s="6">
        <v>15</v>
      </c>
      <c r="I246" s="6">
        <v>2</v>
      </c>
      <c r="J246" s="6">
        <v>110</v>
      </c>
      <c r="K246" s="6">
        <v>5</v>
      </c>
      <c r="L246" s="7" t="s">
        <v>18</v>
      </c>
      <c r="M246" s="4" t="s">
        <v>806</v>
      </c>
      <c r="N246" s="2"/>
      <c r="O246" s="2"/>
      <c r="P246" s="2"/>
      <c r="Q246" s="2"/>
      <c r="R246" s="2"/>
      <c r="S246" s="2"/>
      <c r="T246" s="2"/>
      <c r="U246" s="2"/>
      <c r="V246" s="2"/>
      <c r="W246" s="2"/>
      <c r="X246" s="2"/>
      <c r="Y246" s="2"/>
      <c r="Z246" s="2"/>
    </row>
    <row r="247" spans="1:26" ht="19.5" customHeight="1">
      <c r="A247" s="4" t="s">
        <v>807</v>
      </c>
      <c r="B247" s="4" t="s">
        <v>808</v>
      </c>
      <c r="C247" s="7" t="s">
        <v>176</v>
      </c>
      <c r="D247" s="4" t="s">
        <v>205</v>
      </c>
      <c r="E247" s="6">
        <v>170</v>
      </c>
      <c r="F247" s="6">
        <v>1</v>
      </c>
      <c r="G247" s="6">
        <v>11</v>
      </c>
      <c r="H247" s="6">
        <v>14</v>
      </c>
      <c r="I247" s="6">
        <v>0</v>
      </c>
      <c r="J247" s="6">
        <v>390</v>
      </c>
      <c r="K247" s="6">
        <v>0</v>
      </c>
      <c r="L247" s="6">
        <v>40</v>
      </c>
      <c r="M247" s="4" t="s">
        <v>809</v>
      </c>
      <c r="N247" s="2"/>
      <c r="O247" s="2"/>
      <c r="P247" s="2"/>
      <c r="Q247" s="2"/>
      <c r="R247" s="2"/>
      <c r="S247" s="2"/>
      <c r="T247" s="2"/>
      <c r="U247" s="2"/>
      <c r="V247" s="2"/>
      <c r="W247" s="2"/>
      <c r="X247" s="2"/>
      <c r="Y247" s="2"/>
      <c r="Z247" s="2"/>
    </row>
    <row r="248" spans="1:26" ht="19.5" customHeight="1">
      <c r="A248" s="4" t="s">
        <v>810</v>
      </c>
      <c r="B248" s="4" t="s">
        <v>811</v>
      </c>
      <c r="C248" s="6">
        <v>1</v>
      </c>
      <c r="D248" s="4" t="s">
        <v>205</v>
      </c>
      <c r="E248" s="6">
        <v>170</v>
      </c>
      <c r="F248" s="6">
        <v>2</v>
      </c>
      <c r="G248" s="6">
        <v>10</v>
      </c>
      <c r="H248" s="6">
        <v>14</v>
      </c>
      <c r="I248" s="6">
        <v>0</v>
      </c>
      <c r="J248" s="6">
        <v>360</v>
      </c>
      <c r="K248" s="6">
        <v>0</v>
      </c>
      <c r="L248" s="6">
        <v>40</v>
      </c>
      <c r="M248" s="4" t="s">
        <v>812</v>
      </c>
      <c r="N248" s="2"/>
      <c r="O248" s="2"/>
      <c r="P248" s="2"/>
      <c r="Q248" s="2"/>
      <c r="R248" s="2"/>
      <c r="S248" s="2"/>
      <c r="T248" s="2"/>
      <c r="U248" s="2"/>
      <c r="V248" s="2"/>
      <c r="W248" s="2"/>
      <c r="X248" s="2"/>
      <c r="Y248" s="2"/>
      <c r="Z248" s="2"/>
    </row>
    <row r="249" spans="1:26" ht="19.5" customHeight="1">
      <c r="A249" s="4" t="s">
        <v>813</v>
      </c>
      <c r="B249" s="4" t="s">
        <v>814</v>
      </c>
      <c r="C249" s="7" t="s">
        <v>176</v>
      </c>
      <c r="D249" s="4" t="s">
        <v>205</v>
      </c>
      <c r="E249" s="6">
        <v>170</v>
      </c>
      <c r="F249" s="6">
        <v>2</v>
      </c>
      <c r="G249" s="6">
        <v>11</v>
      </c>
      <c r="H249" s="6">
        <v>13</v>
      </c>
      <c r="I249" s="6">
        <v>0</v>
      </c>
      <c r="J249" s="6">
        <v>390</v>
      </c>
      <c r="K249" s="6">
        <v>0</v>
      </c>
      <c r="L249" s="6">
        <v>40</v>
      </c>
      <c r="M249" s="4" t="s">
        <v>815</v>
      </c>
      <c r="N249" s="2"/>
      <c r="O249" s="2"/>
      <c r="P249" s="2"/>
      <c r="Q249" s="2"/>
      <c r="R249" s="2"/>
      <c r="S249" s="2"/>
      <c r="T249" s="2"/>
      <c r="U249" s="2"/>
      <c r="V249" s="2"/>
      <c r="W249" s="2"/>
      <c r="X249" s="2"/>
      <c r="Y249" s="2"/>
      <c r="Z249" s="2"/>
    </row>
    <row r="250" spans="1:26" ht="19.5" customHeight="1">
      <c r="A250" s="4" t="s">
        <v>816</v>
      </c>
      <c r="B250" s="4" t="s">
        <v>817</v>
      </c>
      <c r="C250" s="6">
        <v>1</v>
      </c>
      <c r="D250" s="4" t="s">
        <v>205</v>
      </c>
      <c r="E250" s="6">
        <v>160</v>
      </c>
      <c r="F250" s="6">
        <v>1</v>
      </c>
      <c r="G250" s="6">
        <v>12</v>
      </c>
      <c r="H250" s="6">
        <v>12</v>
      </c>
      <c r="I250" s="6">
        <v>0</v>
      </c>
      <c r="J250" s="6">
        <v>310</v>
      </c>
      <c r="K250" s="6">
        <v>0</v>
      </c>
      <c r="L250" s="6">
        <v>40</v>
      </c>
      <c r="M250" s="4" t="s">
        <v>818</v>
      </c>
      <c r="N250" s="2"/>
      <c r="O250" s="2"/>
      <c r="P250" s="2"/>
      <c r="Q250" s="2"/>
      <c r="R250" s="2"/>
      <c r="S250" s="2"/>
      <c r="T250" s="2"/>
      <c r="U250" s="2"/>
      <c r="V250" s="2"/>
      <c r="W250" s="2"/>
      <c r="X250" s="2"/>
      <c r="Y250" s="2"/>
      <c r="Z250" s="2"/>
    </row>
    <row r="251" spans="1:26" ht="19.5" customHeight="1">
      <c r="A251" s="4" t="s">
        <v>819</v>
      </c>
      <c r="B251" s="4" t="s">
        <v>820</v>
      </c>
      <c r="C251" s="6">
        <v>1</v>
      </c>
      <c r="D251" s="4" t="s">
        <v>31</v>
      </c>
      <c r="E251" s="6">
        <v>20</v>
      </c>
      <c r="F251" s="6">
        <v>4</v>
      </c>
      <c r="G251" s="6">
        <v>0</v>
      </c>
      <c r="H251" s="6">
        <v>0</v>
      </c>
      <c r="I251" s="6">
        <v>3</v>
      </c>
      <c r="J251" s="6">
        <v>690</v>
      </c>
      <c r="K251" s="6">
        <v>0</v>
      </c>
      <c r="L251" s="7" t="s">
        <v>18</v>
      </c>
      <c r="M251" s="4" t="s">
        <v>821</v>
      </c>
      <c r="N251" s="2"/>
      <c r="O251" s="2"/>
      <c r="P251" s="2"/>
      <c r="Q251" s="2"/>
      <c r="R251" s="2"/>
      <c r="S251" s="2"/>
      <c r="T251" s="2"/>
      <c r="U251" s="2"/>
      <c r="V251" s="2"/>
      <c r="W251" s="2"/>
      <c r="X251" s="2"/>
      <c r="Y251" s="2"/>
      <c r="Z251" s="2"/>
    </row>
    <row r="252" spans="1:26" ht="19.5" customHeight="1">
      <c r="A252" s="4" t="s">
        <v>822</v>
      </c>
      <c r="B252" s="4" t="s">
        <v>823</v>
      </c>
      <c r="C252" s="6">
        <v>1</v>
      </c>
      <c r="D252" s="4" t="s">
        <v>76</v>
      </c>
      <c r="E252" s="6">
        <v>0</v>
      </c>
      <c r="F252" s="6">
        <v>0</v>
      </c>
      <c r="G252" s="6">
        <v>0</v>
      </c>
      <c r="H252" s="6">
        <v>0</v>
      </c>
      <c r="I252" s="6">
        <v>0</v>
      </c>
      <c r="J252" s="6">
        <v>90</v>
      </c>
      <c r="K252" s="6">
        <v>0</v>
      </c>
      <c r="L252" s="6">
        <v>0</v>
      </c>
      <c r="M252" s="4" t="s">
        <v>824</v>
      </c>
      <c r="N252" s="2"/>
      <c r="O252" s="2"/>
      <c r="P252" s="2"/>
      <c r="Q252" s="2"/>
      <c r="R252" s="2"/>
      <c r="S252" s="2"/>
      <c r="T252" s="2"/>
      <c r="U252" s="2"/>
      <c r="V252" s="2"/>
      <c r="W252" s="2"/>
      <c r="X252" s="2"/>
      <c r="Y252" s="2"/>
      <c r="Z252" s="2"/>
    </row>
    <row r="253" spans="1:26" ht="19.5" customHeight="1">
      <c r="A253" s="4" t="s">
        <v>825</v>
      </c>
      <c r="B253" s="4" t="s">
        <v>826</v>
      </c>
      <c r="C253" s="7" t="s">
        <v>176</v>
      </c>
      <c r="D253" s="4" t="s">
        <v>31</v>
      </c>
      <c r="E253" s="6">
        <v>25</v>
      </c>
      <c r="F253" s="6">
        <v>1</v>
      </c>
      <c r="G253" s="6">
        <v>0</v>
      </c>
      <c r="H253" s="6">
        <v>2</v>
      </c>
      <c r="I253" s="6">
        <v>0</v>
      </c>
      <c r="J253" s="6">
        <v>23</v>
      </c>
      <c r="K253" s="6">
        <v>0</v>
      </c>
      <c r="L253" s="6">
        <v>0</v>
      </c>
      <c r="M253" s="4" t="s">
        <v>827</v>
      </c>
      <c r="N253" s="2"/>
      <c r="O253" s="2"/>
      <c r="P253" s="2"/>
      <c r="Q253" s="2"/>
      <c r="R253" s="2"/>
      <c r="S253" s="2"/>
      <c r="T253" s="2"/>
      <c r="U253" s="2"/>
      <c r="V253" s="2"/>
      <c r="W253" s="2"/>
      <c r="X253" s="2"/>
      <c r="Y253" s="2"/>
      <c r="Z253" s="2"/>
    </row>
    <row r="254" spans="1:26" ht="19.5" customHeight="1">
      <c r="A254" s="4" t="s">
        <v>828</v>
      </c>
      <c r="B254" s="4" t="s">
        <v>829</v>
      </c>
      <c r="C254" s="6">
        <v>1</v>
      </c>
      <c r="D254" s="4" t="s">
        <v>31</v>
      </c>
      <c r="E254" s="6">
        <v>34</v>
      </c>
      <c r="F254" s="6">
        <v>8</v>
      </c>
      <c r="G254" s="6">
        <v>0</v>
      </c>
      <c r="H254" s="6">
        <v>0</v>
      </c>
      <c r="I254" s="6">
        <v>7.5</v>
      </c>
      <c r="J254" s="6">
        <v>550</v>
      </c>
      <c r="K254" s="6">
        <v>0</v>
      </c>
      <c r="L254" s="6">
        <v>0</v>
      </c>
      <c r="M254" s="4" t="s">
        <v>830</v>
      </c>
      <c r="N254" s="2"/>
      <c r="O254" s="2"/>
      <c r="P254" s="2"/>
      <c r="Q254" s="2"/>
      <c r="R254" s="2"/>
      <c r="S254" s="2"/>
      <c r="T254" s="2"/>
      <c r="U254" s="2"/>
      <c r="V254" s="2"/>
      <c r="W254" s="2"/>
      <c r="X254" s="2"/>
      <c r="Y254" s="2"/>
      <c r="Z254" s="2"/>
    </row>
    <row r="255" spans="1:26" ht="19.5" customHeight="1">
      <c r="A255" s="4" t="s">
        <v>831</v>
      </c>
      <c r="B255" s="4" t="s">
        <v>832</v>
      </c>
      <c r="C255" s="7" t="s">
        <v>176</v>
      </c>
      <c r="D255" s="4" t="s">
        <v>554</v>
      </c>
      <c r="E255" s="6">
        <v>15</v>
      </c>
      <c r="F255" s="6">
        <v>4</v>
      </c>
      <c r="G255" s="6">
        <v>0</v>
      </c>
      <c r="H255" s="6">
        <v>0</v>
      </c>
      <c r="I255" s="6">
        <v>4</v>
      </c>
      <c r="J255" s="6">
        <v>0</v>
      </c>
      <c r="K255" s="6">
        <v>0</v>
      </c>
      <c r="L255" s="6">
        <v>0</v>
      </c>
      <c r="M255" s="4" t="s">
        <v>833</v>
      </c>
      <c r="N255" s="2"/>
      <c r="O255" s="2"/>
      <c r="P255" s="2"/>
      <c r="Q255" s="2"/>
      <c r="R255" s="2"/>
      <c r="S255" s="2"/>
      <c r="T255" s="2"/>
      <c r="U255" s="2"/>
      <c r="V255" s="2"/>
      <c r="W255" s="2"/>
      <c r="X255" s="2"/>
      <c r="Y255" s="2"/>
      <c r="Z255" s="2"/>
    </row>
    <row r="256" spans="1:26" ht="19.5" customHeight="1">
      <c r="A256" s="4" t="s">
        <v>834</v>
      </c>
      <c r="B256" s="4" t="s">
        <v>835</v>
      </c>
      <c r="C256" s="7" t="s">
        <v>176</v>
      </c>
      <c r="D256" s="4" t="s">
        <v>599</v>
      </c>
      <c r="E256" s="6">
        <v>298</v>
      </c>
      <c r="F256" s="6">
        <v>32</v>
      </c>
      <c r="G256" s="6">
        <v>9</v>
      </c>
      <c r="H256" s="6">
        <v>17</v>
      </c>
      <c r="I256" s="6">
        <v>18</v>
      </c>
      <c r="J256" s="6">
        <v>17</v>
      </c>
      <c r="K256" s="6">
        <v>6</v>
      </c>
      <c r="L256" s="6">
        <v>0</v>
      </c>
      <c r="M256" s="4" t="s">
        <v>836</v>
      </c>
      <c r="N256" s="2"/>
      <c r="O256" s="2"/>
      <c r="P256" s="2"/>
      <c r="Q256" s="2"/>
      <c r="R256" s="2"/>
      <c r="S256" s="2"/>
      <c r="T256" s="2"/>
      <c r="U256" s="2"/>
      <c r="V256" s="2"/>
      <c r="W256" s="2"/>
      <c r="X256" s="2"/>
      <c r="Y256" s="2"/>
      <c r="Z256" s="2"/>
    </row>
    <row r="257" spans="1:26" ht="19.5" customHeight="1">
      <c r="A257" s="4" t="s">
        <v>837</v>
      </c>
      <c r="B257" s="4" t="s">
        <v>838</v>
      </c>
      <c r="C257" s="6">
        <v>1</v>
      </c>
      <c r="D257" s="4" t="s">
        <v>599</v>
      </c>
      <c r="E257" s="6">
        <v>249</v>
      </c>
      <c r="F257" s="6">
        <v>29</v>
      </c>
      <c r="G257" s="6">
        <v>8</v>
      </c>
      <c r="H257" s="6">
        <v>13</v>
      </c>
      <c r="I257" s="6">
        <v>14</v>
      </c>
      <c r="J257" s="6">
        <v>17</v>
      </c>
      <c r="K257" s="6">
        <v>5</v>
      </c>
      <c r="L257" s="6">
        <v>0</v>
      </c>
      <c r="M257" s="4" t="s">
        <v>839</v>
      </c>
      <c r="N257" s="2"/>
      <c r="O257" s="2"/>
      <c r="P257" s="2"/>
      <c r="Q257" s="2"/>
      <c r="R257" s="2"/>
      <c r="S257" s="2"/>
      <c r="T257" s="2"/>
      <c r="U257" s="2"/>
      <c r="V257" s="2"/>
      <c r="W257" s="2"/>
      <c r="X257" s="2"/>
      <c r="Y257" s="2"/>
      <c r="Z257" s="2"/>
    </row>
    <row r="258" spans="1:26" ht="19.5" customHeight="1">
      <c r="A258" s="4" t="s">
        <v>840</v>
      </c>
      <c r="B258" s="4" t="s">
        <v>841</v>
      </c>
      <c r="C258" s="6">
        <v>1</v>
      </c>
      <c r="D258" s="4" t="s">
        <v>842</v>
      </c>
      <c r="E258" s="6">
        <v>100</v>
      </c>
      <c r="F258" s="6">
        <v>12.6</v>
      </c>
      <c r="G258" s="6">
        <v>3</v>
      </c>
      <c r="H258" s="6">
        <v>4.9000000000000004</v>
      </c>
      <c r="I258" s="6">
        <v>5.7</v>
      </c>
      <c r="J258" s="6">
        <v>6</v>
      </c>
      <c r="K258" s="6">
        <v>2.1</v>
      </c>
      <c r="L258" s="6">
        <v>0</v>
      </c>
      <c r="M258" s="4" t="s">
        <v>839</v>
      </c>
      <c r="N258" s="2"/>
      <c r="O258" s="2"/>
      <c r="P258" s="2"/>
      <c r="Q258" s="2"/>
      <c r="R258" s="2"/>
      <c r="S258" s="2"/>
      <c r="T258" s="2"/>
      <c r="U258" s="2"/>
      <c r="V258" s="2"/>
      <c r="W258" s="2"/>
      <c r="X258" s="2"/>
      <c r="Y258" s="2"/>
      <c r="Z258" s="2"/>
    </row>
    <row r="259" spans="1:26" ht="19.5" customHeight="1">
      <c r="A259" s="4" t="s">
        <v>843</v>
      </c>
      <c r="B259" s="4" t="s">
        <v>844</v>
      </c>
      <c r="C259" s="6">
        <v>1</v>
      </c>
      <c r="D259" s="4" t="s">
        <v>842</v>
      </c>
      <c r="E259" s="6">
        <v>120</v>
      </c>
      <c r="F259" s="6">
        <v>13.8</v>
      </c>
      <c r="G259" s="6">
        <v>3.2</v>
      </c>
      <c r="H259" s="6">
        <v>6.4</v>
      </c>
      <c r="I259" s="6">
        <v>6.6</v>
      </c>
      <c r="J259" s="6">
        <v>6</v>
      </c>
      <c r="K259" s="6">
        <v>2.2999999999999998</v>
      </c>
      <c r="L259" s="6">
        <v>0</v>
      </c>
      <c r="M259" s="4" t="s">
        <v>836</v>
      </c>
      <c r="N259" s="2"/>
      <c r="O259" s="2"/>
      <c r="P259" s="2"/>
      <c r="Q259" s="2"/>
      <c r="R259" s="2"/>
      <c r="S259" s="2"/>
      <c r="T259" s="2"/>
      <c r="U259" s="2"/>
      <c r="V259" s="2"/>
      <c r="W259" s="2"/>
      <c r="X259" s="2"/>
      <c r="Y259" s="2"/>
      <c r="Z259" s="2"/>
    </row>
    <row r="260" spans="1:26" ht="19.5" customHeight="1">
      <c r="A260" s="4" t="s">
        <v>845</v>
      </c>
      <c r="B260" s="4" t="s">
        <v>846</v>
      </c>
      <c r="C260" s="6">
        <v>1</v>
      </c>
      <c r="D260" s="4" t="s">
        <v>17</v>
      </c>
      <c r="E260" s="6">
        <v>290</v>
      </c>
      <c r="F260" s="6">
        <v>25</v>
      </c>
      <c r="G260" s="6">
        <v>11</v>
      </c>
      <c r="H260" s="6">
        <v>16</v>
      </c>
      <c r="I260" s="6">
        <v>14</v>
      </c>
      <c r="J260" s="6">
        <v>940</v>
      </c>
      <c r="K260" s="6">
        <v>6</v>
      </c>
      <c r="L260" s="6">
        <v>0</v>
      </c>
      <c r="M260" s="4" t="s">
        <v>847</v>
      </c>
      <c r="N260" s="2"/>
      <c r="O260" s="2"/>
      <c r="P260" s="2"/>
      <c r="Q260" s="2"/>
      <c r="R260" s="2"/>
      <c r="S260" s="2"/>
      <c r="T260" s="2"/>
      <c r="U260" s="2"/>
      <c r="V260" s="2"/>
      <c r="W260" s="2"/>
      <c r="X260" s="2"/>
      <c r="Y260" s="2"/>
      <c r="Z260" s="2"/>
    </row>
    <row r="261" spans="1:26" ht="19.5" customHeight="1">
      <c r="A261" s="4" t="s">
        <v>848</v>
      </c>
      <c r="B261" s="4" t="s">
        <v>849</v>
      </c>
      <c r="C261" s="6">
        <v>1</v>
      </c>
      <c r="D261" s="4" t="s">
        <v>850</v>
      </c>
      <c r="E261" s="6">
        <v>0</v>
      </c>
      <c r="F261" s="6">
        <v>0</v>
      </c>
      <c r="G261" s="6">
        <v>0</v>
      </c>
      <c r="H261" s="6">
        <v>0</v>
      </c>
      <c r="I261" s="6">
        <v>0</v>
      </c>
      <c r="J261" s="6">
        <v>0</v>
      </c>
      <c r="K261" s="6">
        <v>0</v>
      </c>
      <c r="L261" s="6">
        <v>0</v>
      </c>
      <c r="M261" s="4" t="s">
        <v>851</v>
      </c>
      <c r="N261" s="2"/>
      <c r="O261" s="2"/>
      <c r="P261" s="2"/>
      <c r="Q261" s="2"/>
      <c r="R261" s="2"/>
      <c r="S261" s="2"/>
      <c r="T261" s="2"/>
      <c r="U261" s="2"/>
      <c r="V261" s="2"/>
      <c r="W261" s="2"/>
      <c r="X261" s="2"/>
      <c r="Y261" s="2"/>
      <c r="Z261" s="2"/>
    </row>
    <row r="262" spans="1:26" ht="19.5" customHeight="1">
      <c r="A262" s="9" t="s">
        <v>852</v>
      </c>
      <c r="B262" s="10" t="s">
        <v>853</v>
      </c>
      <c r="C262" s="6">
        <v>1</v>
      </c>
      <c r="D262" s="4" t="s">
        <v>854</v>
      </c>
      <c r="E262" s="6">
        <v>90</v>
      </c>
      <c r="F262" s="6">
        <v>19</v>
      </c>
      <c r="G262" s="6">
        <v>2</v>
      </c>
      <c r="H262" s="6">
        <v>0</v>
      </c>
      <c r="I262" s="6">
        <v>4</v>
      </c>
      <c r="J262" s="6">
        <v>230</v>
      </c>
      <c r="K262" s="6">
        <v>0</v>
      </c>
      <c r="L262" s="6">
        <v>0</v>
      </c>
      <c r="M262" s="4" t="s">
        <v>855</v>
      </c>
      <c r="N262" s="2"/>
      <c r="O262" s="2"/>
      <c r="P262" s="2"/>
      <c r="Q262" s="2"/>
      <c r="R262" s="2"/>
      <c r="S262" s="2"/>
      <c r="T262" s="2"/>
      <c r="U262" s="2"/>
      <c r="V262" s="2"/>
      <c r="W262" s="2"/>
      <c r="X262" s="2"/>
      <c r="Y262" s="2"/>
      <c r="Z262" s="2"/>
    </row>
    <row r="263" spans="1:26" ht="19.5" customHeight="1">
      <c r="A263" s="4" t="s">
        <v>856</v>
      </c>
      <c r="B263" s="4" t="s">
        <v>857</v>
      </c>
      <c r="C263" s="6">
        <v>1</v>
      </c>
      <c r="D263" s="4" t="s">
        <v>554</v>
      </c>
      <c r="E263" s="6">
        <v>15</v>
      </c>
      <c r="F263" s="6">
        <v>0</v>
      </c>
      <c r="G263" s="6">
        <v>0</v>
      </c>
      <c r="H263" s="6">
        <v>0</v>
      </c>
      <c r="I263" s="6">
        <v>0</v>
      </c>
      <c r="J263" s="6">
        <v>590</v>
      </c>
      <c r="K263" s="6">
        <v>0</v>
      </c>
      <c r="L263" s="6">
        <v>0</v>
      </c>
      <c r="M263" s="4" t="s">
        <v>858</v>
      </c>
      <c r="N263" s="2"/>
      <c r="O263" s="2"/>
      <c r="P263" s="2"/>
      <c r="Q263" s="2"/>
      <c r="R263" s="2"/>
      <c r="S263" s="2"/>
      <c r="T263" s="2"/>
      <c r="U263" s="2"/>
      <c r="V263" s="2"/>
      <c r="W263" s="2"/>
      <c r="X263" s="2"/>
      <c r="Y263" s="2"/>
      <c r="Z263" s="2"/>
    </row>
    <row r="264" spans="1:26" ht="43.5" customHeight="1">
      <c r="A264" s="4" t="s">
        <v>859</v>
      </c>
      <c r="B264" s="4" t="s">
        <v>860</v>
      </c>
      <c r="C264" s="7" t="s">
        <v>176</v>
      </c>
      <c r="D264" s="4" t="s">
        <v>624</v>
      </c>
      <c r="E264" s="6">
        <v>180</v>
      </c>
      <c r="F264" s="6">
        <v>19</v>
      </c>
      <c r="G264" s="6">
        <v>5</v>
      </c>
      <c r="H264" s="6">
        <v>13</v>
      </c>
      <c r="I264" s="6">
        <v>0.5</v>
      </c>
      <c r="J264" s="6">
        <v>260</v>
      </c>
      <c r="K264" s="6">
        <v>4</v>
      </c>
      <c r="L264" s="6">
        <v>70</v>
      </c>
      <c r="M264" s="4" t="s">
        <v>644</v>
      </c>
      <c r="N264" s="2"/>
      <c r="O264" s="2"/>
      <c r="P264" s="2"/>
      <c r="Q264" s="2"/>
      <c r="R264" s="2"/>
      <c r="S264" s="2"/>
      <c r="T264" s="2"/>
      <c r="U264" s="2"/>
      <c r="V264" s="2"/>
      <c r="W264" s="2"/>
      <c r="X264" s="2"/>
      <c r="Y264" s="2"/>
      <c r="Z264" s="2"/>
    </row>
    <row r="265" spans="1:26" ht="19.5" customHeight="1">
      <c r="A265" s="4" t="s">
        <v>861</v>
      </c>
      <c r="B265" s="4" t="s">
        <v>862</v>
      </c>
      <c r="C265" s="6">
        <v>1</v>
      </c>
      <c r="D265" s="4" t="s">
        <v>624</v>
      </c>
      <c r="E265" s="6">
        <v>180</v>
      </c>
      <c r="F265" s="6">
        <v>17</v>
      </c>
      <c r="G265" s="6">
        <v>5</v>
      </c>
      <c r="H265" s="6">
        <v>14</v>
      </c>
      <c r="I265" s="6">
        <v>1</v>
      </c>
      <c r="J265" s="6">
        <v>290</v>
      </c>
      <c r="K265" s="6">
        <v>4</v>
      </c>
      <c r="L265" s="6">
        <v>65</v>
      </c>
      <c r="M265" s="4" t="s">
        <v>706</v>
      </c>
      <c r="N265" s="2"/>
      <c r="O265" s="2"/>
      <c r="P265" s="2"/>
      <c r="Q265" s="2"/>
      <c r="R265" s="2"/>
      <c r="S265" s="2"/>
      <c r="T265" s="2"/>
      <c r="U265" s="2"/>
      <c r="V265" s="2"/>
      <c r="W265" s="2"/>
      <c r="X265" s="2"/>
      <c r="Y265" s="2"/>
      <c r="Z265" s="2"/>
    </row>
    <row r="266" spans="1:26" ht="19.5" customHeight="1">
      <c r="A266" s="4" t="s">
        <v>863</v>
      </c>
      <c r="B266" s="4" t="s">
        <v>864</v>
      </c>
      <c r="C266" s="6">
        <v>1</v>
      </c>
      <c r="D266" s="4" t="s">
        <v>624</v>
      </c>
      <c r="E266" s="6">
        <v>160</v>
      </c>
      <c r="F266" s="6">
        <v>18</v>
      </c>
      <c r="G266" s="6">
        <v>5</v>
      </c>
      <c r="H266" s="6">
        <v>12</v>
      </c>
      <c r="I266" s="6">
        <v>1</v>
      </c>
      <c r="J266" s="6">
        <v>280</v>
      </c>
      <c r="K266" s="6">
        <v>4</v>
      </c>
      <c r="L266" s="6">
        <v>70</v>
      </c>
      <c r="M266" s="4" t="s">
        <v>865</v>
      </c>
      <c r="N266" s="2"/>
      <c r="O266" s="2"/>
      <c r="P266" s="2"/>
      <c r="Q266" s="2"/>
      <c r="R266" s="2"/>
      <c r="S266" s="2"/>
      <c r="T266" s="2"/>
      <c r="U266" s="2"/>
      <c r="V266" s="2"/>
      <c r="W266" s="2"/>
      <c r="X266" s="2"/>
      <c r="Y266" s="2"/>
      <c r="Z266" s="2"/>
    </row>
    <row r="267" spans="1:26" ht="19.5" customHeight="1">
      <c r="A267" s="4" t="s">
        <v>866</v>
      </c>
      <c r="B267" s="4" t="s">
        <v>867</v>
      </c>
      <c r="C267" s="6">
        <v>1</v>
      </c>
      <c r="D267" s="4" t="s">
        <v>868</v>
      </c>
      <c r="E267" s="6">
        <v>90</v>
      </c>
      <c r="F267" s="6">
        <v>35</v>
      </c>
      <c r="G267" s="6">
        <v>3</v>
      </c>
      <c r="H267" s="6">
        <v>0</v>
      </c>
      <c r="I267" s="6">
        <v>3</v>
      </c>
      <c r="J267" s="6">
        <v>15</v>
      </c>
      <c r="K267" s="6">
        <v>28</v>
      </c>
      <c r="L267" s="6">
        <v>0</v>
      </c>
      <c r="M267" s="4" t="s">
        <v>869</v>
      </c>
      <c r="N267" s="2"/>
      <c r="O267" s="2"/>
      <c r="P267" s="2"/>
      <c r="Q267" s="2"/>
      <c r="R267" s="2"/>
      <c r="S267" s="2"/>
      <c r="T267" s="2"/>
      <c r="U267" s="2"/>
      <c r="V267" s="2"/>
      <c r="W267" s="2"/>
      <c r="X267" s="2"/>
      <c r="Y267" s="2"/>
      <c r="Z267" s="2"/>
    </row>
    <row r="268" spans="1:26" ht="19.5" customHeight="1">
      <c r="A268" s="4" t="s">
        <v>870</v>
      </c>
      <c r="B268" s="4" t="s">
        <v>871</v>
      </c>
      <c r="C268" s="6">
        <v>1</v>
      </c>
      <c r="D268" s="4" t="s">
        <v>599</v>
      </c>
      <c r="E268" s="6">
        <v>200</v>
      </c>
      <c r="F268" s="6">
        <v>21</v>
      </c>
      <c r="G268" s="6">
        <v>21</v>
      </c>
      <c r="H268" s="6">
        <v>8</v>
      </c>
      <c r="I268" s="6">
        <v>1</v>
      </c>
      <c r="J268" s="6">
        <v>280</v>
      </c>
      <c r="K268" s="6">
        <v>15</v>
      </c>
      <c r="L268" s="6">
        <v>5</v>
      </c>
      <c r="M268" s="4" t="s">
        <v>872</v>
      </c>
      <c r="N268" s="2"/>
      <c r="O268" s="2"/>
      <c r="P268" s="2"/>
      <c r="Q268" s="2"/>
      <c r="R268" s="2"/>
      <c r="S268" s="2"/>
      <c r="T268" s="2"/>
      <c r="U268" s="2"/>
      <c r="V268" s="2"/>
      <c r="W268" s="2"/>
      <c r="X268" s="2"/>
      <c r="Y268" s="2"/>
      <c r="Z268" s="2"/>
    </row>
    <row r="269" spans="1:26" ht="19.5" customHeight="1">
      <c r="A269" s="4" t="s">
        <v>873</v>
      </c>
      <c r="B269" s="4" t="s">
        <v>874</v>
      </c>
      <c r="C269" s="6">
        <v>1</v>
      </c>
      <c r="D269" s="4" t="s">
        <v>31</v>
      </c>
      <c r="E269" s="6">
        <v>15</v>
      </c>
      <c r="F269" s="6">
        <v>0</v>
      </c>
      <c r="G269" s="6">
        <v>4</v>
      </c>
      <c r="H269" s="6">
        <v>0</v>
      </c>
      <c r="I269" s="6">
        <v>0</v>
      </c>
      <c r="J269" s="6">
        <v>1490</v>
      </c>
      <c r="K269" s="6">
        <v>0</v>
      </c>
      <c r="L269" s="6">
        <v>0</v>
      </c>
      <c r="M269" s="4" t="s">
        <v>749</v>
      </c>
      <c r="N269" s="2"/>
      <c r="O269" s="2"/>
      <c r="P269" s="2"/>
      <c r="Q269" s="2"/>
      <c r="R269" s="2"/>
      <c r="S269" s="2"/>
      <c r="T269" s="2"/>
      <c r="U269" s="2"/>
      <c r="V269" s="2"/>
      <c r="W269" s="2"/>
      <c r="X269" s="2"/>
      <c r="Y269" s="2"/>
      <c r="Z269" s="2"/>
    </row>
    <row r="270" spans="1:26" ht="19.5" customHeight="1">
      <c r="A270" s="4" t="s">
        <v>875</v>
      </c>
      <c r="B270" s="4" t="s">
        <v>876</v>
      </c>
      <c r="C270" s="6">
        <v>1</v>
      </c>
      <c r="D270" s="4" t="s">
        <v>205</v>
      </c>
      <c r="E270" s="6">
        <v>130</v>
      </c>
      <c r="F270" s="6">
        <v>17</v>
      </c>
      <c r="G270" s="6">
        <v>4</v>
      </c>
      <c r="H270" s="6">
        <v>5</v>
      </c>
      <c r="I270" s="6">
        <v>3</v>
      </c>
      <c r="J270" s="6">
        <v>80</v>
      </c>
      <c r="K270" s="6">
        <v>3</v>
      </c>
      <c r="L270" s="6">
        <v>0</v>
      </c>
      <c r="M270" s="4" t="s">
        <v>877</v>
      </c>
      <c r="N270" s="2"/>
      <c r="O270" s="2"/>
      <c r="P270" s="2"/>
      <c r="Q270" s="2"/>
      <c r="R270" s="2"/>
      <c r="S270" s="2"/>
      <c r="T270" s="2"/>
      <c r="U270" s="2"/>
      <c r="V270" s="2"/>
      <c r="W270" s="2"/>
      <c r="X270" s="2"/>
      <c r="Y270" s="2"/>
      <c r="Z270" s="2"/>
    </row>
    <row r="271" spans="1:26" ht="19.5" customHeight="1">
      <c r="A271" s="4" t="s">
        <v>878</v>
      </c>
      <c r="B271" s="4" t="s">
        <v>879</v>
      </c>
      <c r="C271" s="6">
        <v>1</v>
      </c>
      <c r="D271" s="4" t="s">
        <v>880</v>
      </c>
      <c r="E271" s="6">
        <v>130</v>
      </c>
      <c r="F271" s="6">
        <v>18</v>
      </c>
      <c r="G271" s="6">
        <v>4</v>
      </c>
      <c r="H271" s="6">
        <v>5</v>
      </c>
      <c r="I271" s="6">
        <v>2</v>
      </c>
      <c r="J271" s="6">
        <v>170</v>
      </c>
      <c r="K271" s="6">
        <v>3</v>
      </c>
      <c r="L271" s="6">
        <v>0</v>
      </c>
      <c r="M271" s="4" t="s">
        <v>881</v>
      </c>
      <c r="N271" s="2"/>
      <c r="O271" s="2"/>
      <c r="P271" s="2"/>
      <c r="Q271" s="2"/>
      <c r="R271" s="2"/>
      <c r="S271" s="2"/>
      <c r="T271" s="2"/>
      <c r="U271" s="2"/>
      <c r="V271" s="2"/>
      <c r="W271" s="2"/>
      <c r="X271" s="2"/>
      <c r="Y271" s="2"/>
      <c r="Z271" s="2"/>
    </row>
    <row r="272" spans="1:26" ht="19.5" customHeight="1">
      <c r="A272" s="4" t="s">
        <v>882</v>
      </c>
      <c r="B272" s="4" t="s">
        <v>883</v>
      </c>
      <c r="C272" s="6">
        <v>1</v>
      </c>
      <c r="D272" s="4" t="s">
        <v>205</v>
      </c>
      <c r="E272" s="6">
        <v>80</v>
      </c>
      <c r="F272" s="7" t="s">
        <v>173</v>
      </c>
      <c r="G272" s="6">
        <v>3</v>
      </c>
      <c r="H272" s="6">
        <v>3</v>
      </c>
      <c r="I272" s="6">
        <v>4</v>
      </c>
      <c r="J272" s="6">
        <v>430</v>
      </c>
      <c r="K272" s="6">
        <v>0</v>
      </c>
      <c r="L272" s="6">
        <v>0</v>
      </c>
      <c r="M272" s="4" t="s">
        <v>884</v>
      </c>
      <c r="N272" s="2"/>
      <c r="O272" s="2"/>
      <c r="P272" s="2"/>
      <c r="Q272" s="2"/>
      <c r="R272" s="2"/>
      <c r="S272" s="2"/>
      <c r="T272" s="2"/>
      <c r="U272" s="2"/>
      <c r="V272" s="2"/>
      <c r="W272" s="2"/>
      <c r="X272" s="2"/>
      <c r="Y272" s="2"/>
      <c r="Z272" s="2"/>
    </row>
    <row r="273" spans="1:26" ht="19.5" customHeight="1">
      <c r="A273" s="4" t="s">
        <v>885</v>
      </c>
      <c r="B273" s="4" t="s">
        <v>886</v>
      </c>
      <c r="C273" s="6">
        <v>1</v>
      </c>
      <c r="D273" s="4" t="s">
        <v>205</v>
      </c>
      <c r="E273" s="6">
        <v>80</v>
      </c>
      <c r="F273" s="6">
        <v>7</v>
      </c>
      <c r="G273" s="6">
        <v>7</v>
      </c>
      <c r="H273" s="6">
        <v>3.5</v>
      </c>
      <c r="I273" s="6">
        <v>4</v>
      </c>
      <c r="J273" s="6">
        <v>480</v>
      </c>
      <c r="K273" s="6">
        <v>2</v>
      </c>
      <c r="L273" s="6">
        <v>0</v>
      </c>
      <c r="M273" s="4" t="s">
        <v>887</v>
      </c>
      <c r="N273" s="2"/>
      <c r="O273" s="2"/>
      <c r="P273" s="2"/>
      <c r="Q273" s="2"/>
      <c r="R273" s="2"/>
      <c r="S273" s="2"/>
      <c r="T273" s="2"/>
      <c r="U273" s="2"/>
      <c r="V273" s="2"/>
      <c r="W273" s="2"/>
      <c r="X273" s="2"/>
      <c r="Y273" s="2"/>
      <c r="Z273" s="2"/>
    </row>
    <row r="274" spans="1:26" ht="19.5" customHeight="1">
      <c r="A274" s="4" t="s">
        <v>888</v>
      </c>
      <c r="B274" s="4" t="s">
        <v>889</v>
      </c>
      <c r="C274" s="6">
        <v>1</v>
      </c>
      <c r="D274" s="4" t="s">
        <v>205</v>
      </c>
      <c r="E274" s="6">
        <v>70</v>
      </c>
      <c r="F274" s="6">
        <v>4</v>
      </c>
      <c r="G274" s="6">
        <v>7</v>
      </c>
      <c r="H274" s="6">
        <v>3.5</v>
      </c>
      <c r="I274" s="6">
        <v>1</v>
      </c>
      <c r="J274" s="6">
        <v>500</v>
      </c>
      <c r="K274" s="6">
        <v>2</v>
      </c>
      <c r="L274" s="6">
        <v>0</v>
      </c>
      <c r="M274" s="4" t="s">
        <v>890</v>
      </c>
      <c r="N274" s="2"/>
      <c r="O274" s="2"/>
      <c r="P274" s="2"/>
      <c r="Q274" s="2"/>
      <c r="R274" s="2"/>
      <c r="S274" s="2"/>
      <c r="T274" s="2"/>
      <c r="U274" s="2"/>
      <c r="V274" s="2"/>
      <c r="W274" s="2"/>
      <c r="X274" s="2"/>
      <c r="Y274" s="2"/>
      <c r="Z274" s="2"/>
    </row>
    <row r="275" spans="1:26" ht="19.5" customHeight="1">
      <c r="A275" s="4" t="s">
        <v>891</v>
      </c>
      <c r="B275" s="4" t="s">
        <v>892</v>
      </c>
      <c r="C275" s="6">
        <v>1</v>
      </c>
      <c r="D275" s="4" t="s">
        <v>31</v>
      </c>
      <c r="E275" s="6">
        <v>10</v>
      </c>
      <c r="F275" s="6">
        <v>1</v>
      </c>
      <c r="G275" s="6">
        <v>0</v>
      </c>
      <c r="H275" s="6">
        <v>0</v>
      </c>
      <c r="I275" s="6">
        <v>1</v>
      </c>
      <c r="J275" s="6">
        <v>200</v>
      </c>
      <c r="K275" s="6">
        <v>0</v>
      </c>
      <c r="L275" s="6">
        <v>0</v>
      </c>
      <c r="M275" s="4" t="s">
        <v>893</v>
      </c>
      <c r="N275" s="2"/>
      <c r="O275" s="2"/>
      <c r="P275" s="2"/>
      <c r="Q275" s="2"/>
      <c r="R275" s="2"/>
      <c r="S275" s="2"/>
      <c r="T275" s="2"/>
      <c r="U275" s="2"/>
      <c r="V275" s="2"/>
      <c r="W275" s="2"/>
      <c r="X275" s="2"/>
      <c r="Y275" s="2"/>
      <c r="Z275" s="2"/>
    </row>
    <row r="276" spans="1:26" ht="19.5" customHeight="1">
      <c r="A276" s="4" t="s">
        <v>894</v>
      </c>
      <c r="B276" s="4" t="s">
        <v>895</v>
      </c>
      <c r="C276" s="6">
        <v>1</v>
      </c>
      <c r="D276" s="4" t="s">
        <v>896</v>
      </c>
      <c r="E276" s="6">
        <v>60</v>
      </c>
      <c r="F276" s="6">
        <v>15</v>
      </c>
      <c r="G276" s="6">
        <v>0</v>
      </c>
      <c r="H276" s="6">
        <v>0</v>
      </c>
      <c r="I276" s="6">
        <v>14</v>
      </c>
      <c r="J276" s="6">
        <v>0</v>
      </c>
      <c r="K276" s="6">
        <v>1</v>
      </c>
      <c r="L276" s="6">
        <v>0</v>
      </c>
      <c r="M276" s="4" t="s">
        <v>897</v>
      </c>
      <c r="N276" s="2"/>
      <c r="O276" s="2"/>
      <c r="P276" s="2"/>
      <c r="Q276" s="2"/>
      <c r="R276" s="2"/>
      <c r="S276" s="2"/>
      <c r="T276" s="2"/>
      <c r="U276" s="2"/>
      <c r="V276" s="2"/>
      <c r="W276" s="2"/>
      <c r="X276" s="2"/>
      <c r="Y276" s="2"/>
      <c r="Z276" s="2"/>
    </row>
    <row r="277" spans="1:26" ht="19.5" customHeight="1">
      <c r="A277" s="4" t="s">
        <v>898</v>
      </c>
      <c r="B277" s="4" t="s">
        <v>899</v>
      </c>
      <c r="C277" s="6">
        <v>1</v>
      </c>
      <c r="D277" s="4" t="s">
        <v>599</v>
      </c>
      <c r="E277" s="6">
        <v>180</v>
      </c>
      <c r="F277" s="6">
        <v>29</v>
      </c>
      <c r="G277" s="6">
        <v>16</v>
      </c>
      <c r="H277" s="6">
        <v>9</v>
      </c>
      <c r="I277" s="6">
        <v>12</v>
      </c>
      <c r="J277" s="6">
        <v>230</v>
      </c>
      <c r="K277" s="6">
        <v>10</v>
      </c>
      <c r="L277" s="6">
        <v>10</v>
      </c>
      <c r="M277" s="4" t="s">
        <v>900</v>
      </c>
      <c r="N277" s="2"/>
      <c r="O277" s="2"/>
      <c r="P277" s="2"/>
      <c r="Q277" s="2"/>
      <c r="R277" s="2"/>
      <c r="S277" s="2"/>
      <c r="T277" s="2"/>
      <c r="U277" s="2"/>
      <c r="V277" s="2"/>
      <c r="W277" s="2"/>
      <c r="X277" s="2"/>
      <c r="Y277" s="2"/>
      <c r="Z277" s="2"/>
    </row>
    <row r="278" spans="1:26" ht="19.5" customHeight="1">
      <c r="A278" s="4" t="s">
        <v>901</v>
      </c>
      <c r="B278" s="4" t="s">
        <v>902</v>
      </c>
      <c r="C278" s="6">
        <v>1</v>
      </c>
      <c r="D278" s="4" t="s">
        <v>778</v>
      </c>
      <c r="E278" s="6">
        <v>160</v>
      </c>
      <c r="F278" s="6">
        <v>19</v>
      </c>
      <c r="G278" s="6">
        <v>11</v>
      </c>
      <c r="H278" s="6">
        <v>4.5</v>
      </c>
      <c r="I278" s="6">
        <v>17</v>
      </c>
      <c r="J278" s="6">
        <v>60</v>
      </c>
      <c r="K278" s="7" t="s">
        <v>176</v>
      </c>
      <c r="L278" s="6">
        <v>20</v>
      </c>
      <c r="M278" s="4" t="s">
        <v>903</v>
      </c>
      <c r="N278" s="2"/>
      <c r="O278" s="2"/>
      <c r="P278" s="2"/>
      <c r="Q278" s="2"/>
      <c r="R278" s="2"/>
      <c r="S278" s="2"/>
      <c r="T278" s="2"/>
      <c r="U278" s="2"/>
      <c r="V278" s="2"/>
      <c r="W278" s="2"/>
      <c r="X278" s="2"/>
      <c r="Y278" s="2"/>
      <c r="Z278" s="2"/>
    </row>
    <row r="279" spans="1:26" ht="19.5" customHeight="1">
      <c r="A279" s="4" t="s">
        <v>904</v>
      </c>
      <c r="B279" s="4" t="s">
        <v>905</v>
      </c>
      <c r="C279" s="6">
        <v>1</v>
      </c>
      <c r="D279" s="4" t="s">
        <v>599</v>
      </c>
      <c r="E279" s="6">
        <v>200</v>
      </c>
      <c r="F279" s="6">
        <v>22</v>
      </c>
      <c r="G279" s="6">
        <v>20</v>
      </c>
      <c r="H279" s="6">
        <v>8</v>
      </c>
      <c r="I279" s="6">
        <v>1</v>
      </c>
      <c r="J279" s="6">
        <v>210</v>
      </c>
      <c r="K279" s="6">
        <v>16</v>
      </c>
      <c r="L279" s="6">
        <v>5</v>
      </c>
      <c r="M279" s="4" t="s">
        <v>906</v>
      </c>
      <c r="N279" s="2"/>
      <c r="O279" s="2"/>
      <c r="P279" s="2"/>
      <c r="Q279" s="2"/>
      <c r="R279" s="2"/>
      <c r="S279" s="2"/>
      <c r="T279" s="2"/>
      <c r="U279" s="2"/>
      <c r="V279" s="2"/>
      <c r="W279" s="2"/>
      <c r="X279" s="2"/>
      <c r="Y279" s="2"/>
      <c r="Z279" s="2"/>
    </row>
    <row r="280" spans="1:26" ht="19.5" customHeight="1">
      <c r="A280" s="4" t="s">
        <v>907</v>
      </c>
      <c r="B280" s="4" t="s">
        <v>908</v>
      </c>
      <c r="C280" s="7" t="s">
        <v>176</v>
      </c>
      <c r="D280" s="4" t="s">
        <v>909</v>
      </c>
      <c r="E280" s="6">
        <v>200</v>
      </c>
      <c r="F280" s="6">
        <v>19</v>
      </c>
      <c r="G280" s="6">
        <v>16</v>
      </c>
      <c r="H280" s="6">
        <v>6</v>
      </c>
      <c r="I280" s="6">
        <v>2</v>
      </c>
      <c r="J280" s="6">
        <v>490</v>
      </c>
      <c r="K280" s="6">
        <v>2</v>
      </c>
      <c r="L280" s="6">
        <v>40</v>
      </c>
      <c r="M280" s="4" t="s">
        <v>910</v>
      </c>
      <c r="N280" s="2"/>
      <c r="O280" s="2"/>
      <c r="P280" s="2"/>
      <c r="Q280" s="2"/>
      <c r="R280" s="2"/>
      <c r="S280" s="2"/>
      <c r="T280" s="2"/>
      <c r="U280" s="2"/>
      <c r="V280" s="2"/>
      <c r="W280" s="2"/>
      <c r="X280" s="2"/>
      <c r="Y280" s="2"/>
      <c r="Z280" s="2"/>
    </row>
    <row r="281" spans="1:26" ht="19.5" customHeight="1">
      <c r="A281" s="4" t="s">
        <v>911</v>
      </c>
      <c r="B281" s="4" t="s">
        <v>912</v>
      </c>
      <c r="C281" s="6">
        <v>1</v>
      </c>
      <c r="D281" s="4" t="s">
        <v>909</v>
      </c>
      <c r="E281" s="6">
        <v>210</v>
      </c>
      <c r="F281" s="6">
        <v>17</v>
      </c>
      <c r="G281" s="6">
        <v>14</v>
      </c>
      <c r="H281" s="6">
        <v>10</v>
      </c>
      <c r="I281" s="7" t="s">
        <v>18</v>
      </c>
      <c r="J281" s="6">
        <v>510</v>
      </c>
      <c r="K281" s="6">
        <v>2</v>
      </c>
      <c r="L281" s="6">
        <v>90</v>
      </c>
      <c r="M281" s="4" t="s">
        <v>913</v>
      </c>
      <c r="N281" s="2"/>
      <c r="O281" s="2"/>
      <c r="P281" s="2"/>
      <c r="Q281" s="2"/>
      <c r="R281" s="2"/>
      <c r="S281" s="2"/>
      <c r="T281" s="2"/>
      <c r="U281" s="2"/>
      <c r="V281" s="2"/>
      <c r="W281" s="2"/>
      <c r="X281" s="2"/>
      <c r="Y281" s="2"/>
      <c r="Z281" s="2"/>
    </row>
    <row r="282" spans="1:26" ht="19.5" customHeight="1">
      <c r="A282" s="4" t="s">
        <v>914</v>
      </c>
      <c r="B282" s="4" t="s">
        <v>915</v>
      </c>
      <c r="C282" s="6">
        <v>1</v>
      </c>
      <c r="D282" s="4" t="s">
        <v>200</v>
      </c>
      <c r="E282" s="6">
        <v>60</v>
      </c>
      <c r="F282" s="6">
        <v>11</v>
      </c>
      <c r="G282" s="6">
        <v>2</v>
      </c>
      <c r="H282" s="6">
        <v>2</v>
      </c>
      <c r="I282" s="6">
        <v>5</v>
      </c>
      <c r="J282" s="6">
        <v>45</v>
      </c>
      <c r="K282" s="6">
        <v>1</v>
      </c>
      <c r="L282" s="6">
        <v>15</v>
      </c>
      <c r="M282" s="4" t="s">
        <v>916</v>
      </c>
      <c r="N282" s="2"/>
      <c r="O282" s="2"/>
      <c r="P282" s="2"/>
      <c r="Q282" s="2"/>
      <c r="R282" s="2"/>
      <c r="S282" s="2"/>
      <c r="T282" s="2"/>
      <c r="U282" s="2"/>
      <c r="V282" s="2"/>
      <c r="W282" s="2"/>
      <c r="X282" s="2"/>
      <c r="Y282" s="2"/>
      <c r="Z282" s="2"/>
    </row>
    <row r="283" spans="1:26" ht="19.5" customHeight="1">
      <c r="A283" s="4" t="s">
        <v>917</v>
      </c>
      <c r="B283" s="4" t="s">
        <v>918</v>
      </c>
      <c r="C283" s="6">
        <v>1</v>
      </c>
      <c r="D283" s="4" t="s">
        <v>624</v>
      </c>
      <c r="E283" s="6">
        <v>80</v>
      </c>
      <c r="F283" s="6">
        <v>8</v>
      </c>
      <c r="G283" s="6">
        <v>2</v>
      </c>
      <c r="H283" s="6">
        <v>4</v>
      </c>
      <c r="I283" s="6">
        <v>2</v>
      </c>
      <c r="J283" s="6">
        <v>80</v>
      </c>
      <c r="K283" s="6">
        <v>1</v>
      </c>
      <c r="L283" s="6">
        <v>25</v>
      </c>
      <c r="M283" s="4" t="s">
        <v>919</v>
      </c>
      <c r="N283" s="2"/>
      <c r="O283" s="2"/>
      <c r="P283" s="2"/>
      <c r="Q283" s="2"/>
      <c r="R283" s="2"/>
      <c r="S283" s="2"/>
      <c r="T283" s="2"/>
      <c r="U283" s="2"/>
      <c r="V283" s="2"/>
      <c r="W283" s="2"/>
      <c r="X283" s="2"/>
      <c r="Y283" s="2"/>
      <c r="Z283" s="2"/>
    </row>
    <row r="284" spans="1:26" ht="19.5" customHeight="1">
      <c r="A284" s="4" t="s">
        <v>920</v>
      </c>
      <c r="B284" s="4" t="s">
        <v>921</v>
      </c>
      <c r="C284" s="6">
        <v>1</v>
      </c>
      <c r="D284" s="4" t="s">
        <v>922</v>
      </c>
      <c r="E284" s="6">
        <v>80</v>
      </c>
      <c r="F284" s="6">
        <v>6</v>
      </c>
      <c r="G284" s="6">
        <v>5</v>
      </c>
      <c r="H284" s="6">
        <v>4.5</v>
      </c>
      <c r="I284" s="6">
        <v>1</v>
      </c>
      <c r="J284" s="6">
        <v>170</v>
      </c>
      <c r="K284" s="6">
        <v>1</v>
      </c>
      <c r="L284" s="6">
        <v>70</v>
      </c>
      <c r="M284" s="4" t="s">
        <v>923</v>
      </c>
      <c r="N284" s="2"/>
      <c r="O284" s="2"/>
      <c r="P284" s="2"/>
      <c r="Q284" s="2"/>
      <c r="R284" s="2"/>
      <c r="S284" s="2"/>
      <c r="T284" s="2"/>
      <c r="U284" s="2"/>
      <c r="V284" s="2"/>
      <c r="W284" s="2"/>
      <c r="X284" s="2"/>
      <c r="Y284" s="2"/>
      <c r="Z284" s="2"/>
    </row>
    <row r="285" spans="1:26" ht="19.5" customHeight="1">
      <c r="A285" s="4" t="s">
        <v>924</v>
      </c>
      <c r="B285" s="4" t="s">
        <v>925</v>
      </c>
      <c r="C285" s="6">
        <v>1</v>
      </c>
      <c r="D285" s="4" t="s">
        <v>909</v>
      </c>
      <c r="E285" s="6">
        <v>240</v>
      </c>
      <c r="F285" s="6">
        <v>20</v>
      </c>
      <c r="G285" s="6">
        <v>14</v>
      </c>
      <c r="H285" s="6">
        <v>12</v>
      </c>
      <c r="I285" s="6">
        <v>3</v>
      </c>
      <c r="J285" s="6">
        <v>700</v>
      </c>
      <c r="K285" s="6">
        <v>3</v>
      </c>
      <c r="L285" s="6">
        <v>160</v>
      </c>
      <c r="M285" s="4" t="s">
        <v>926</v>
      </c>
      <c r="N285" s="2"/>
      <c r="O285" s="2"/>
      <c r="P285" s="2"/>
      <c r="Q285" s="2"/>
      <c r="R285" s="2"/>
      <c r="S285" s="2"/>
      <c r="T285" s="2"/>
      <c r="U285" s="2"/>
      <c r="V285" s="2"/>
      <c r="W285" s="2"/>
      <c r="X285" s="2"/>
      <c r="Y285" s="2"/>
      <c r="Z285" s="2"/>
    </row>
    <row r="286" spans="1:26" ht="19.5" customHeight="1">
      <c r="A286" s="4" t="s">
        <v>927</v>
      </c>
      <c r="B286" s="4" t="s">
        <v>928</v>
      </c>
      <c r="C286" s="6">
        <v>1</v>
      </c>
      <c r="D286" s="4" t="s">
        <v>929</v>
      </c>
      <c r="E286" s="6">
        <v>80</v>
      </c>
      <c r="F286" s="6">
        <v>19</v>
      </c>
      <c r="G286" s="6">
        <v>3</v>
      </c>
      <c r="H286" s="7" t="s">
        <v>930</v>
      </c>
      <c r="I286" s="7" t="s">
        <v>125</v>
      </c>
      <c r="J286" s="6">
        <v>60</v>
      </c>
      <c r="K286" s="6">
        <v>2</v>
      </c>
      <c r="L286" s="6">
        <v>0</v>
      </c>
      <c r="M286" s="4" t="s">
        <v>931</v>
      </c>
      <c r="N286" s="2"/>
      <c r="O286" s="2"/>
      <c r="P286" s="2"/>
      <c r="Q286" s="2"/>
      <c r="R286" s="2"/>
      <c r="S286" s="2"/>
      <c r="T286" s="2"/>
      <c r="U286" s="2"/>
      <c r="V286" s="2"/>
      <c r="W286" s="2"/>
      <c r="X286" s="2"/>
      <c r="Y286" s="2"/>
      <c r="Z286" s="2"/>
    </row>
    <row r="287" spans="1:26" ht="19.5" customHeight="1">
      <c r="A287" s="4" t="s">
        <v>932</v>
      </c>
      <c r="B287" s="4" t="s">
        <v>933</v>
      </c>
      <c r="C287" s="6">
        <v>1</v>
      </c>
      <c r="D287" s="4" t="s">
        <v>778</v>
      </c>
      <c r="E287" s="6">
        <v>110</v>
      </c>
      <c r="F287" s="6">
        <v>12</v>
      </c>
      <c r="G287" s="6">
        <v>15</v>
      </c>
      <c r="H287" s="6">
        <v>0</v>
      </c>
      <c r="I287" s="6">
        <v>9</v>
      </c>
      <c r="J287" s="6">
        <v>55</v>
      </c>
      <c r="K287" s="6">
        <v>0</v>
      </c>
      <c r="L287" s="6">
        <v>10</v>
      </c>
      <c r="M287" s="4" t="s">
        <v>934</v>
      </c>
      <c r="N287" s="2"/>
      <c r="O287" s="2"/>
      <c r="P287" s="2"/>
      <c r="Q287" s="2"/>
      <c r="R287" s="2"/>
      <c r="S287" s="2"/>
      <c r="T287" s="2"/>
      <c r="U287" s="2"/>
      <c r="V287" s="2"/>
      <c r="W287" s="2"/>
      <c r="X287" s="2"/>
      <c r="Y287" s="2"/>
      <c r="Z287" s="2"/>
    </row>
    <row r="288" spans="1:26" ht="19.5" customHeight="1">
      <c r="A288" s="4" t="s">
        <v>935</v>
      </c>
      <c r="B288" s="4" t="s">
        <v>936</v>
      </c>
      <c r="C288" s="6">
        <v>1</v>
      </c>
      <c r="D288" s="4" t="s">
        <v>617</v>
      </c>
      <c r="E288" s="6">
        <v>70</v>
      </c>
      <c r="F288" s="6">
        <v>10</v>
      </c>
      <c r="G288" s="6">
        <v>2</v>
      </c>
      <c r="H288" s="6">
        <v>2</v>
      </c>
      <c r="I288" s="6">
        <v>7</v>
      </c>
      <c r="J288" s="6">
        <v>8</v>
      </c>
      <c r="K288" s="6">
        <v>4</v>
      </c>
      <c r="L288" s="6">
        <v>0</v>
      </c>
      <c r="M288" s="4" t="s">
        <v>937</v>
      </c>
      <c r="N288" s="2"/>
      <c r="O288" s="2"/>
      <c r="P288" s="2"/>
      <c r="Q288" s="2"/>
      <c r="R288" s="2"/>
      <c r="S288" s="2"/>
      <c r="T288" s="2"/>
      <c r="U288" s="2"/>
      <c r="V288" s="2"/>
      <c r="W288" s="2"/>
      <c r="X288" s="2"/>
      <c r="Y288" s="2"/>
      <c r="Z288" s="2"/>
    </row>
    <row r="289" spans="1:26" ht="19.5" customHeight="1">
      <c r="A289" s="4" t="s">
        <v>938</v>
      </c>
      <c r="B289" s="4" t="s">
        <v>939</v>
      </c>
      <c r="C289" s="6">
        <v>1</v>
      </c>
      <c r="D289" s="4" t="s">
        <v>617</v>
      </c>
      <c r="E289" s="6">
        <v>70</v>
      </c>
      <c r="F289" s="6">
        <v>10</v>
      </c>
      <c r="G289" s="6">
        <v>2</v>
      </c>
      <c r="H289" s="6">
        <v>2</v>
      </c>
      <c r="I289" s="6">
        <v>7</v>
      </c>
      <c r="J289" s="6">
        <v>8</v>
      </c>
      <c r="K289" s="6">
        <v>4</v>
      </c>
      <c r="L289" s="6">
        <v>0</v>
      </c>
      <c r="M289" s="4" t="s">
        <v>940</v>
      </c>
      <c r="N289" s="2"/>
      <c r="O289" s="2"/>
      <c r="P289" s="2"/>
      <c r="Q289" s="2"/>
      <c r="R289" s="2"/>
      <c r="S289" s="2"/>
      <c r="T289" s="2"/>
      <c r="U289" s="2"/>
      <c r="V289" s="2"/>
      <c r="W289" s="2"/>
      <c r="X289" s="2"/>
      <c r="Y289" s="2"/>
      <c r="Z289" s="2"/>
    </row>
    <row r="290" spans="1:26" ht="19.5" customHeight="1">
      <c r="A290" s="4" t="s">
        <v>941</v>
      </c>
      <c r="B290" s="4" t="s">
        <v>942</v>
      </c>
      <c r="C290" s="6">
        <v>1</v>
      </c>
      <c r="D290" s="4" t="s">
        <v>613</v>
      </c>
      <c r="E290" s="6">
        <v>190</v>
      </c>
      <c r="F290" s="6">
        <v>21</v>
      </c>
      <c r="G290" s="6">
        <v>12</v>
      </c>
      <c r="H290" s="6">
        <v>6</v>
      </c>
      <c r="I290" s="6">
        <v>1</v>
      </c>
      <c r="J290" s="6">
        <v>430</v>
      </c>
      <c r="K290" s="6">
        <v>5</v>
      </c>
      <c r="L290" s="6">
        <v>5</v>
      </c>
      <c r="M290" s="4" t="s">
        <v>943</v>
      </c>
      <c r="N290" s="2"/>
      <c r="O290" s="2"/>
      <c r="P290" s="2"/>
      <c r="Q290" s="2"/>
      <c r="R290" s="2"/>
      <c r="S290" s="2"/>
      <c r="T290" s="2"/>
      <c r="U290" s="2"/>
      <c r="V290" s="2"/>
      <c r="W290" s="2"/>
      <c r="X290" s="2"/>
      <c r="Y290" s="2"/>
      <c r="Z290" s="2"/>
    </row>
    <row r="291" spans="1:26" ht="19.5" customHeight="1">
      <c r="A291" s="4" t="s">
        <v>944</v>
      </c>
      <c r="B291" s="4" t="s">
        <v>945</v>
      </c>
      <c r="C291" s="7" t="s">
        <v>176</v>
      </c>
      <c r="D291" s="4" t="s">
        <v>31</v>
      </c>
      <c r="E291" s="6">
        <v>5</v>
      </c>
      <c r="F291" s="6">
        <v>1</v>
      </c>
      <c r="G291" s="6">
        <v>0</v>
      </c>
      <c r="H291" s="6">
        <v>0</v>
      </c>
      <c r="I291" s="6">
        <v>0</v>
      </c>
      <c r="J291" s="6">
        <v>50</v>
      </c>
      <c r="K291" s="6">
        <v>0</v>
      </c>
      <c r="L291" s="6">
        <v>0</v>
      </c>
      <c r="M291" s="4" t="s">
        <v>946</v>
      </c>
      <c r="N291" s="2"/>
      <c r="O291" s="2"/>
      <c r="P291" s="2"/>
      <c r="Q291" s="2"/>
      <c r="R291" s="2"/>
      <c r="S291" s="2"/>
      <c r="T291" s="2"/>
      <c r="U291" s="2"/>
      <c r="V291" s="2"/>
      <c r="W291" s="2"/>
      <c r="X291" s="2"/>
      <c r="Y291" s="2"/>
      <c r="Z291" s="2"/>
    </row>
    <row r="292" spans="1:26" ht="19.5" customHeight="1">
      <c r="A292" s="4" t="s">
        <v>947</v>
      </c>
      <c r="B292" s="4" t="s">
        <v>948</v>
      </c>
      <c r="C292" s="6">
        <v>1</v>
      </c>
      <c r="D292" s="4" t="s">
        <v>949</v>
      </c>
      <c r="E292" s="6">
        <v>80</v>
      </c>
      <c r="F292" s="6">
        <v>14</v>
      </c>
      <c r="G292" s="6">
        <v>4</v>
      </c>
      <c r="H292" s="6">
        <v>0.5</v>
      </c>
      <c r="I292" s="6">
        <v>0</v>
      </c>
      <c r="J292" s="6">
        <v>170</v>
      </c>
      <c r="K292" s="6">
        <v>5</v>
      </c>
      <c r="L292" s="6">
        <v>0</v>
      </c>
      <c r="M292" s="4" t="s">
        <v>950</v>
      </c>
      <c r="N292" s="2"/>
      <c r="O292" s="2"/>
      <c r="P292" s="2"/>
      <c r="Q292" s="2"/>
      <c r="R292" s="2"/>
      <c r="S292" s="2"/>
      <c r="T292" s="2"/>
      <c r="U292" s="2"/>
      <c r="V292" s="2"/>
      <c r="W292" s="2"/>
      <c r="X292" s="2"/>
      <c r="Y292" s="2"/>
      <c r="Z292" s="2"/>
    </row>
    <row r="293" spans="1:26" ht="19.5" customHeight="1">
      <c r="A293" s="4" t="s">
        <v>951</v>
      </c>
      <c r="B293" s="4" t="s">
        <v>952</v>
      </c>
      <c r="C293" s="6">
        <v>1</v>
      </c>
      <c r="D293" s="4" t="s">
        <v>727</v>
      </c>
      <c r="E293" s="6">
        <v>0</v>
      </c>
      <c r="F293" s="6">
        <v>0</v>
      </c>
      <c r="G293" s="6">
        <v>0</v>
      </c>
      <c r="H293" s="6">
        <v>0</v>
      </c>
      <c r="I293" s="6">
        <v>0</v>
      </c>
      <c r="J293" s="6">
        <v>0</v>
      </c>
      <c r="K293" s="6">
        <v>0</v>
      </c>
      <c r="L293" s="6">
        <v>0</v>
      </c>
      <c r="M293" s="4" t="s">
        <v>953</v>
      </c>
      <c r="N293" s="2"/>
      <c r="O293" s="2"/>
      <c r="P293" s="2"/>
      <c r="Q293" s="2"/>
      <c r="R293" s="2"/>
      <c r="S293" s="2"/>
      <c r="T293" s="2"/>
      <c r="U293" s="2"/>
      <c r="V293" s="2"/>
      <c r="W293" s="2"/>
      <c r="X293" s="2"/>
      <c r="Y293" s="2"/>
      <c r="Z293" s="2"/>
    </row>
    <row r="294" spans="1:26" ht="19.5" customHeight="1">
      <c r="A294" s="4" t="s">
        <v>954</v>
      </c>
      <c r="B294" s="4" t="s">
        <v>955</v>
      </c>
      <c r="C294" s="6">
        <v>1</v>
      </c>
      <c r="D294" s="4" t="s">
        <v>956</v>
      </c>
      <c r="E294" s="6">
        <v>240</v>
      </c>
      <c r="F294" s="6">
        <v>20</v>
      </c>
      <c r="G294" s="6">
        <v>15</v>
      </c>
      <c r="H294" s="6">
        <v>16</v>
      </c>
      <c r="I294" s="6">
        <v>1</v>
      </c>
      <c r="J294" s="6">
        <v>190</v>
      </c>
      <c r="K294" s="6">
        <v>10</v>
      </c>
      <c r="L294" s="6">
        <v>30</v>
      </c>
      <c r="M294" s="4" t="s">
        <v>957</v>
      </c>
      <c r="N294" s="2"/>
      <c r="O294" s="2"/>
      <c r="P294" s="2"/>
      <c r="Q294" s="2"/>
      <c r="R294" s="2"/>
      <c r="S294" s="2"/>
      <c r="T294" s="2"/>
      <c r="U294" s="2"/>
      <c r="V294" s="2"/>
      <c r="W294" s="2"/>
      <c r="X294" s="2"/>
      <c r="Y294" s="2"/>
      <c r="Z294" s="2"/>
    </row>
    <row r="295" spans="1:26" ht="19.5" customHeight="1">
      <c r="A295" s="4" t="s">
        <v>958</v>
      </c>
      <c r="B295" s="4" t="s">
        <v>959</v>
      </c>
      <c r="C295" s="6">
        <v>1</v>
      </c>
      <c r="D295" s="4" t="s">
        <v>960</v>
      </c>
      <c r="E295" s="6">
        <v>15</v>
      </c>
      <c r="F295" s="6">
        <v>4</v>
      </c>
      <c r="G295" s="6">
        <v>0</v>
      </c>
      <c r="H295" s="6">
        <v>0</v>
      </c>
      <c r="I295" s="6">
        <v>0</v>
      </c>
      <c r="J295" s="6">
        <v>20</v>
      </c>
      <c r="K295" s="6">
        <v>0</v>
      </c>
      <c r="L295" s="6">
        <v>0</v>
      </c>
      <c r="M295" s="4" t="s">
        <v>961</v>
      </c>
      <c r="N295" s="2"/>
      <c r="O295" s="2"/>
      <c r="P295" s="2"/>
      <c r="Q295" s="2"/>
      <c r="R295" s="2"/>
      <c r="S295" s="2"/>
      <c r="T295" s="2"/>
      <c r="U295" s="2"/>
      <c r="V295" s="2"/>
      <c r="W295" s="2"/>
      <c r="X295" s="2"/>
      <c r="Y295" s="2"/>
      <c r="Z295" s="2"/>
    </row>
    <row r="296" spans="1:26" ht="19.5" customHeight="1">
      <c r="A296" s="4" t="s">
        <v>962</v>
      </c>
      <c r="B296" s="4" t="s">
        <v>963</v>
      </c>
      <c r="C296" s="6">
        <v>1</v>
      </c>
      <c r="D296" s="4" t="s">
        <v>778</v>
      </c>
      <c r="E296" s="6">
        <v>150</v>
      </c>
      <c r="F296" s="6">
        <v>10</v>
      </c>
      <c r="G296" s="6">
        <v>17</v>
      </c>
      <c r="H296" s="6">
        <v>5</v>
      </c>
      <c r="I296" s="6">
        <v>9</v>
      </c>
      <c r="J296" s="6">
        <v>350</v>
      </c>
      <c r="K296" s="6">
        <v>0</v>
      </c>
      <c r="L296" s="6">
        <v>25</v>
      </c>
      <c r="M296" s="4" t="s">
        <v>964</v>
      </c>
      <c r="N296" s="2"/>
      <c r="O296" s="2"/>
      <c r="P296" s="2"/>
      <c r="Q296" s="2"/>
      <c r="R296" s="2"/>
      <c r="S296" s="2"/>
      <c r="T296" s="2"/>
      <c r="U296" s="2"/>
      <c r="V296" s="2"/>
      <c r="W296" s="2"/>
      <c r="X296" s="2"/>
      <c r="Y296" s="2"/>
      <c r="Z296" s="2"/>
    </row>
    <row r="297" spans="1:26" ht="19.5" customHeight="1">
      <c r="A297" s="4" t="s">
        <v>965</v>
      </c>
      <c r="B297" s="4" t="s">
        <v>966</v>
      </c>
      <c r="C297" s="6">
        <v>1</v>
      </c>
      <c r="D297" s="4" t="s">
        <v>778</v>
      </c>
      <c r="E297" s="6">
        <v>120</v>
      </c>
      <c r="F297" s="6">
        <v>11</v>
      </c>
      <c r="G297" s="6">
        <v>12</v>
      </c>
      <c r="H297" s="6">
        <v>2.5</v>
      </c>
      <c r="I297" s="6">
        <v>9</v>
      </c>
      <c r="J297" s="6">
        <v>50</v>
      </c>
      <c r="K297" s="6">
        <v>0</v>
      </c>
      <c r="L297" s="6">
        <v>15</v>
      </c>
      <c r="M297" s="4" t="s">
        <v>967</v>
      </c>
      <c r="N297" s="2"/>
      <c r="O297" s="2"/>
      <c r="P297" s="2"/>
      <c r="Q297" s="2"/>
      <c r="R297" s="2"/>
      <c r="S297" s="2"/>
      <c r="T297" s="2"/>
      <c r="U297" s="2"/>
      <c r="V297" s="2"/>
      <c r="W297" s="2"/>
      <c r="X297" s="2"/>
      <c r="Y297" s="2"/>
      <c r="Z297" s="2"/>
    </row>
    <row r="298" spans="1:26" ht="19.5" customHeight="1">
      <c r="A298" s="4" t="s">
        <v>968</v>
      </c>
      <c r="B298" s="4" t="s">
        <v>969</v>
      </c>
      <c r="C298" s="7" t="s">
        <v>176</v>
      </c>
      <c r="D298" s="4" t="s">
        <v>727</v>
      </c>
      <c r="E298" s="6">
        <v>100</v>
      </c>
      <c r="F298" s="7" t="s">
        <v>970</v>
      </c>
      <c r="G298" s="6">
        <v>0</v>
      </c>
      <c r="H298" s="6">
        <v>0</v>
      </c>
      <c r="I298" s="6">
        <v>27</v>
      </c>
      <c r="J298" s="6">
        <v>0</v>
      </c>
      <c r="K298" s="6">
        <v>0</v>
      </c>
      <c r="L298" s="6">
        <v>0</v>
      </c>
      <c r="M298" s="4" t="s">
        <v>971</v>
      </c>
      <c r="N298" s="2"/>
      <c r="O298" s="2"/>
      <c r="P298" s="2"/>
      <c r="Q298" s="2"/>
      <c r="R298" s="2"/>
      <c r="S298" s="2"/>
      <c r="T298" s="2"/>
      <c r="U298" s="2"/>
      <c r="V298" s="2"/>
      <c r="W298" s="2"/>
      <c r="X298" s="2"/>
      <c r="Y298" s="2"/>
      <c r="Z298" s="2"/>
    </row>
    <row r="299" spans="1:26" ht="19.5" customHeight="1">
      <c r="A299" s="4" t="s">
        <v>972</v>
      </c>
      <c r="B299" s="4" t="s">
        <v>973</v>
      </c>
      <c r="C299" s="6">
        <v>1</v>
      </c>
      <c r="D299" s="4" t="s">
        <v>606</v>
      </c>
      <c r="E299" s="6">
        <v>0</v>
      </c>
      <c r="F299" s="6">
        <v>0</v>
      </c>
      <c r="G299" s="6">
        <v>0</v>
      </c>
      <c r="H299" s="6">
        <v>0</v>
      </c>
      <c r="I299" s="6">
        <v>0</v>
      </c>
      <c r="J299" s="6">
        <v>0</v>
      </c>
      <c r="K299" s="6">
        <v>0</v>
      </c>
      <c r="L299" s="6">
        <v>0</v>
      </c>
      <c r="M299" s="4" t="s">
        <v>974</v>
      </c>
      <c r="N299" s="2"/>
      <c r="O299" s="2"/>
      <c r="P299" s="2"/>
      <c r="Q299" s="2"/>
      <c r="R299" s="2"/>
      <c r="S299" s="2"/>
      <c r="T299" s="2"/>
      <c r="U299" s="2"/>
      <c r="V299" s="2"/>
      <c r="W299" s="2"/>
      <c r="X299" s="2"/>
      <c r="Y299" s="2"/>
      <c r="Z299" s="2"/>
    </row>
    <row r="300" spans="1:26" ht="19.5" customHeight="1">
      <c r="A300" s="4" t="s">
        <v>975</v>
      </c>
      <c r="B300" s="4" t="s">
        <v>976</v>
      </c>
      <c r="C300" s="6">
        <v>1</v>
      </c>
      <c r="D300" s="4" t="s">
        <v>606</v>
      </c>
      <c r="E300" s="6">
        <v>0</v>
      </c>
      <c r="F300" s="6">
        <v>0</v>
      </c>
      <c r="G300" s="6">
        <v>0</v>
      </c>
      <c r="H300" s="6">
        <v>0</v>
      </c>
      <c r="I300" s="6">
        <v>0</v>
      </c>
      <c r="J300" s="6">
        <v>25</v>
      </c>
      <c r="K300" s="6">
        <v>0</v>
      </c>
      <c r="L300" s="7" t="s">
        <v>18</v>
      </c>
      <c r="M300" s="4" t="s">
        <v>977</v>
      </c>
      <c r="N300" s="2"/>
      <c r="O300" s="2"/>
      <c r="P300" s="2"/>
      <c r="Q300" s="2"/>
      <c r="R300" s="2"/>
      <c r="S300" s="2"/>
      <c r="T300" s="2"/>
      <c r="U300" s="2"/>
      <c r="V300" s="2"/>
      <c r="W300" s="2"/>
      <c r="X300" s="2"/>
      <c r="Y300" s="2"/>
      <c r="Z300" s="2"/>
    </row>
    <row r="301" spans="1:26" ht="19.5" customHeight="1">
      <c r="A301" s="4" t="s">
        <v>978</v>
      </c>
      <c r="B301" s="4" t="s">
        <v>979</v>
      </c>
      <c r="C301" s="6">
        <v>1</v>
      </c>
      <c r="D301" s="4" t="s">
        <v>606</v>
      </c>
      <c r="E301" s="6">
        <v>0</v>
      </c>
      <c r="F301" s="6">
        <v>0</v>
      </c>
      <c r="G301" s="6">
        <v>0</v>
      </c>
      <c r="H301" s="6">
        <v>0</v>
      </c>
      <c r="I301" s="7" t="s">
        <v>18</v>
      </c>
      <c r="J301" s="6">
        <v>10</v>
      </c>
      <c r="K301" s="6">
        <v>0</v>
      </c>
      <c r="L301" s="6">
        <v>0</v>
      </c>
      <c r="M301" s="4" t="s">
        <v>980</v>
      </c>
      <c r="N301" s="2"/>
      <c r="O301" s="2"/>
      <c r="P301" s="2"/>
      <c r="Q301" s="2"/>
      <c r="R301" s="2"/>
      <c r="S301" s="2"/>
      <c r="T301" s="2"/>
      <c r="U301" s="2"/>
      <c r="V301" s="2"/>
      <c r="W301" s="2"/>
      <c r="X301" s="2"/>
      <c r="Y301" s="2"/>
      <c r="Z301" s="2"/>
    </row>
    <row r="302" spans="1:26" ht="19.5" customHeight="1">
      <c r="A302" s="4" t="s">
        <v>981</v>
      </c>
      <c r="B302" s="4" t="s">
        <v>982</v>
      </c>
      <c r="C302" s="6">
        <v>1</v>
      </c>
      <c r="D302" s="4" t="s">
        <v>606</v>
      </c>
      <c r="E302" s="6">
        <v>0</v>
      </c>
      <c r="F302" s="6">
        <v>0</v>
      </c>
      <c r="G302" s="6">
        <v>0</v>
      </c>
      <c r="H302" s="6">
        <v>0</v>
      </c>
      <c r="I302" s="6">
        <v>0</v>
      </c>
      <c r="J302" s="6">
        <v>0</v>
      </c>
      <c r="K302" s="6">
        <v>0</v>
      </c>
      <c r="L302" s="6">
        <v>0</v>
      </c>
      <c r="M302" s="4" t="s">
        <v>983</v>
      </c>
      <c r="N302" s="2"/>
      <c r="O302" s="2"/>
      <c r="P302" s="2"/>
      <c r="Q302" s="2"/>
      <c r="R302" s="2"/>
      <c r="S302" s="2"/>
      <c r="T302" s="2"/>
      <c r="U302" s="2"/>
      <c r="V302" s="2"/>
      <c r="W302" s="2"/>
      <c r="X302" s="2"/>
      <c r="Y302" s="2"/>
      <c r="Z302" s="2"/>
    </row>
    <row r="303" spans="1:26" ht="19.5" customHeight="1">
      <c r="A303" s="4" t="s">
        <v>984</v>
      </c>
      <c r="B303" s="4" t="s">
        <v>985</v>
      </c>
      <c r="C303" s="6">
        <v>1</v>
      </c>
      <c r="D303" s="4" t="s">
        <v>909</v>
      </c>
      <c r="E303" s="6">
        <v>280</v>
      </c>
      <c r="F303" s="6">
        <v>8</v>
      </c>
      <c r="G303" s="6">
        <v>14</v>
      </c>
      <c r="H303" s="6">
        <v>21</v>
      </c>
      <c r="I303" s="6">
        <v>4</v>
      </c>
      <c r="J303" s="6">
        <v>910</v>
      </c>
      <c r="K303" s="6">
        <v>1</v>
      </c>
      <c r="L303" s="6">
        <v>180</v>
      </c>
      <c r="M303" s="4" t="s">
        <v>986</v>
      </c>
      <c r="N303" s="2"/>
      <c r="O303" s="2"/>
      <c r="P303" s="2"/>
      <c r="Q303" s="2"/>
      <c r="R303" s="2"/>
      <c r="S303" s="2"/>
      <c r="T303" s="2"/>
      <c r="U303" s="2"/>
      <c r="V303" s="2"/>
      <c r="W303" s="2"/>
      <c r="X303" s="2"/>
      <c r="Y303" s="2"/>
      <c r="Z303" s="2"/>
    </row>
    <row r="304" spans="1:26" ht="19.5" customHeight="1">
      <c r="A304" s="4" t="s">
        <v>987</v>
      </c>
      <c r="B304" s="4" t="s">
        <v>988</v>
      </c>
      <c r="C304" s="6">
        <v>1</v>
      </c>
      <c r="D304" s="4" t="s">
        <v>31</v>
      </c>
      <c r="E304" s="6">
        <v>10</v>
      </c>
      <c r="F304" s="6">
        <v>0</v>
      </c>
      <c r="G304" s="6">
        <v>0</v>
      </c>
      <c r="H304" s="6">
        <v>1</v>
      </c>
      <c r="I304" s="6">
        <v>0</v>
      </c>
      <c r="J304" s="6">
        <v>5</v>
      </c>
      <c r="K304" s="6">
        <v>0</v>
      </c>
      <c r="L304" s="6">
        <v>0</v>
      </c>
      <c r="M304" s="4" t="s">
        <v>989</v>
      </c>
      <c r="N304" s="2"/>
      <c r="O304" s="2"/>
      <c r="P304" s="2"/>
      <c r="Q304" s="2"/>
      <c r="R304" s="2"/>
      <c r="S304" s="2"/>
      <c r="T304" s="2"/>
      <c r="U304" s="2"/>
      <c r="V304" s="2"/>
      <c r="W304" s="2"/>
      <c r="X304" s="2"/>
      <c r="Y304" s="2"/>
      <c r="Z304" s="2"/>
    </row>
    <row r="305" spans="1:26" ht="19.5" customHeight="1">
      <c r="A305" s="4" t="s">
        <v>990</v>
      </c>
      <c r="B305" s="4" t="s">
        <v>991</v>
      </c>
      <c r="C305" s="6">
        <v>1</v>
      </c>
      <c r="D305" s="4" t="s">
        <v>31</v>
      </c>
      <c r="E305" s="6">
        <v>54</v>
      </c>
      <c r="F305" s="6">
        <v>2</v>
      </c>
      <c r="G305" s="6">
        <v>0</v>
      </c>
      <c r="H305" s="6">
        <v>5</v>
      </c>
      <c r="I305" s="6">
        <v>2</v>
      </c>
      <c r="J305" s="6">
        <v>105</v>
      </c>
      <c r="K305" s="6">
        <v>0</v>
      </c>
      <c r="L305" s="6">
        <v>0</v>
      </c>
      <c r="M305" s="4" t="s">
        <v>992</v>
      </c>
      <c r="N305" s="2"/>
      <c r="O305" s="2"/>
      <c r="P305" s="2"/>
      <c r="Q305" s="2"/>
      <c r="R305" s="2"/>
      <c r="S305" s="2"/>
      <c r="T305" s="2"/>
      <c r="U305" s="2"/>
      <c r="V305" s="2"/>
      <c r="W305" s="2"/>
      <c r="X305" s="2"/>
      <c r="Y305" s="2"/>
      <c r="Z305" s="2"/>
    </row>
    <row r="306" spans="1:26" ht="19.5" customHeight="1">
      <c r="A306" s="4" t="s">
        <v>993</v>
      </c>
      <c r="B306" s="4" t="s">
        <v>994</v>
      </c>
      <c r="C306" s="6">
        <v>1</v>
      </c>
      <c r="D306" s="4" t="s">
        <v>31</v>
      </c>
      <c r="E306" s="6">
        <v>90</v>
      </c>
      <c r="F306" s="6">
        <v>1</v>
      </c>
      <c r="G306" s="6">
        <v>0</v>
      </c>
      <c r="H306" s="6">
        <v>10</v>
      </c>
      <c r="I306" s="6">
        <v>0</v>
      </c>
      <c r="J306" s="6">
        <v>100</v>
      </c>
      <c r="K306" s="6">
        <v>0</v>
      </c>
      <c r="L306" s="6">
        <v>15</v>
      </c>
      <c r="M306" s="4" t="s">
        <v>995</v>
      </c>
      <c r="N306" s="2"/>
      <c r="O306" s="2"/>
      <c r="P306" s="2"/>
      <c r="Q306" s="2"/>
      <c r="R306" s="2"/>
      <c r="S306" s="2"/>
      <c r="T306" s="2"/>
      <c r="U306" s="2"/>
      <c r="V306" s="2"/>
      <c r="W306" s="2"/>
      <c r="X306" s="2"/>
      <c r="Y306" s="2"/>
      <c r="Z306" s="2"/>
    </row>
    <row r="307" spans="1:26" ht="19.5" customHeight="1">
      <c r="A307" s="4" t="s">
        <v>996</v>
      </c>
      <c r="B307" s="4" t="s">
        <v>997</v>
      </c>
      <c r="C307" s="6">
        <v>1</v>
      </c>
      <c r="D307" s="4" t="s">
        <v>778</v>
      </c>
      <c r="E307" s="7" t="s">
        <v>998</v>
      </c>
      <c r="F307" s="7" t="s">
        <v>999</v>
      </c>
      <c r="G307" s="7" t="s">
        <v>112</v>
      </c>
      <c r="H307" s="7" t="s">
        <v>193</v>
      </c>
      <c r="I307" s="7" t="s">
        <v>293</v>
      </c>
      <c r="J307" s="7" t="s">
        <v>1000</v>
      </c>
      <c r="K307" s="7" t="s">
        <v>176</v>
      </c>
      <c r="L307" s="7" t="s">
        <v>18</v>
      </c>
      <c r="M307" s="4" t="s">
        <v>1001</v>
      </c>
      <c r="N307" s="2"/>
      <c r="O307" s="2"/>
      <c r="P307" s="2"/>
      <c r="Q307" s="2"/>
      <c r="R307" s="2"/>
      <c r="S307" s="2"/>
      <c r="T307" s="2"/>
      <c r="U307" s="2"/>
      <c r="V307" s="2"/>
      <c r="W307" s="2"/>
      <c r="X307" s="2"/>
      <c r="Y307" s="2"/>
      <c r="Z307" s="2"/>
    </row>
    <row r="308" spans="1:26" ht="19.5" customHeight="1">
      <c r="A308" s="4" t="s">
        <v>1002</v>
      </c>
      <c r="B308" s="4" t="s">
        <v>1003</v>
      </c>
      <c r="C308" s="6">
        <v>1</v>
      </c>
      <c r="D308" s="4" t="s">
        <v>31</v>
      </c>
      <c r="E308" s="6">
        <v>72</v>
      </c>
      <c r="F308" s="6">
        <v>15</v>
      </c>
      <c r="G308" s="6">
        <v>0</v>
      </c>
      <c r="H308" s="6">
        <v>0</v>
      </c>
      <c r="I308" s="6">
        <v>14</v>
      </c>
      <c r="J308" s="6">
        <v>0</v>
      </c>
      <c r="K308" s="6">
        <v>0</v>
      </c>
      <c r="L308" s="6">
        <v>0</v>
      </c>
      <c r="M308" s="4" t="s">
        <v>1004</v>
      </c>
      <c r="N308" s="2"/>
      <c r="O308" s="2"/>
      <c r="P308" s="2"/>
      <c r="Q308" s="2"/>
      <c r="R308" s="2"/>
      <c r="S308" s="2"/>
      <c r="T308" s="2"/>
      <c r="U308" s="2"/>
      <c r="V308" s="2"/>
      <c r="W308" s="2"/>
      <c r="X308" s="2"/>
      <c r="Y308" s="2"/>
      <c r="Z308" s="2"/>
    </row>
    <row r="309" spans="1:26" ht="19.5" customHeight="1">
      <c r="A309" s="4" t="s">
        <v>1005</v>
      </c>
      <c r="B309" s="4" t="s">
        <v>1006</v>
      </c>
      <c r="C309" s="6">
        <v>1</v>
      </c>
      <c r="D309" s="4" t="s">
        <v>17</v>
      </c>
      <c r="E309" s="6">
        <v>140</v>
      </c>
      <c r="F309" s="6">
        <v>22</v>
      </c>
      <c r="G309" s="6">
        <v>2</v>
      </c>
      <c r="H309" s="6">
        <v>3</v>
      </c>
      <c r="I309" s="6">
        <v>0</v>
      </c>
      <c r="J309" s="6">
        <v>460</v>
      </c>
      <c r="K309" s="6">
        <v>6</v>
      </c>
      <c r="L309" s="6">
        <v>0</v>
      </c>
      <c r="M309" s="4" t="s">
        <v>1007</v>
      </c>
      <c r="N309" s="2"/>
      <c r="O309" s="2"/>
      <c r="P309" s="2"/>
      <c r="Q309" s="2"/>
      <c r="R309" s="2"/>
      <c r="S309" s="2"/>
      <c r="T309" s="2"/>
      <c r="U309" s="2"/>
      <c r="V309" s="2"/>
      <c r="W309" s="2"/>
      <c r="X309" s="2"/>
      <c r="Y309" s="2"/>
      <c r="Z309" s="2"/>
    </row>
    <row r="310" spans="1:26" ht="19.5" customHeight="1">
      <c r="A310" s="4" t="s">
        <v>1008</v>
      </c>
      <c r="B310" s="4" t="s">
        <v>1009</v>
      </c>
      <c r="C310" s="6">
        <v>1</v>
      </c>
      <c r="D310" s="4" t="s">
        <v>17</v>
      </c>
      <c r="E310" s="6">
        <v>220</v>
      </c>
      <c r="F310" s="6">
        <v>36</v>
      </c>
      <c r="G310" s="6">
        <v>6</v>
      </c>
      <c r="H310" s="6">
        <v>6</v>
      </c>
      <c r="I310" s="6">
        <v>3</v>
      </c>
      <c r="J310" s="7" t="s">
        <v>1010</v>
      </c>
      <c r="K310" s="7" t="s">
        <v>174</v>
      </c>
      <c r="L310" s="7" t="s">
        <v>18</v>
      </c>
      <c r="M310" s="4" t="s">
        <v>1011</v>
      </c>
      <c r="N310" s="2"/>
      <c r="O310" s="2"/>
      <c r="P310" s="2"/>
      <c r="Q310" s="2"/>
      <c r="R310" s="2"/>
      <c r="S310" s="2"/>
      <c r="T310" s="2"/>
      <c r="U310" s="2"/>
      <c r="V310" s="2"/>
      <c r="W310" s="2"/>
      <c r="X310" s="2"/>
      <c r="Y310" s="2"/>
      <c r="Z310" s="2"/>
    </row>
    <row r="311" spans="1:26" ht="19.5" customHeight="1">
      <c r="A311" s="4" t="s">
        <v>1012</v>
      </c>
      <c r="B311" s="4" t="s">
        <v>1013</v>
      </c>
      <c r="C311" s="6">
        <v>1</v>
      </c>
      <c r="D311" s="4" t="s">
        <v>613</v>
      </c>
      <c r="E311" s="7" t="s">
        <v>1014</v>
      </c>
      <c r="F311" s="7" t="s">
        <v>1015</v>
      </c>
      <c r="G311" s="7" t="s">
        <v>201</v>
      </c>
      <c r="H311" s="7" t="s">
        <v>125</v>
      </c>
      <c r="I311" s="7" t="s">
        <v>400</v>
      </c>
      <c r="J311" s="7" t="s">
        <v>1016</v>
      </c>
      <c r="K311" s="7" t="s">
        <v>174</v>
      </c>
      <c r="L311" s="7" t="s">
        <v>296</v>
      </c>
      <c r="M311" s="4" t="s">
        <v>1017</v>
      </c>
      <c r="N311" s="2"/>
      <c r="O311" s="2"/>
      <c r="P311" s="2"/>
      <c r="Q311" s="2"/>
      <c r="R311" s="2"/>
      <c r="S311" s="2"/>
      <c r="T311" s="2"/>
      <c r="U311" s="2"/>
      <c r="V311" s="2"/>
      <c r="W311" s="2"/>
      <c r="X311" s="2"/>
      <c r="Y311" s="2"/>
      <c r="Z311" s="2"/>
    </row>
    <row r="312" spans="1:26" ht="19.5" customHeight="1">
      <c r="A312" s="4" t="s">
        <v>1018</v>
      </c>
      <c r="B312" s="4" t="s">
        <v>1019</v>
      </c>
      <c r="C312" s="6">
        <v>1</v>
      </c>
      <c r="D312" s="4" t="s">
        <v>606</v>
      </c>
      <c r="E312" s="6">
        <v>0</v>
      </c>
      <c r="F312" s="6">
        <v>0</v>
      </c>
      <c r="G312" s="6">
        <v>0</v>
      </c>
      <c r="H312" s="6">
        <v>0</v>
      </c>
      <c r="I312" s="6">
        <v>0</v>
      </c>
      <c r="J312" s="6">
        <v>0</v>
      </c>
      <c r="K312" s="6">
        <v>0</v>
      </c>
      <c r="L312" s="6">
        <v>0</v>
      </c>
      <c r="M312" s="4" t="s">
        <v>1020</v>
      </c>
      <c r="N312" s="2"/>
      <c r="O312" s="2"/>
      <c r="P312" s="2"/>
      <c r="Q312" s="2"/>
      <c r="R312" s="2"/>
      <c r="S312" s="2"/>
      <c r="T312" s="2"/>
      <c r="U312" s="2"/>
      <c r="V312" s="2"/>
      <c r="W312" s="2"/>
      <c r="X312" s="2"/>
      <c r="Y312" s="2"/>
      <c r="Z312" s="2"/>
    </row>
    <row r="313" spans="1:26" ht="19.5" customHeight="1">
      <c r="A313" s="4" t="s">
        <v>1021</v>
      </c>
      <c r="B313" s="4" t="s">
        <v>1022</v>
      </c>
      <c r="C313" s="6">
        <v>1</v>
      </c>
      <c r="D313" s="4" t="s">
        <v>17</v>
      </c>
      <c r="E313" s="6">
        <v>120</v>
      </c>
      <c r="F313" s="6">
        <v>16</v>
      </c>
      <c r="G313" s="6">
        <v>3</v>
      </c>
      <c r="H313" s="6">
        <v>5</v>
      </c>
      <c r="I313" s="6">
        <v>7</v>
      </c>
      <c r="J313" s="6">
        <v>100</v>
      </c>
      <c r="K313" s="6">
        <v>1</v>
      </c>
      <c r="L313" s="6">
        <v>0</v>
      </c>
      <c r="M313" s="4" t="s">
        <v>1023</v>
      </c>
      <c r="N313" s="2"/>
      <c r="O313" s="2"/>
      <c r="P313" s="2"/>
      <c r="Q313" s="2"/>
      <c r="R313" s="2"/>
      <c r="S313" s="2"/>
      <c r="T313" s="2"/>
      <c r="U313" s="2"/>
      <c r="V313" s="2"/>
      <c r="W313" s="2"/>
      <c r="X313" s="2"/>
      <c r="Y313" s="2"/>
      <c r="Z313" s="2"/>
    </row>
    <row r="314" spans="1:26" ht="19.5" customHeight="1">
      <c r="A314" s="4" t="s">
        <v>1024</v>
      </c>
      <c r="B314" s="4" t="s">
        <v>1025</v>
      </c>
      <c r="C314" s="6">
        <v>1</v>
      </c>
      <c r="D314" s="4" t="s">
        <v>606</v>
      </c>
      <c r="E314" s="6">
        <v>17</v>
      </c>
      <c r="F314" s="6">
        <v>4</v>
      </c>
      <c r="G314" s="6">
        <v>0</v>
      </c>
      <c r="H314" s="6">
        <v>0</v>
      </c>
      <c r="I314" s="6">
        <v>3</v>
      </c>
      <c r="J314" s="6">
        <v>0</v>
      </c>
      <c r="K314" s="6">
        <v>0</v>
      </c>
      <c r="L314" s="6">
        <v>0</v>
      </c>
      <c r="M314" s="4" t="s">
        <v>1026</v>
      </c>
      <c r="N314" s="2"/>
      <c r="O314" s="2"/>
      <c r="P314" s="2"/>
      <c r="Q314" s="2"/>
      <c r="R314" s="2"/>
      <c r="S314" s="2"/>
      <c r="T314" s="2"/>
      <c r="U314" s="2"/>
      <c r="V314" s="2"/>
      <c r="W314" s="2"/>
      <c r="X314" s="2"/>
      <c r="Y314" s="2"/>
      <c r="Z314" s="2"/>
    </row>
    <row r="315" spans="1:26" ht="19.5" customHeight="1">
      <c r="A315" s="4" t="s">
        <v>1027</v>
      </c>
      <c r="B315" s="4" t="s">
        <v>1028</v>
      </c>
      <c r="C315" s="6">
        <v>1</v>
      </c>
      <c r="D315" s="4" t="s">
        <v>31</v>
      </c>
      <c r="E315" s="6">
        <v>130</v>
      </c>
      <c r="F315" s="6">
        <v>0</v>
      </c>
      <c r="G315" s="6">
        <v>0</v>
      </c>
      <c r="H315" s="6">
        <v>14</v>
      </c>
      <c r="I315" s="6">
        <v>0</v>
      </c>
      <c r="J315" s="6">
        <v>0</v>
      </c>
      <c r="K315" s="6">
        <v>0</v>
      </c>
      <c r="L315" s="6">
        <v>0</v>
      </c>
      <c r="M315" s="4" t="s">
        <v>1029</v>
      </c>
      <c r="N315" s="2"/>
      <c r="O315" s="2"/>
      <c r="P315" s="2"/>
      <c r="Q315" s="2"/>
      <c r="R315" s="2"/>
      <c r="S315" s="2"/>
      <c r="T315" s="2"/>
      <c r="U315" s="2"/>
      <c r="V315" s="2"/>
      <c r="W315" s="2"/>
      <c r="X315" s="2"/>
      <c r="Y315" s="2"/>
      <c r="Z315" s="2"/>
    </row>
    <row r="316" spans="1:26" ht="19.5" customHeight="1">
      <c r="A316" s="4" t="s">
        <v>1030</v>
      </c>
      <c r="B316" s="4" t="s">
        <v>1031</v>
      </c>
      <c r="C316" s="7" t="s">
        <v>176</v>
      </c>
      <c r="D316" s="4" t="s">
        <v>76</v>
      </c>
      <c r="E316" s="6">
        <v>15</v>
      </c>
      <c r="F316" s="6">
        <v>1</v>
      </c>
      <c r="G316" s="6">
        <v>1</v>
      </c>
      <c r="H316" s="6">
        <v>1.5</v>
      </c>
      <c r="I316" s="6">
        <v>0</v>
      </c>
      <c r="J316" s="6">
        <v>80</v>
      </c>
      <c r="K316" s="6">
        <v>0</v>
      </c>
      <c r="L316" s="6">
        <v>0</v>
      </c>
      <c r="M316" s="4" t="s">
        <v>1032</v>
      </c>
      <c r="N316" s="2"/>
      <c r="O316" s="2"/>
      <c r="P316" s="2"/>
      <c r="Q316" s="2"/>
      <c r="R316" s="2"/>
      <c r="S316" s="2"/>
      <c r="T316" s="2"/>
      <c r="U316" s="2"/>
      <c r="V316" s="2"/>
      <c r="W316" s="2"/>
      <c r="X316" s="2"/>
      <c r="Y316" s="2"/>
      <c r="Z316" s="2"/>
    </row>
    <row r="317" spans="1:26" ht="19.5" customHeight="1">
      <c r="A317" s="4" t="s">
        <v>1033</v>
      </c>
      <c r="B317" s="4" t="s">
        <v>1034</v>
      </c>
      <c r="C317" s="7" t="s">
        <v>176</v>
      </c>
      <c r="D317" s="4" t="s">
        <v>909</v>
      </c>
      <c r="E317" s="6">
        <v>190</v>
      </c>
      <c r="F317" s="6">
        <v>16</v>
      </c>
      <c r="G317" s="6">
        <v>13</v>
      </c>
      <c r="H317" s="6">
        <v>8</v>
      </c>
      <c r="I317" s="6">
        <v>1</v>
      </c>
      <c r="J317" s="6">
        <v>460</v>
      </c>
      <c r="K317" s="6">
        <v>2</v>
      </c>
      <c r="L317" s="6">
        <v>90</v>
      </c>
      <c r="M317" s="4" t="s">
        <v>1035</v>
      </c>
      <c r="N317" s="2"/>
      <c r="O317" s="2"/>
      <c r="P317" s="2"/>
      <c r="Q317" s="2"/>
      <c r="R317" s="2"/>
      <c r="S317" s="2"/>
      <c r="T317" s="2"/>
      <c r="U317" s="2"/>
      <c r="V317" s="2"/>
      <c r="W317" s="2"/>
      <c r="X317" s="2"/>
      <c r="Y317" s="2"/>
      <c r="Z317" s="2"/>
    </row>
    <row r="318" spans="1:26" ht="19.5" customHeight="1">
      <c r="A318" s="4" t="s">
        <v>1036</v>
      </c>
      <c r="B318" s="4" t="s">
        <v>1037</v>
      </c>
      <c r="C318" s="6">
        <v>1</v>
      </c>
      <c r="D318" s="4" t="s">
        <v>31</v>
      </c>
      <c r="E318" s="6">
        <v>5</v>
      </c>
      <c r="F318" s="6">
        <v>1</v>
      </c>
      <c r="G318" s="6">
        <v>0</v>
      </c>
      <c r="H318" s="6">
        <v>0</v>
      </c>
      <c r="I318" s="6">
        <v>0</v>
      </c>
      <c r="J318" s="6">
        <v>50</v>
      </c>
      <c r="K318" s="6">
        <v>0</v>
      </c>
      <c r="L318" s="6">
        <v>0</v>
      </c>
      <c r="M318" s="4" t="s">
        <v>1038</v>
      </c>
      <c r="N318" s="2"/>
      <c r="O318" s="2"/>
      <c r="P318" s="2"/>
      <c r="Q318" s="2"/>
      <c r="R318" s="2"/>
      <c r="S318" s="2"/>
      <c r="T318" s="2"/>
      <c r="U318" s="2"/>
      <c r="V318" s="2"/>
      <c r="W318" s="2"/>
      <c r="X318" s="2"/>
      <c r="Y318" s="2"/>
      <c r="Z318" s="2"/>
    </row>
    <row r="319" spans="1:26" ht="19.5" customHeight="1">
      <c r="A319" s="4" t="s">
        <v>1039</v>
      </c>
      <c r="B319" s="4" t="s">
        <v>1040</v>
      </c>
      <c r="C319" s="6">
        <v>1</v>
      </c>
      <c r="D319" s="4" t="s">
        <v>31</v>
      </c>
      <c r="E319" s="6">
        <v>120</v>
      </c>
      <c r="F319" s="6">
        <v>0</v>
      </c>
      <c r="G319" s="6">
        <v>0</v>
      </c>
      <c r="H319" s="6">
        <v>14</v>
      </c>
      <c r="I319" s="6">
        <v>0</v>
      </c>
      <c r="J319" s="6">
        <v>0</v>
      </c>
      <c r="K319" s="6">
        <v>0</v>
      </c>
      <c r="L319" s="6">
        <v>0</v>
      </c>
      <c r="M319" s="4" t="s">
        <v>1029</v>
      </c>
      <c r="N319" s="2"/>
      <c r="O319" s="2"/>
      <c r="P319" s="2"/>
      <c r="Q319" s="2"/>
      <c r="R319" s="2"/>
      <c r="S319" s="2"/>
      <c r="T319" s="2"/>
      <c r="U319" s="2"/>
      <c r="V319" s="2"/>
      <c r="W319" s="2"/>
      <c r="X319" s="2"/>
      <c r="Y319" s="2"/>
      <c r="Z319" s="2"/>
    </row>
    <row r="320" spans="1:26" ht="19.5" customHeight="1">
      <c r="A320" s="4" t="s">
        <v>1041</v>
      </c>
      <c r="B320" s="4" t="s">
        <v>1042</v>
      </c>
      <c r="C320" s="6">
        <v>1</v>
      </c>
      <c r="D320" s="4" t="s">
        <v>76</v>
      </c>
      <c r="E320" s="6">
        <v>10</v>
      </c>
      <c r="F320" s="6">
        <v>1</v>
      </c>
      <c r="G320" s="6">
        <v>0</v>
      </c>
      <c r="H320" s="6">
        <v>0.5</v>
      </c>
      <c r="I320" s="6">
        <v>0</v>
      </c>
      <c r="J320" s="6">
        <v>130</v>
      </c>
      <c r="K320" s="6">
        <v>0</v>
      </c>
      <c r="L320" s="6">
        <v>0</v>
      </c>
      <c r="M320" s="4" t="s">
        <v>1043</v>
      </c>
      <c r="N320" s="2"/>
      <c r="O320" s="2"/>
      <c r="P320" s="2"/>
      <c r="Q320" s="2"/>
      <c r="R320" s="2"/>
      <c r="S320" s="2"/>
      <c r="T320" s="2"/>
      <c r="U320" s="2"/>
      <c r="V320" s="2"/>
      <c r="W320" s="2"/>
      <c r="X320" s="2"/>
      <c r="Y320" s="2"/>
      <c r="Z320" s="2"/>
    </row>
    <row r="321" spans="1:26" ht="19.5" customHeight="1">
      <c r="A321" s="4" t="s">
        <v>1044</v>
      </c>
      <c r="B321" s="4" t="s">
        <v>1045</v>
      </c>
      <c r="C321" s="6">
        <v>1</v>
      </c>
      <c r="D321" s="4" t="s">
        <v>31</v>
      </c>
      <c r="E321" s="6">
        <v>15</v>
      </c>
      <c r="F321" s="6">
        <v>0</v>
      </c>
      <c r="G321" s="6">
        <v>3</v>
      </c>
      <c r="H321" s="6">
        <v>0</v>
      </c>
      <c r="I321" s="6">
        <v>0</v>
      </c>
      <c r="J321" s="6">
        <v>1570</v>
      </c>
      <c r="K321" s="6">
        <v>0</v>
      </c>
      <c r="L321" s="6">
        <v>0</v>
      </c>
      <c r="M321" s="4" t="s">
        <v>1046</v>
      </c>
      <c r="N321" s="2"/>
      <c r="O321" s="2"/>
      <c r="P321" s="2"/>
      <c r="Q321" s="2"/>
      <c r="R321" s="2"/>
      <c r="S321" s="2"/>
      <c r="T321" s="2"/>
      <c r="U321" s="2"/>
      <c r="V321" s="2"/>
      <c r="W321" s="2"/>
      <c r="X321" s="2"/>
      <c r="Y321" s="2"/>
      <c r="Z321" s="2"/>
    </row>
    <row r="322" spans="1:26" ht="19.5" customHeight="1">
      <c r="A322" s="4" t="s">
        <v>1047</v>
      </c>
      <c r="B322" s="4" t="s">
        <v>1031</v>
      </c>
      <c r="C322" s="6">
        <v>1</v>
      </c>
      <c r="D322" s="4" t="s">
        <v>76</v>
      </c>
      <c r="E322" s="6">
        <v>15</v>
      </c>
      <c r="F322" s="6">
        <v>0</v>
      </c>
      <c r="G322" s="6">
        <v>0</v>
      </c>
      <c r="H322" s="6">
        <v>1.5</v>
      </c>
      <c r="I322" s="6">
        <v>0</v>
      </c>
      <c r="J322" s="6">
        <v>80</v>
      </c>
      <c r="K322" s="6">
        <v>0</v>
      </c>
      <c r="L322" s="6">
        <v>0</v>
      </c>
      <c r="M322" s="4" t="s">
        <v>1032</v>
      </c>
      <c r="N322" s="2"/>
      <c r="O322" s="2"/>
      <c r="P322" s="2"/>
      <c r="Q322" s="2"/>
      <c r="R322" s="2"/>
      <c r="S322" s="2"/>
      <c r="T322" s="2"/>
      <c r="U322" s="2"/>
      <c r="V322" s="2"/>
      <c r="W322" s="2"/>
      <c r="X322" s="2"/>
      <c r="Y322" s="2"/>
      <c r="Z322" s="2"/>
    </row>
    <row r="323" spans="1:26" ht="19.5" customHeight="1">
      <c r="A323" s="4" t="s">
        <v>1048</v>
      </c>
      <c r="B323" s="4" t="s">
        <v>1049</v>
      </c>
      <c r="C323" s="6">
        <v>1</v>
      </c>
      <c r="D323" s="4" t="s">
        <v>205</v>
      </c>
      <c r="E323" s="6">
        <v>10</v>
      </c>
      <c r="F323" s="6">
        <v>2</v>
      </c>
      <c r="G323" s="6">
        <v>1</v>
      </c>
      <c r="H323" s="6">
        <v>0</v>
      </c>
      <c r="I323" s="6">
        <v>0</v>
      </c>
      <c r="J323" s="6">
        <v>180</v>
      </c>
      <c r="K323" s="6">
        <v>1</v>
      </c>
      <c r="L323" s="6">
        <v>0</v>
      </c>
      <c r="M323" s="4" t="s">
        <v>1050</v>
      </c>
      <c r="N323" s="2"/>
      <c r="O323" s="2"/>
      <c r="P323" s="2"/>
      <c r="Q323" s="2"/>
      <c r="R323" s="2"/>
      <c r="S323" s="2"/>
      <c r="T323" s="2"/>
      <c r="U323" s="2"/>
      <c r="V323" s="2"/>
      <c r="W323" s="2"/>
      <c r="X323" s="2"/>
      <c r="Y323" s="2"/>
      <c r="Z323" s="2"/>
    </row>
    <row r="324" spans="1:26" ht="19.5" customHeight="1">
      <c r="A324" s="4" t="s">
        <v>1051</v>
      </c>
      <c r="B324" s="4" t="s">
        <v>1052</v>
      </c>
      <c r="C324" s="6">
        <v>1</v>
      </c>
      <c r="D324" s="4" t="s">
        <v>76</v>
      </c>
      <c r="E324" s="6">
        <v>5</v>
      </c>
      <c r="F324" s="6">
        <v>0</v>
      </c>
      <c r="G324" s="6">
        <v>0</v>
      </c>
      <c r="H324" s="6">
        <v>0</v>
      </c>
      <c r="I324" s="6">
        <v>0</v>
      </c>
      <c r="J324" s="6">
        <v>120</v>
      </c>
      <c r="K324" s="6">
        <v>0</v>
      </c>
      <c r="L324" s="6">
        <v>0</v>
      </c>
      <c r="M324" s="4" t="s">
        <v>1053</v>
      </c>
      <c r="N324" s="2"/>
      <c r="O324" s="2"/>
      <c r="P324" s="2"/>
      <c r="Q324" s="2"/>
      <c r="R324" s="2"/>
      <c r="S324" s="2"/>
      <c r="T324" s="2"/>
      <c r="U324" s="2"/>
      <c r="V324" s="2"/>
      <c r="W324" s="2"/>
      <c r="X324" s="2"/>
      <c r="Y324" s="2"/>
      <c r="Z324" s="2"/>
    </row>
    <row r="325" spans="1:26" ht="19.5" customHeight="1">
      <c r="A325" s="4" t="s">
        <v>1054</v>
      </c>
      <c r="B325" s="4" t="s">
        <v>1055</v>
      </c>
      <c r="C325" s="6">
        <v>1</v>
      </c>
      <c r="D325" s="4" t="s">
        <v>76</v>
      </c>
      <c r="E325" s="6">
        <v>10</v>
      </c>
      <c r="F325" s="6">
        <v>0</v>
      </c>
      <c r="G325" s="6">
        <v>0</v>
      </c>
      <c r="H325" s="6">
        <v>0.5</v>
      </c>
      <c r="I325" s="6">
        <v>0</v>
      </c>
      <c r="J325" s="6">
        <v>100</v>
      </c>
      <c r="K325" s="6">
        <v>0</v>
      </c>
      <c r="L325" s="6">
        <v>0</v>
      </c>
      <c r="M325" s="4" t="s">
        <v>1056</v>
      </c>
      <c r="N325" s="2"/>
      <c r="O325" s="2"/>
      <c r="P325" s="2"/>
      <c r="Q325" s="2"/>
      <c r="R325" s="2"/>
      <c r="S325" s="2"/>
      <c r="T325" s="2"/>
      <c r="U325" s="2"/>
      <c r="V325" s="2"/>
      <c r="W325" s="2"/>
      <c r="X325" s="2"/>
      <c r="Y325" s="2"/>
      <c r="Z325" s="2"/>
    </row>
    <row r="326" spans="1:26" ht="19.5" customHeight="1">
      <c r="A326" s="4" t="s">
        <v>1057</v>
      </c>
      <c r="B326" s="4" t="s">
        <v>1058</v>
      </c>
      <c r="C326" s="6">
        <v>0.5</v>
      </c>
      <c r="D326" s="4" t="s">
        <v>17</v>
      </c>
      <c r="E326" s="6">
        <v>80</v>
      </c>
      <c r="F326" s="6">
        <v>1</v>
      </c>
      <c r="G326" s="6">
        <v>13</v>
      </c>
      <c r="H326" s="6">
        <v>3</v>
      </c>
      <c r="I326" s="6">
        <v>0</v>
      </c>
      <c r="J326" s="6">
        <v>280</v>
      </c>
      <c r="K326" s="6">
        <v>1</v>
      </c>
      <c r="L326" s="6">
        <v>0</v>
      </c>
      <c r="M326" s="4" t="s">
        <v>1059</v>
      </c>
      <c r="N326" s="2"/>
      <c r="O326" s="2"/>
      <c r="P326" s="2"/>
      <c r="Q326" s="2"/>
      <c r="R326" s="2"/>
      <c r="S326" s="2"/>
      <c r="T326" s="2"/>
      <c r="U326" s="2"/>
      <c r="V326" s="2"/>
      <c r="W326" s="2"/>
      <c r="X326" s="2"/>
      <c r="Y326" s="2"/>
      <c r="Z326" s="2"/>
    </row>
    <row r="327" spans="1:26" ht="19.5" customHeight="1">
      <c r="A327" s="4" t="s">
        <v>1060</v>
      </c>
      <c r="B327" s="4" t="s">
        <v>1061</v>
      </c>
      <c r="C327" s="7" t="s">
        <v>930</v>
      </c>
      <c r="D327" s="4" t="s">
        <v>205</v>
      </c>
      <c r="E327" s="6">
        <v>70</v>
      </c>
      <c r="F327" s="6">
        <v>0</v>
      </c>
      <c r="G327" s="6">
        <v>11</v>
      </c>
      <c r="H327" s="6">
        <v>2.5</v>
      </c>
      <c r="I327" s="6">
        <v>0</v>
      </c>
      <c r="J327" s="6">
        <v>230</v>
      </c>
      <c r="K327" s="6">
        <v>0</v>
      </c>
      <c r="L327" s="6">
        <v>20</v>
      </c>
      <c r="M327" s="4" t="s">
        <v>1062</v>
      </c>
      <c r="N327" s="2"/>
      <c r="O327" s="2"/>
      <c r="P327" s="2"/>
      <c r="Q327" s="2"/>
      <c r="R327" s="2"/>
      <c r="S327" s="2"/>
      <c r="T327" s="2"/>
      <c r="U327" s="2"/>
      <c r="V327" s="2"/>
      <c r="W327" s="2"/>
      <c r="X327" s="2"/>
      <c r="Y327" s="2"/>
      <c r="Z327" s="2"/>
    </row>
    <row r="328" spans="1:26" ht="19.5" customHeight="1">
      <c r="A328" s="4" t="s">
        <v>1063</v>
      </c>
      <c r="B328" s="4" t="s">
        <v>1064</v>
      </c>
      <c r="C328" s="7" t="s">
        <v>930</v>
      </c>
      <c r="D328" s="4" t="s">
        <v>200</v>
      </c>
      <c r="E328" s="6">
        <v>80</v>
      </c>
      <c r="F328" s="6">
        <v>16</v>
      </c>
      <c r="G328" s="6">
        <v>4</v>
      </c>
      <c r="H328" s="6">
        <v>1</v>
      </c>
      <c r="I328" s="6">
        <v>0</v>
      </c>
      <c r="J328" s="6">
        <v>120</v>
      </c>
      <c r="K328" s="6">
        <v>3</v>
      </c>
      <c r="L328" s="6">
        <v>0</v>
      </c>
      <c r="M328" s="4" t="s">
        <v>1065</v>
      </c>
      <c r="N328" s="2"/>
      <c r="O328" s="2"/>
      <c r="P328" s="2"/>
      <c r="Q328" s="2"/>
      <c r="R328" s="2"/>
      <c r="S328" s="2"/>
      <c r="T328" s="2"/>
      <c r="U328" s="2"/>
      <c r="V328" s="2"/>
      <c r="W328" s="2"/>
      <c r="X328" s="2"/>
      <c r="Y328" s="2"/>
      <c r="Z328" s="2"/>
    </row>
    <row r="329" spans="1:26" ht="19.5" customHeight="1">
      <c r="A329" s="4" t="s">
        <v>1066</v>
      </c>
      <c r="B329" s="4" t="s">
        <v>1067</v>
      </c>
      <c r="C329" s="6">
        <v>0.5</v>
      </c>
      <c r="D329" s="4" t="s">
        <v>212</v>
      </c>
      <c r="E329" s="7" t="s">
        <v>171</v>
      </c>
      <c r="F329" s="7" t="s">
        <v>999</v>
      </c>
      <c r="G329" s="7" t="s">
        <v>125</v>
      </c>
      <c r="H329" s="7" t="s">
        <v>400</v>
      </c>
      <c r="I329" s="7" t="s">
        <v>457</v>
      </c>
      <c r="J329" s="7" t="s">
        <v>1068</v>
      </c>
      <c r="K329" s="7" t="s">
        <v>174</v>
      </c>
      <c r="L329" s="7" t="s">
        <v>18</v>
      </c>
      <c r="M329" s="4" t="s">
        <v>1069</v>
      </c>
      <c r="N329" s="2"/>
      <c r="O329" s="2"/>
      <c r="P329" s="2"/>
      <c r="Q329" s="2"/>
      <c r="R329" s="2"/>
      <c r="S329" s="2"/>
      <c r="T329" s="2"/>
      <c r="U329" s="2"/>
      <c r="V329" s="2"/>
      <c r="W329" s="2"/>
      <c r="X329" s="2"/>
      <c r="Y329" s="2"/>
      <c r="Z329" s="2"/>
    </row>
    <row r="330" spans="1:26" ht="19.5" customHeight="1">
      <c r="A330" s="4" t="s">
        <v>1070</v>
      </c>
      <c r="B330" s="4" t="s">
        <v>1071</v>
      </c>
      <c r="C330" s="6">
        <v>0.25</v>
      </c>
      <c r="D330" s="4" t="s">
        <v>17</v>
      </c>
      <c r="E330" s="6">
        <v>180</v>
      </c>
      <c r="F330" s="6">
        <v>5</v>
      </c>
      <c r="G330" s="6">
        <v>7</v>
      </c>
      <c r="H330" s="6">
        <v>15</v>
      </c>
      <c r="I330" s="6">
        <v>0</v>
      </c>
      <c r="J330" s="6">
        <v>190</v>
      </c>
      <c r="K330" s="6">
        <v>2</v>
      </c>
      <c r="L330" s="6">
        <v>0</v>
      </c>
      <c r="M330" s="4" t="s">
        <v>80</v>
      </c>
      <c r="N330" s="2"/>
      <c r="O330" s="2"/>
      <c r="P330" s="2"/>
      <c r="Q330" s="2"/>
      <c r="R330" s="2"/>
      <c r="S330" s="2"/>
      <c r="T330" s="2"/>
      <c r="U330" s="2"/>
      <c r="V330" s="2"/>
      <c r="W330" s="2"/>
      <c r="X330" s="2"/>
      <c r="Y330" s="2"/>
      <c r="Z330" s="2"/>
    </row>
    <row r="331" spans="1:26"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mergeCells count="1">
    <mergeCell ref="A1:M1"/>
  </mergeCells>
  <pageMargins left="1" right="1"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2"/>
  <sheetViews>
    <sheetView workbookViewId="0"/>
  </sheetViews>
  <sheetFormatPr defaultColWidth="14.453125" defaultRowHeight="15" customHeight="1"/>
  <cols>
    <col min="1" max="1" width="34.453125" customWidth="1"/>
    <col min="2" max="2" width="66.7265625" customWidth="1"/>
    <col min="3" max="3" width="17" customWidth="1"/>
    <col min="4" max="4" width="20.453125" customWidth="1"/>
    <col min="5" max="5" width="17.81640625" customWidth="1"/>
    <col min="6" max="6" width="16" customWidth="1"/>
    <col min="7" max="7" width="17.08984375" customWidth="1"/>
    <col min="8" max="8" width="13.7265625" customWidth="1"/>
    <col min="9" max="9" width="16" customWidth="1"/>
    <col min="10" max="10" width="17.453125" customWidth="1"/>
    <col min="11" max="11" width="15.08984375" customWidth="1"/>
    <col min="12" max="12" width="20.453125" customWidth="1"/>
    <col min="13" max="13" width="166.7265625" customWidth="1"/>
    <col min="14" max="26" width="8.26953125" customWidth="1"/>
  </cols>
  <sheetData>
    <row r="1" spans="1:26" ht="27.75" customHeight="1">
      <c r="A1" s="26" t="s">
        <v>0</v>
      </c>
      <c r="B1" s="27"/>
      <c r="C1" s="27"/>
      <c r="D1" s="27"/>
      <c r="E1" s="27"/>
      <c r="F1" s="27"/>
      <c r="G1" s="27"/>
      <c r="H1" s="27"/>
      <c r="I1" s="27"/>
      <c r="J1" s="27"/>
      <c r="K1" s="27"/>
      <c r="L1" s="27"/>
      <c r="M1" s="27"/>
      <c r="N1" s="2"/>
      <c r="O1" s="2"/>
      <c r="P1" s="2"/>
      <c r="Q1" s="2"/>
      <c r="R1" s="2"/>
      <c r="S1" s="2"/>
      <c r="T1" s="2"/>
      <c r="U1" s="2"/>
      <c r="V1" s="2"/>
      <c r="W1" s="2"/>
      <c r="X1" s="2"/>
      <c r="Y1" s="2"/>
      <c r="Z1" s="2"/>
    </row>
    <row r="2" spans="1:26" ht="27.75" customHeight="1">
      <c r="A2" s="1"/>
      <c r="B2" s="1"/>
      <c r="C2" s="1"/>
      <c r="D2" s="1" t="s">
        <v>1</v>
      </c>
      <c r="E2" s="1">
        <v>2000</v>
      </c>
      <c r="F2" s="1">
        <f>(225+325)/2</f>
        <v>275</v>
      </c>
      <c r="G2" s="1">
        <f>(56+46)/2</f>
        <v>51</v>
      </c>
      <c r="H2" s="1">
        <f>(44+77)/2</f>
        <v>60.5</v>
      </c>
      <c r="I2" s="1">
        <f>(36+25)/2</f>
        <v>30.5</v>
      </c>
      <c r="J2" s="1">
        <f>2300</f>
        <v>2300</v>
      </c>
      <c r="K2" s="1">
        <f>(25+30)/2</f>
        <v>27.5</v>
      </c>
      <c r="L2" s="1">
        <f>300</f>
        <v>300</v>
      </c>
      <c r="M2" s="1"/>
      <c r="N2" s="2"/>
      <c r="O2" s="2"/>
      <c r="P2" s="2"/>
      <c r="Q2" s="2"/>
      <c r="R2" s="2"/>
      <c r="S2" s="2"/>
      <c r="T2" s="2"/>
      <c r="U2" s="2"/>
      <c r="V2" s="2"/>
      <c r="W2" s="2"/>
      <c r="X2" s="2"/>
      <c r="Y2" s="2"/>
      <c r="Z2" s="2"/>
    </row>
    <row r="3" spans="1:26" ht="20.25" customHeight="1">
      <c r="A3" s="3" t="s">
        <v>2</v>
      </c>
      <c r="B3" s="3" t="s">
        <v>3</v>
      </c>
      <c r="C3" s="3" t="s">
        <v>4</v>
      </c>
      <c r="D3" s="3" t="s">
        <v>5</v>
      </c>
      <c r="E3" s="3" t="s">
        <v>6</v>
      </c>
      <c r="F3" s="3" t="s">
        <v>7</v>
      </c>
      <c r="G3" s="3" t="s">
        <v>8</v>
      </c>
      <c r="H3" s="3" t="s">
        <v>9</v>
      </c>
      <c r="I3" s="3" t="s">
        <v>10</v>
      </c>
      <c r="J3" s="3" t="s">
        <v>11</v>
      </c>
      <c r="K3" s="3" t="s">
        <v>12</v>
      </c>
      <c r="L3" s="3" t="s">
        <v>13</v>
      </c>
      <c r="M3" s="3" t="s">
        <v>14</v>
      </c>
      <c r="N3" s="2"/>
      <c r="O3" s="2"/>
      <c r="P3" s="2"/>
      <c r="Q3" s="2"/>
      <c r="R3" s="2"/>
      <c r="S3" s="2"/>
      <c r="T3" s="2"/>
      <c r="U3" s="2"/>
      <c r="V3" s="2"/>
      <c r="W3" s="2"/>
      <c r="X3" s="2"/>
      <c r="Y3" s="2"/>
      <c r="Z3" s="2"/>
    </row>
    <row r="4" spans="1:26" ht="20.25" customHeight="1">
      <c r="A4" s="4" t="s">
        <v>15</v>
      </c>
      <c r="B4" s="4" t="s">
        <v>16</v>
      </c>
      <c r="C4" s="5">
        <v>43894</v>
      </c>
      <c r="D4" s="4" t="s">
        <v>17</v>
      </c>
      <c r="E4" s="6">
        <v>160</v>
      </c>
      <c r="F4" s="6">
        <v>40</v>
      </c>
      <c r="G4" s="6">
        <v>0</v>
      </c>
      <c r="H4" s="6">
        <v>0</v>
      </c>
      <c r="I4" s="6">
        <v>36</v>
      </c>
      <c r="J4" s="6">
        <v>5</v>
      </c>
      <c r="K4" s="7" t="s">
        <v>18</v>
      </c>
      <c r="L4" s="6">
        <v>0</v>
      </c>
      <c r="M4" s="4" t="s">
        <v>19</v>
      </c>
      <c r="N4" s="2"/>
      <c r="O4" s="2"/>
      <c r="P4" s="2"/>
      <c r="Q4" s="2"/>
      <c r="R4" s="2"/>
      <c r="S4" s="2"/>
      <c r="T4" s="2"/>
      <c r="U4" s="2"/>
      <c r="V4" s="2"/>
      <c r="W4" s="2"/>
      <c r="X4" s="2"/>
      <c r="Y4" s="2"/>
      <c r="Z4" s="2"/>
    </row>
    <row r="5" spans="1:26" ht="19.5" customHeight="1">
      <c r="A5" s="4" t="s">
        <v>20</v>
      </c>
      <c r="B5" s="4" t="s">
        <v>21</v>
      </c>
      <c r="C5" s="5">
        <v>43894</v>
      </c>
      <c r="D5" s="4" t="s">
        <v>17</v>
      </c>
      <c r="E5" s="6">
        <v>140</v>
      </c>
      <c r="F5" s="6">
        <v>12</v>
      </c>
      <c r="G5" s="6">
        <v>6</v>
      </c>
      <c r="H5" s="6">
        <v>8</v>
      </c>
      <c r="I5" s="6">
        <v>8</v>
      </c>
      <c r="J5" s="6">
        <v>80</v>
      </c>
      <c r="K5" s="6">
        <v>0</v>
      </c>
      <c r="L5" s="6">
        <v>25</v>
      </c>
      <c r="M5" s="4" t="s">
        <v>22</v>
      </c>
      <c r="N5" s="2"/>
      <c r="O5" s="2"/>
      <c r="P5" s="2"/>
      <c r="Q5" s="2"/>
      <c r="R5" s="2"/>
      <c r="S5" s="2"/>
      <c r="T5" s="2"/>
      <c r="U5" s="2"/>
      <c r="V5" s="2"/>
      <c r="W5" s="2"/>
      <c r="X5" s="2"/>
      <c r="Y5" s="2"/>
      <c r="Z5" s="2"/>
    </row>
    <row r="6" spans="1:26" ht="19.5" customHeight="1">
      <c r="A6" s="4" t="s">
        <v>23</v>
      </c>
      <c r="B6" s="4" t="s">
        <v>24</v>
      </c>
      <c r="C6" s="5">
        <v>43894</v>
      </c>
      <c r="D6" s="4" t="s">
        <v>17</v>
      </c>
      <c r="E6" s="6">
        <v>150</v>
      </c>
      <c r="F6" s="6">
        <v>9</v>
      </c>
      <c r="G6" s="6">
        <v>15</v>
      </c>
      <c r="H6" s="6">
        <v>7</v>
      </c>
      <c r="I6" s="6">
        <v>8</v>
      </c>
      <c r="J6" s="6">
        <v>65</v>
      </c>
      <c r="K6" s="6">
        <v>0</v>
      </c>
      <c r="L6" s="6">
        <v>30</v>
      </c>
      <c r="M6" s="4" t="s">
        <v>25</v>
      </c>
      <c r="N6" s="2"/>
      <c r="O6" s="2"/>
      <c r="P6" s="2"/>
      <c r="Q6" s="2"/>
      <c r="R6" s="2"/>
      <c r="S6" s="2"/>
      <c r="T6" s="2"/>
      <c r="U6" s="2"/>
      <c r="V6" s="2"/>
      <c r="W6" s="2"/>
      <c r="X6" s="2"/>
      <c r="Y6" s="2"/>
      <c r="Z6" s="2"/>
    </row>
    <row r="7" spans="1:26" ht="19.5" customHeight="1">
      <c r="A7" s="4" t="s">
        <v>26</v>
      </c>
      <c r="B7" s="4" t="s">
        <v>27</v>
      </c>
      <c r="C7" s="5">
        <v>43894</v>
      </c>
      <c r="D7" s="4" t="s">
        <v>17</v>
      </c>
      <c r="E7" s="6">
        <v>140</v>
      </c>
      <c r="F7" s="6">
        <v>7</v>
      </c>
      <c r="G7" s="6">
        <v>16</v>
      </c>
      <c r="H7" s="6">
        <v>6</v>
      </c>
      <c r="I7" s="6">
        <v>5</v>
      </c>
      <c r="J7" s="6">
        <v>65</v>
      </c>
      <c r="K7" s="6">
        <v>0</v>
      </c>
      <c r="L7" s="6">
        <v>25</v>
      </c>
      <c r="M7" s="4" t="s">
        <v>28</v>
      </c>
      <c r="N7" s="2"/>
      <c r="O7" s="2"/>
      <c r="P7" s="2"/>
      <c r="Q7" s="2"/>
      <c r="R7" s="2"/>
      <c r="S7" s="2"/>
      <c r="T7" s="2"/>
      <c r="U7" s="2"/>
      <c r="V7" s="2"/>
      <c r="W7" s="2"/>
      <c r="X7" s="2"/>
      <c r="Y7" s="2"/>
      <c r="Z7" s="2"/>
    </row>
    <row r="8" spans="1:26" ht="19.5" customHeight="1">
      <c r="A8" s="4" t="s">
        <v>29</v>
      </c>
      <c r="B8" s="4" t="s">
        <v>30</v>
      </c>
      <c r="C8" s="5">
        <v>43894</v>
      </c>
      <c r="D8" s="4" t="s">
        <v>31</v>
      </c>
      <c r="E8" s="6">
        <v>25</v>
      </c>
      <c r="F8" s="6">
        <v>3</v>
      </c>
      <c r="G8" s="6">
        <v>2</v>
      </c>
      <c r="H8" s="6">
        <v>1</v>
      </c>
      <c r="I8" s="6">
        <v>3</v>
      </c>
      <c r="J8" s="8">
        <v>520</v>
      </c>
      <c r="K8" s="6">
        <v>0</v>
      </c>
      <c r="L8" s="6">
        <v>0</v>
      </c>
      <c r="M8" s="4" t="s">
        <v>32</v>
      </c>
      <c r="N8" s="2"/>
      <c r="O8" s="2"/>
      <c r="P8" s="2"/>
      <c r="Q8" s="2"/>
      <c r="R8" s="2"/>
      <c r="S8" s="2"/>
      <c r="T8" s="2"/>
      <c r="U8" s="2"/>
      <c r="V8" s="2"/>
      <c r="W8" s="2"/>
      <c r="X8" s="2"/>
      <c r="Y8" s="2"/>
      <c r="Z8" s="2"/>
    </row>
    <row r="9" spans="1:26" ht="19.5" customHeight="1">
      <c r="A9" s="4" t="s">
        <v>33</v>
      </c>
      <c r="B9" s="4" t="s">
        <v>34</v>
      </c>
      <c r="C9" s="4" t="s">
        <v>35</v>
      </c>
      <c r="D9" s="4" t="s">
        <v>17</v>
      </c>
      <c r="E9" s="6">
        <v>120</v>
      </c>
      <c r="F9" s="6">
        <v>19</v>
      </c>
      <c r="G9" s="6">
        <v>10</v>
      </c>
      <c r="H9" s="6">
        <v>1</v>
      </c>
      <c r="I9" s="6">
        <v>7</v>
      </c>
      <c r="J9" s="6">
        <v>190</v>
      </c>
      <c r="K9" s="6">
        <v>3</v>
      </c>
      <c r="L9" s="6">
        <v>0</v>
      </c>
      <c r="M9" s="4" t="s">
        <v>36</v>
      </c>
      <c r="N9" s="2"/>
      <c r="O9" s="2"/>
      <c r="P9" s="2"/>
      <c r="Q9" s="2"/>
      <c r="R9" s="2"/>
      <c r="S9" s="2"/>
      <c r="T9" s="2"/>
      <c r="U9" s="2"/>
      <c r="V9" s="2"/>
      <c r="W9" s="2"/>
      <c r="X9" s="2"/>
      <c r="Y9" s="2"/>
      <c r="Z9" s="2"/>
    </row>
    <row r="10" spans="1:26" ht="19.5" customHeight="1">
      <c r="A10" s="4" t="s">
        <v>37</v>
      </c>
      <c r="B10" s="4" t="s">
        <v>38</v>
      </c>
      <c r="C10" s="4" t="s">
        <v>35</v>
      </c>
      <c r="D10" s="4" t="s">
        <v>17</v>
      </c>
      <c r="E10" s="6">
        <v>110</v>
      </c>
      <c r="F10" s="6">
        <v>22</v>
      </c>
      <c r="G10" s="6">
        <v>2</v>
      </c>
      <c r="H10" s="6">
        <v>1.5</v>
      </c>
      <c r="I10" s="6">
        <v>9</v>
      </c>
      <c r="J10" s="6">
        <v>160</v>
      </c>
      <c r="K10" s="6">
        <v>2</v>
      </c>
      <c r="L10" s="6">
        <v>0</v>
      </c>
      <c r="M10" s="4" t="s">
        <v>39</v>
      </c>
      <c r="N10" s="2"/>
      <c r="O10" s="2"/>
      <c r="P10" s="2"/>
      <c r="Q10" s="2"/>
      <c r="R10" s="2"/>
      <c r="S10" s="2"/>
      <c r="T10" s="2"/>
      <c r="U10" s="2"/>
      <c r="V10" s="2"/>
      <c r="W10" s="2"/>
      <c r="X10" s="2"/>
      <c r="Y10" s="2"/>
      <c r="Z10" s="2"/>
    </row>
    <row r="11" spans="1:26" ht="19.5" customHeight="1">
      <c r="A11" s="4" t="s">
        <v>40</v>
      </c>
      <c r="B11" s="4" t="s">
        <v>41</v>
      </c>
      <c r="C11" s="5">
        <v>43894</v>
      </c>
      <c r="D11" s="4" t="s">
        <v>17</v>
      </c>
      <c r="E11" s="6">
        <v>200</v>
      </c>
      <c r="F11" s="6">
        <v>6</v>
      </c>
      <c r="G11" s="6">
        <v>15</v>
      </c>
      <c r="H11" s="6">
        <v>13</v>
      </c>
      <c r="I11" s="6">
        <v>3</v>
      </c>
      <c r="J11" s="6">
        <v>590</v>
      </c>
      <c r="K11" s="6">
        <v>3</v>
      </c>
      <c r="L11" s="6">
        <v>40</v>
      </c>
      <c r="M11" s="4" t="s">
        <v>42</v>
      </c>
      <c r="N11" s="2"/>
      <c r="O11" s="2"/>
      <c r="P11" s="2"/>
      <c r="Q11" s="2"/>
      <c r="R11" s="2"/>
      <c r="S11" s="2"/>
      <c r="T11" s="2"/>
      <c r="U11" s="2"/>
      <c r="V11" s="2"/>
      <c r="W11" s="2"/>
      <c r="X11" s="2"/>
      <c r="Y11" s="2"/>
      <c r="Z11" s="2"/>
    </row>
    <row r="12" spans="1:26" ht="19.5" customHeight="1">
      <c r="A12" s="4" t="s">
        <v>43</v>
      </c>
      <c r="B12" s="4" t="s">
        <v>44</v>
      </c>
      <c r="C12" s="5">
        <v>43894</v>
      </c>
      <c r="D12" s="4" t="s">
        <v>17</v>
      </c>
      <c r="E12" s="6">
        <v>240</v>
      </c>
      <c r="F12" s="6">
        <v>8</v>
      </c>
      <c r="G12" s="6">
        <v>10</v>
      </c>
      <c r="H12" s="6">
        <v>18</v>
      </c>
      <c r="I12" s="6">
        <v>4</v>
      </c>
      <c r="J12" s="6">
        <v>770</v>
      </c>
      <c r="K12" s="6">
        <v>3</v>
      </c>
      <c r="L12" s="6">
        <v>15</v>
      </c>
      <c r="M12" s="4" t="s">
        <v>45</v>
      </c>
      <c r="N12" s="2"/>
      <c r="O12" s="2"/>
      <c r="P12" s="2"/>
      <c r="Q12" s="2"/>
      <c r="R12" s="2"/>
      <c r="S12" s="2"/>
      <c r="T12" s="2"/>
      <c r="U12" s="2"/>
      <c r="V12" s="2"/>
      <c r="W12" s="2"/>
      <c r="X12" s="2"/>
      <c r="Y12" s="2"/>
      <c r="Z12" s="2"/>
    </row>
    <row r="13" spans="1:26" ht="43.5" customHeight="1">
      <c r="A13" s="4" t="s">
        <v>46</v>
      </c>
      <c r="B13" s="4" t="s">
        <v>47</v>
      </c>
      <c r="C13" s="5">
        <v>43894</v>
      </c>
      <c r="D13" s="4" t="s">
        <v>17</v>
      </c>
      <c r="E13" s="6">
        <v>190</v>
      </c>
      <c r="F13" s="6">
        <v>22</v>
      </c>
      <c r="G13" s="6">
        <v>5</v>
      </c>
      <c r="H13" s="6">
        <v>9</v>
      </c>
      <c r="I13" s="6">
        <v>6</v>
      </c>
      <c r="J13" s="6">
        <v>640</v>
      </c>
      <c r="K13" s="6">
        <v>7</v>
      </c>
      <c r="L13" s="6">
        <v>0</v>
      </c>
      <c r="M13" s="4" t="s">
        <v>48</v>
      </c>
      <c r="N13" s="2"/>
      <c r="O13" s="2"/>
      <c r="P13" s="2"/>
      <c r="Q13" s="2"/>
      <c r="R13" s="2"/>
      <c r="S13" s="2"/>
      <c r="T13" s="2"/>
      <c r="U13" s="2"/>
      <c r="V13" s="2"/>
      <c r="W13" s="2"/>
      <c r="X13" s="2"/>
      <c r="Y13" s="2"/>
      <c r="Z13" s="2"/>
    </row>
    <row r="14" spans="1:26" ht="19.5" customHeight="1">
      <c r="A14" s="4" t="s">
        <v>49</v>
      </c>
      <c r="B14" s="4" t="s">
        <v>50</v>
      </c>
      <c r="C14" s="5">
        <v>43864</v>
      </c>
      <c r="D14" s="4" t="s">
        <v>17</v>
      </c>
      <c r="E14" s="6">
        <v>280</v>
      </c>
      <c r="F14" s="6">
        <v>33</v>
      </c>
      <c r="G14" s="6">
        <v>5</v>
      </c>
      <c r="H14" s="6">
        <v>9</v>
      </c>
      <c r="I14" s="6">
        <v>31</v>
      </c>
      <c r="J14" s="6">
        <v>25</v>
      </c>
      <c r="K14" s="6">
        <v>1</v>
      </c>
      <c r="L14" s="6">
        <v>155</v>
      </c>
      <c r="M14" s="4" t="s">
        <v>51</v>
      </c>
      <c r="N14" s="2"/>
      <c r="O14" s="2"/>
      <c r="P14" s="2"/>
      <c r="Q14" s="2"/>
      <c r="R14" s="2"/>
      <c r="S14" s="2"/>
      <c r="T14" s="2"/>
      <c r="U14" s="2"/>
      <c r="V14" s="2"/>
      <c r="W14" s="2"/>
      <c r="X14" s="2"/>
      <c r="Y14" s="2"/>
      <c r="Z14" s="2"/>
    </row>
    <row r="15" spans="1:26" ht="19.5" customHeight="1">
      <c r="A15" s="4" t="s">
        <v>52</v>
      </c>
      <c r="B15" s="4" t="s">
        <v>53</v>
      </c>
      <c r="C15" s="4" t="s">
        <v>54</v>
      </c>
      <c r="D15" s="4" t="s">
        <v>17</v>
      </c>
      <c r="E15" s="6">
        <v>100</v>
      </c>
      <c r="F15" s="6">
        <v>7</v>
      </c>
      <c r="G15" s="6">
        <v>19</v>
      </c>
      <c r="H15" s="6">
        <v>0</v>
      </c>
      <c r="I15" s="6">
        <v>5</v>
      </c>
      <c r="J15" s="6">
        <v>65</v>
      </c>
      <c r="K15" s="6">
        <v>0</v>
      </c>
      <c r="L15" s="6">
        <v>10</v>
      </c>
      <c r="M15" s="4" t="s">
        <v>55</v>
      </c>
      <c r="N15" s="2"/>
      <c r="O15" s="2"/>
      <c r="P15" s="2"/>
      <c r="Q15" s="2"/>
      <c r="R15" s="2"/>
      <c r="S15" s="2"/>
      <c r="T15" s="2"/>
      <c r="U15" s="2"/>
      <c r="V15" s="2"/>
      <c r="W15" s="2"/>
      <c r="X15" s="2"/>
      <c r="Y15" s="2"/>
      <c r="Z15" s="2"/>
    </row>
    <row r="16" spans="1:26" ht="19.5" customHeight="1">
      <c r="A16" s="4" t="s">
        <v>56</v>
      </c>
      <c r="B16" s="4" t="s">
        <v>57</v>
      </c>
      <c r="C16" s="4" t="s">
        <v>54</v>
      </c>
      <c r="D16" s="4" t="s">
        <v>58</v>
      </c>
      <c r="E16" s="6">
        <v>310</v>
      </c>
      <c r="F16" s="6">
        <v>37</v>
      </c>
      <c r="G16" s="6">
        <v>5</v>
      </c>
      <c r="H16" s="6">
        <v>16</v>
      </c>
      <c r="I16" s="6">
        <v>29</v>
      </c>
      <c r="J16" s="6">
        <v>40</v>
      </c>
      <c r="K16" s="6">
        <v>3</v>
      </c>
      <c r="L16" s="6">
        <v>40</v>
      </c>
      <c r="M16" s="4" t="s">
        <v>59</v>
      </c>
      <c r="N16" s="2"/>
      <c r="O16" s="2"/>
      <c r="P16" s="2"/>
      <c r="Q16" s="2"/>
      <c r="R16" s="2"/>
      <c r="S16" s="2"/>
      <c r="T16" s="2"/>
      <c r="U16" s="2"/>
      <c r="V16" s="2"/>
      <c r="W16" s="2"/>
      <c r="X16" s="2"/>
      <c r="Y16" s="2"/>
      <c r="Z16" s="2"/>
    </row>
    <row r="17" spans="1:26" ht="19.5" customHeight="1">
      <c r="A17" s="4" t="s">
        <v>60</v>
      </c>
      <c r="B17" s="4" t="s">
        <v>61</v>
      </c>
      <c r="C17" s="5">
        <v>43864</v>
      </c>
      <c r="D17" s="4" t="s">
        <v>62</v>
      </c>
      <c r="E17" s="6">
        <v>160</v>
      </c>
      <c r="F17" s="6">
        <v>8</v>
      </c>
      <c r="G17" s="6">
        <v>2</v>
      </c>
      <c r="H17" s="6">
        <v>13</v>
      </c>
      <c r="I17" s="6">
        <v>2</v>
      </c>
      <c r="J17" s="6">
        <v>10</v>
      </c>
      <c r="K17" s="6">
        <v>0</v>
      </c>
      <c r="L17" s="6">
        <v>0</v>
      </c>
      <c r="M17" s="4" t="s">
        <v>63</v>
      </c>
      <c r="N17" s="2"/>
      <c r="O17" s="2"/>
      <c r="P17" s="2"/>
      <c r="Q17" s="2"/>
      <c r="R17" s="2"/>
      <c r="S17" s="2"/>
      <c r="T17" s="2"/>
      <c r="U17" s="2"/>
      <c r="V17" s="2"/>
      <c r="W17" s="2"/>
      <c r="X17" s="2"/>
      <c r="Y17" s="2"/>
      <c r="Z17" s="2"/>
    </row>
    <row r="18" spans="1:26" ht="19.5" customHeight="1">
      <c r="A18" s="4" t="s">
        <v>64</v>
      </c>
      <c r="B18" s="4" t="s">
        <v>65</v>
      </c>
      <c r="C18" s="5">
        <v>43834</v>
      </c>
      <c r="D18" s="4" t="s">
        <v>17</v>
      </c>
      <c r="E18" s="6">
        <v>160</v>
      </c>
      <c r="F18" s="6">
        <v>35</v>
      </c>
      <c r="G18" s="6">
        <v>3</v>
      </c>
      <c r="H18" s="6">
        <v>0</v>
      </c>
      <c r="I18" s="6">
        <v>2</v>
      </c>
      <c r="J18" s="6">
        <v>410</v>
      </c>
      <c r="K18" s="6">
        <v>2</v>
      </c>
      <c r="L18" s="6">
        <v>0</v>
      </c>
      <c r="M18" s="4" t="s">
        <v>66</v>
      </c>
      <c r="N18" s="2"/>
      <c r="O18" s="2"/>
      <c r="P18" s="2"/>
      <c r="Q18" s="2"/>
      <c r="R18" s="2"/>
      <c r="S18" s="2"/>
      <c r="T18" s="2"/>
      <c r="U18" s="2"/>
      <c r="V18" s="2"/>
      <c r="W18" s="2"/>
      <c r="X18" s="2"/>
      <c r="Y18" s="2"/>
      <c r="Z18" s="2"/>
    </row>
    <row r="19" spans="1:26" ht="19.5" customHeight="1">
      <c r="A19" s="4" t="s">
        <v>67</v>
      </c>
      <c r="B19" s="4" t="s">
        <v>68</v>
      </c>
      <c r="C19" s="4" t="s">
        <v>69</v>
      </c>
      <c r="D19" s="4" t="s">
        <v>17</v>
      </c>
      <c r="E19" s="6">
        <v>170</v>
      </c>
      <c r="F19" s="6">
        <v>30</v>
      </c>
      <c r="G19" s="6">
        <v>11</v>
      </c>
      <c r="H19" s="6">
        <v>3</v>
      </c>
      <c r="I19" s="6">
        <v>0</v>
      </c>
      <c r="J19" s="6">
        <v>70</v>
      </c>
      <c r="K19" s="6">
        <v>5</v>
      </c>
      <c r="L19" s="6">
        <v>0</v>
      </c>
      <c r="M19" s="4" t="s">
        <v>70</v>
      </c>
      <c r="N19" s="2"/>
      <c r="O19" s="2"/>
      <c r="P19" s="2"/>
      <c r="Q19" s="2"/>
      <c r="R19" s="2"/>
      <c r="S19" s="2"/>
      <c r="T19" s="2"/>
      <c r="U19" s="2"/>
      <c r="V19" s="2"/>
      <c r="W19" s="2"/>
      <c r="X19" s="2"/>
      <c r="Y19" s="2"/>
      <c r="Z19" s="2"/>
    </row>
    <row r="20" spans="1:26" ht="19.5" customHeight="1">
      <c r="A20" s="4" t="s">
        <v>71</v>
      </c>
      <c r="B20" s="4" t="s">
        <v>72</v>
      </c>
      <c r="C20" s="5">
        <v>43834</v>
      </c>
      <c r="D20" s="4" t="s">
        <v>17</v>
      </c>
      <c r="E20" s="6">
        <v>150</v>
      </c>
      <c r="F20" s="6">
        <v>0</v>
      </c>
      <c r="G20" s="6">
        <v>16</v>
      </c>
      <c r="H20" s="6">
        <v>9</v>
      </c>
      <c r="I20" s="6">
        <v>0</v>
      </c>
      <c r="J20" s="6">
        <v>100</v>
      </c>
      <c r="K20" s="6">
        <v>0</v>
      </c>
      <c r="L20" s="6">
        <v>25</v>
      </c>
      <c r="M20" s="4" t="s">
        <v>73</v>
      </c>
      <c r="N20" s="2"/>
      <c r="O20" s="2"/>
      <c r="P20" s="2"/>
      <c r="Q20" s="2"/>
      <c r="R20" s="2"/>
      <c r="S20" s="2"/>
      <c r="T20" s="2"/>
      <c r="U20" s="2"/>
      <c r="V20" s="2"/>
      <c r="W20" s="2"/>
      <c r="X20" s="2"/>
      <c r="Y20" s="2"/>
      <c r="Z20" s="2"/>
    </row>
    <row r="21" spans="1:26" ht="19.5" customHeight="1">
      <c r="A21" s="4" t="s">
        <v>74</v>
      </c>
      <c r="B21" s="4" t="s">
        <v>75</v>
      </c>
      <c r="C21" s="5">
        <v>43834</v>
      </c>
      <c r="D21" s="4" t="s">
        <v>76</v>
      </c>
      <c r="E21" s="6">
        <v>0</v>
      </c>
      <c r="F21" s="6">
        <v>0</v>
      </c>
      <c r="G21" s="6">
        <v>0</v>
      </c>
      <c r="H21" s="6">
        <v>0</v>
      </c>
      <c r="I21" s="6">
        <v>0</v>
      </c>
      <c r="J21" s="6">
        <v>580</v>
      </c>
      <c r="K21" s="6">
        <v>0</v>
      </c>
      <c r="L21" s="6">
        <v>0</v>
      </c>
      <c r="M21" s="4" t="s">
        <v>77</v>
      </c>
      <c r="N21" s="2"/>
      <c r="O21" s="2"/>
      <c r="P21" s="2"/>
      <c r="Q21" s="2"/>
      <c r="R21" s="2"/>
      <c r="S21" s="2"/>
      <c r="T21" s="2"/>
      <c r="U21" s="2"/>
      <c r="V21" s="2"/>
      <c r="W21" s="2"/>
      <c r="X21" s="2"/>
      <c r="Y21" s="2"/>
      <c r="Z21" s="2"/>
    </row>
    <row r="22" spans="1:26" ht="19.5" customHeight="1">
      <c r="A22" s="4" t="s">
        <v>78</v>
      </c>
      <c r="B22" s="4" t="s">
        <v>79</v>
      </c>
      <c r="C22" s="5">
        <v>43834</v>
      </c>
      <c r="D22" s="4" t="s">
        <v>17</v>
      </c>
      <c r="E22" s="6">
        <v>160</v>
      </c>
      <c r="F22" s="6">
        <v>3</v>
      </c>
      <c r="G22" s="6">
        <v>9</v>
      </c>
      <c r="H22" s="6">
        <v>14</v>
      </c>
      <c r="I22" s="6">
        <v>0</v>
      </c>
      <c r="J22" s="6">
        <v>170</v>
      </c>
      <c r="K22" s="6">
        <v>2</v>
      </c>
      <c r="L22" s="6">
        <v>0</v>
      </c>
      <c r="M22" s="4" t="s">
        <v>80</v>
      </c>
      <c r="N22" s="2"/>
      <c r="O22" s="2"/>
      <c r="P22" s="2"/>
      <c r="Q22" s="2"/>
      <c r="R22" s="2"/>
      <c r="S22" s="2"/>
      <c r="T22" s="2"/>
      <c r="U22" s="2"/>
      <c r="V22" s="2"/>
      <c r="W22" s="2"/>
      <c r="X22" s="2"/>
      <c r="Y22" s="2"/>
      <c r="Z22" s="2"/>
    </row>
    <row r="23" spans="1:26" ht="19.5" customHeight="1">
      <c r="A23" s="4" t="s">
        <v>81</v>
      </c>
      <c r="B23" s="4" t="s">
        <v>82</v>
      </c>
      <c r="C23" s="5">
        <v>43834</v>
      </c>
      <c r="D23" s="4" t="s">
        <v>17</v>
      </c>
      <c r="E23" s="6">
        <v>170</v>
      </c>
      <c r="F23" s="6">
        <v>5</v>
      </c>
      <c r="G23" s="6">
        <v>0</v>
      </c>
      <c r="H23" s="6">
        <v>16</v>
      </c>
      <c r="I23" s="6">
        <v>4</v>
      </c>
      <c r="J23" s="6">
        <v>270</v>
      </c>
      <c r="K23" s="6">
        <v>0</v>
      </c>
      <c r="L23" s="6">
        <v>0</v>
      </c>
      <c r="M23" s="4" t="s">
        <v>83</v>
      </c>
      <c r="N23" s="2"/>
      <c r="O23" s="2"/>
      <c r="P23" s="2"/>
      <c r="Q23" s="2"/>
      <c r="R23" s="2"/>
      <c r="S23" s="2"/>
      <c r="T23" s="2"/>
      <c r="U23" s="2"/>
      <c r="V23" s="2"/>
      <c r="W23" s="2"/>
      <c r="X23" s="2"/>
      <c r="Y23" s="2"/>
      <c r="Z23" s="2"/>
    </row>
    <row r="24" spans="1:26" ht="19.5" customHeight="1">
      <c r="A24" s="4" t="s">
        <v>84</v>
      </c>
      <c r="B24" s="4" t="s">
        <v>85</v>
      </c>
      <c r="C24" s="5">
        <v>43834</v>
      </c>
      <c r="D24" s="4" t="s">
        <v>17</v>
      </c>
      <c r="E24" s="6">
        <v>422</v>
      </c>
      <c r="F24" s="6">
        <v>6</v>
      </c>
      <c r="G24" s="6">
        <v>4</v>
      </c>
      <c r="H24" s="6">
        <v>4</v>
      </c>
      <c r="I24" s="6">
        <v>2</v>
      </c>
      <c r="J24" s="6">
        <v>550</v>
      </c>
      <c r="K24" s="6">
        <v>5</v>
      </c>
      <c r="L24" s="6">
        <v>0</v>
      </c>
      <c r="M24" s="4" t="s">
        <v>86</v>
      </c>
      <c r="N24" s="2"/>
      <c r="O24" s="2"/>
      <c r="P24" s="2"/>
      <c r="Q24" s="2"/>
      <c r="R24" s="2"/>
      <c r="S24" s="2"/>
      <c r="T24" s="2"/>
      <c r="U24" s="2"/>
      <c r="V24" s="2"/>
      <c r="W24" s="2"/>
      <c r="X24" s="2"/>
      <c r="Y24" s="2"/>
      <c r="Z24" s="2"/>
    </row>
    <row r="25" spans="1:26" ht="19.5" customHeight="1">
      <c r="A25" s="4" t="s">
        <v>87</v>
      </c>
      <c r="B25" s="4" t="s">
        <v>88</v>
      </c>
      <c r="C25" s="5">
        <v>43834</v>
      </c>
      <c r="D25" s="4" t="s">
        <v>17</v>
      </c>
      <c r="E25" s="6">
        <v>326</v>
      </c>
      <c r="F25" s="6">
        <v>12</v>
      </c>
      <c r="G25" s="6">
        <v>6</v>
      </c>
      <c r="H25" s="6">
        <v>27</v>
      </c>
      <c r="I25" s="6">
        <v>1</v>
      </c>
      <c r="J25" s="6">
        <v>710</v>
      </c>
      <c r="K25" s="6">
        <v>5</v>
      </c>
      <c r="L25" s="6">
        <v>0</v>
      </c>
      <c r="M25" s="4" t="s">
        <v>89</v>
      </c>
      <c r="N25" s="2"/>
      <c r="O25" s="2"/>
      <c r="P25" s="2"/>
      <c r="Q25" s="2"/>
      <c r="R25" s="2"/>
      <c r="S25" s="2"/>
      <c r="T25" s="2"/>
      <c r="U25" s="2"/>
      <c r="V25" s="2"/>
      <c r="W25" s="2"/>
      <c r="X25" s="2"/>
      <c r="Y25" s="2"/>
      <c r="Z25" s="2"/>
    </row>
    <row r="26" spans="1:26" ht="19.5" customHeight="1">
      <c r="A26" s="4" t="s">
        <v>90</v>
      </c>
      <c r="B26" s="4" t="s">
        <v>91</v>
      </c>
      <c r="C26" s="5">
        <v>43834</v>
      </c>
      <c r="D26" s="4" t="s">
        <v>17</v>
      </c>
      <c r="E26" s="6">
        <v>160</v>
      </c>
      <c r="F26" s="7" t="s">
        <v>92</v>
      </c>
      <c r="G26" s="6">
        <v>3</v>
      </c>
      <c r="H26" s="6">
        <v>0</v>
      </c>
      <c r="I26" s="7" t="s">
        <v>18</v>
      </c>
      <c r="J26" s="6">
        <v>0</v>
      </c>
      <c r="K26" s="6">
        <v>1</v>
      </c>
      <c r="L26" s="6">
        <v>0</v>
      </c>
      <c r="M26" s="4" t="s">
        <v>93</v>
      </c>
      <c r="N26" s="2"/>
      <c r="O26" s="2"/>
      <c r="P26" s="2"/>
      <c r="Q26" s="2"/>
      <c r="R26" s="2"/>
      <c r="S26" s="2"/>
      <c r="T26" s="2"/>
      <c r="U26" s="2"/>
      <c r="V26" s="2"/>
      <c r="W26" s="2"/>
      <c r="X26" s="2"/>
      <c r="Y26" s="2"/>
      <c r="Z26" s="2"/>
    </row>
    <row r="27" spans="1:26" ht="19.5" customHeight="1">
      <c r="A27" s="4" t="s">
        <v>94</v>
      </c>
      <c r="B27" s="4" t="s">
        <v>95</v>
      </c>
      <c r="C27" s="5">
        <v>43834</v>
      </c>
      <c r="D27" s="4" t="s">
        <v>17</v>
      </c>
      <c r="E27" s="6">
        <v>95</v>
      </c>
      <c r="F27" s="6">
        <v>0</v>
      </c>
      <c r="G27" s="6">
        <v>3</v>
      </c>
      <c r="H27" s="6">
        <v>8</v>
      </c>
      <c r="I27" s="6">
        <v>0</v>
      </c>
      <c r="J27" s="6">
        <v>200</v>
      </c>
      <c r="K27" s="7" t="s">
        <v>18</v>
      </c>
      <c r="L27" s="7" t="s">
        <v>18</v>
      </c>
      <c r="M27" s="4" t="s">
        <v>96</v>
      </c>
      <c r="N27" s="2"/>
      <c r="O27" s="2"/>
      <c r="P27" s="2"/>
      <c r="Q27" s="2"/>
      <c r="R27" s="2"/>
      <c r="S27" s="2"/>
      <c r="T27" s="2"/>
      <c r="U27" s="2"/>
      <c r="V27" s="2"/>
      <c r="W27" s="2"/>
      <c r="X27" s="2"/>
      <c r="Y27" s="2"/>
      <c r="Z27" s="2"/>
    </row>
    <row r="28" spans="1:26" ht="19.5" customHeight="1">
      <c r="A28" s="4" t="s">
        <v>97</v>
      </c>
      <c r="B28" s="4" t="s">
        <v>98</v>
      </c>
      <c r="C28" s="5">
        <v>43834</v>
      </c>
      <c r="D28" s="4" t="s">
        <v>17</v>
      </c>
      <c r="E28" s="6">
        <v>160</v>
      </c>
      <c r="F28" s="6">
        <v>15</v>
      </c>
      <c r="G28" s="6">
        <v>2</v>
      </c>
      <c r="H28" s="6">
        <v>11</v>
      </c>
      <c r="I28" s="6">
        <v>12</v>
      </c>
      <c r="J28" s="6">
        <v>120</v>
      </c>
      <c r="K28" s="6">
        <v>1</v>
      </c>
      <c r="L28" s="6">
        <v>0</v>
      </c>
      <c r="M28" s="4" t="s">
        <v>99</v>
      </c>
      <c r="N28" s="2"/>
      <c r="O28" s="2"/>
      <c r="P28" s="2"/>
      <c r="Q28" s="2"/>
      <c r="R28" s="2"/>
      <c r="S28" s="2"/>
      <c r="T28" s="2"/>
      <c r="U28" s="2"/>
      <c r="V28" s="2"/>
      <c r="W28" s="2"/>
      <c r="X28" s="2"/>
      <c r="Y28" s="2"/>
      <c r="Z28" s="2"/>
    </row>
    <row r="29" spans="1:26" ht="19.5" customHeight="1">
      <c r="A29" s="4" t="s">
        <v>100</v>
      </c>
      <c r="B29" s="4" t="s">
        <v>101</v>
      </c>
      <c r="C29" s="5">
        <v>43834</v>
      </c>
      <c r="D29" s="4" t="s">
        <v>17</v>
      </c>
      <c r="E29" s="6">
        <v>150</v>
      </c>
      <c r="F29" s="6">
        <v>4</v>
      </c>
      <c r="G29" s="6">
        <v>8</v>
      </c>
      <c r="H29" s="6">
        <v>13</v>
      </c>
      <c r="I29" s="6">
        <v>0</v>
      </c>
      <c r="J29" s="6">
        <v>75</v>
      </c>
      <c r="K29" s="6">
        <v>2</v>
      </c>
      <c r="L29" s="6">
        <v>0</v>
      </c>
      <c r="M29" s="4" t="s">
        <v>102</v>
      </c>
      <c r="N29" s="2"/>
      <c r="O29" s="2"/>
      <c r="P29" s="2"/>
      <c r="Q29" s="2"/>
      <c r="R29" s="2"/>
      <c r="S29" s="2"/>
      <c r="T29" s="2"/>
      <c r="U29" s="2"/>
      <c r="V29" s="2"/>
      <c r="W29" s="2"/>
      <c r="X29" s="2"/>
      <c r="Y29" s="2"/>
      <c r="Z29" s="2"/>
    </row>
    <row r="30" spans="1:26" ht="19.5" customHeight="1">
      <c r="A30" s="4" t="s">
        <v>103</v>
      </c>
      <c r="B30" s="4" t="s">
        <v>104</v>
      </c>
      <c r="C30" s="5">
        <v>43834</v>
      </c>
      <c r="D30" s="4" t="s">
        <v>17</v>
      </c>
      <c r="E30" s="6">
        <v>170</v>
      </c>
      <c r="F30" s="6">
        <v>7</v>
      </c>
      <c r="G30" s="6">
        <v>4</v>
      </c>
      <c r="H30" s="6">
        <v>15</v>
      </c>
      <c r="I30" s="6">
        <v>4</v>
      </c>
      <c r="J30" s="6">
        <v>10</v>
      </c>
      <c r="K30" s="6">
        <v>2</v>
      </c>
      <c r="L30" s="6">
        <v>0</v>
      </c>
      <c r="M30" s="4" t="s">
        <v>105</v>
      </c>
      <c r="N30" s="2"/>
      <c r="O30" s="2"/>
      <c r="P30" s="2"/>
      <c r="Q30" s="2"/>
      <c r="R30" s="2"/>
      <c r="S30" s="2"/>
      <c r="T30" s="2"/>
      <c r="U30" s="2"/>
      <c r="V30" s="2"/>
      <c r="W30" s="2"/>
      <c r="X30" s="2"/>
      <c r="Y30" s="2"/>
      <c r="Z30" s="2"/>
    </row>
    <row r="31" spans="1:26" ht="19.5" customHeight="1">
      <c r="A31" s="4" t="s">
        <v>106</v>
      </c>
      <c r="B31" s="4" t="s">
        <v>107</v>
      </c>
      <c r="C31" s="4" t="s">
        <v>69</v>
      </c>
      <c r="D31" s="4" t="s">
        <v>17</v>
      </c>
      <c r="E31" s="6">
        <v>160</v>
      </c>
      <c r="F31" s="6">
        <v>8</v>
      </c>
      <c r="G31" s="6">
        <v>3</v>
      </c>
      <c r="H31" s="6">
        <v>14</v>
      </c>
      <c r="I31" s="7" t="s">
        <v>108</v>
      </c>
      <c r="J31" s="6">
        <v>10</v>
      </c>
      <c r="K31" s="6">
        <v>3</v>
      </c>
      <c r="L31" s="6">
        <v>0</v>
      </c>
      <c r="M31" s="4" t="s">
        <v>109</v>
      </c>
      <c r="N31" s="2"/>
      <c r="O31" s="2"/>
      <c r="P31" s="2"/>
      <c r="Q31" s="2"/>
      <c r="R31" s="2"/>
      <c r="S31" s="2"/>
      <c r="T31" s="2"/>
      <c r="U31" s="2"/>
      <c r="V31" s="2"/>
      <c r="W31" s="2"/>
      <c r="X31" s="2"/>
      <c r="Y31" s="2"/>
      <c r="Z31" s="2"/>
    </row>
    <row r="32" spans="1:26" ht="19.5" customHeight="1">
      <c r="A32" s="4" t="s">
        <v>110</v>
      </c>
      <c r="B32" s="4" t="s">
        <v>111</v>
      </c>
      <c r="C32" s="5">
        <v>43834</v>
      </c>
      <c r="D32" s="4" t="s">
        <v>17</v>
      </c>
      <c r="E32" s="6">
        <v>40</v>
      </c>
      <c r="F32" s="6">
        <v>2</v>
      </c>
      <c r="G32" s="6">
        <v>1</v>
      </c>
      <c r="H32" s="6">
        <v>3</v>
      </c>
      <c r="I32" s="7" t="s">
        <v>112</v>
      </c>
      <c r="J32" s="6">
        <v>150</v>
      </c>
      <c r="K32" s="6">
        <v>0</v>
      </c>
      <c r="L32" s="6">
        <v>0</v>
      </c>
      <c r="M32" s="4" t="s">
        <v>113</v>
      </c>
      <c r="N32" s="2"/>
      <c r="O32" s="2"/>
      <c r="P32" s="2"/>
      <c r="Q32" s="2"/>
      <c r="R32" s="2"/>
      <c r="S32" s="2"/>
      <c r="T32" s="2"/>
      <c r="U32" s="2"/>
      <c r="V32" s="2"/>
      <c r="W32" s="2"/>
      <c r="X32" s="2"/>
      <c r="Y32" s="2"/>
      <c r="Z32" s="2"/>
    </row>
    <row r="33" spans="1:26" ht="19.5" customHeight="1">
      <c r="A33" s="4" t="s">
        <v>114</v>
      </c>
      <c r="B33" s="4" t="s">
        <v>115</v>
      </c>
      <c r="C33" s="5">
        <v>43834</v>
      </c>
      <c r="D33" s="4" t="s">
        <v>17</v>
      </c>
      <c r="E33" s="6">
        <v>170</v>
      </c>
      <c r="F33" s="6">
        <v>7</v>
      </c>
      <c r="G33" s="6">
        <v>4</v>
      </c>
      <c r="H33" s="6">
        <v>15</v>
      </c>
      <c r="I33" s="6">
        <v>4</v>
      </c>
      <c r="J33" s="6">
        <v>10</v>
      </c>
      <c r="K33" s="6">
        <v>2</v>
      </c>
      <c r="L33" s="6">
        <v>0</v>
      </c>
      <c r="M33" s="4" t="s">
        <v>116</v>
      </c>
      <c r="N33" s="2"/>
      <c r="O33" s="2"/>
      <c r="P33" s="2"/>
      <c r="Q33" s="2"/>
      <c r="R33" s="2"/>
      <c r="S33" s="2"/>
      <c r="T33" s="2"/>
      <c r="U33" s="2"/>
      <c r="V33" s="2"/>
      <c r="W33" s="2"/>
      <c r="X33" s="2"/>
      <c r="Y33" s="2"/>
      <c r="Z33" s="2"/>
    </row>
    <row r="34" spans="1:26" ht="19.5" customHeight="1">
      <c r="A34" s="4" t="s">
        <v>117</v>
      </c>
      <c r="B34" s="4" t="s">
        <v>118</v>
      </c>
      <c r="C34" s="5">
        <v>43834</v>
      </c>
      <c r="D34" s="4" t="s">
        <v>17</v>
      </c>
      <c r="E34" s="6">
        <v>140</v>
      </c>
      <c r="F34" s="6">
        <v>9</v>
      </c>
      <c r="G34" s="6">
        <v>3</v>
      </c>
      <c r="H34" s="6">
        <v>10</v>
      </c>
      <c r="I34" s="6">
        <v>3</v>
      </c>
      <c r="J34" s="6">
        <v>0</v>
      </c>
      <c r="K34" s="6">
        <v>4</v>
      </c>
      <c r="L34" s="6">
        <v>0</v>
      </c>
      <c r="M34" s="4" t="s">
        <v>119</v>
      </c>
      <c r="N34" s="2"/>
      <c r="O34" s="2"/>
      <c r="P34" s="2"/>
      <c r="Q34" s="2"/>
      <c r="R34" s="2"/>
      <c r="S34" s="2"/>
      <c r="T34" s="2"/>
      <c r="U34" s="2"/>
      <c r="V34" s="2"/>
      <c r="W34" s="2"/>
      <c r="X34" s="2"/>
      <c r="Y34" s="2"/>
      <c r="Z34" s="2"/>
    </row>
    <row r="35" spans="1:26" ht="19.5" customHeight="1">
      <c r="A35" s="4" t="s">
        <v>120</v>
      </c>
      <c r="B35" s="4" t="s">
        <v>121</v>
      </c>
      <c r="C35" s="5">
        <v>43834</v>
      </c>
      <c r="D35" s="4" t="s">
        <v>76</v>
      </c>
      <c r="E35" s="6">
        <v>0</v>
      </c>
      <c r="F35" s="6">
        <v>0</v>
      </c>
      <c r="G35" s="6">
        <v>0</v>
      </c>
      <c r="H35" s="6">
        <v>0</v>
      </c>
      <c r="I35" s="6">
        <v>0</v>
      </c>
      <c r="J35" s="6">
        <v>390</v>
      </c>
      <c r="K35" s="6">
        <v>0</v>
      </c>
      <c r="L35" s="6">
        <v>0</v>
      </c>
      <c r="M35" s="4" t="s">
        <v>122</v>
      </c>
      <c r="N35" s="2"/>
      <c r="O35" s="2"/>
      <c r="P35" s="2"/>
      <c r="Q35" s="2"/>
      <c r="R35" s="2"/>
      <c r="S35" s="2"/>
      <c r="T35" s="2"/>
      <c r="U35" s="2"/>
      <c r="V35" s="2"/>
      <c r="W35" s="2"/>
      <c r="X35" s="2"/>
      <c r="Y35" s="2"/>
      <c r="Z35" s="2"/>
    </row>
    <row r="36" spans="1:26" ht="19.5" customHeight="1">
      <c r="A36" s="4" t="s">
        <v>123</v>
      </c>
      <c r="B36" s="4" t="s">
        <v>124</v>
      </c>
      <c r="C36" s="5">
        <v>43834</v>
      </c>
      <c r="D36" s="4" t="s">
        <v>17</v>
      </c>
      <c r="E36" s="6">
        <v>150</v>
      </c>
      <c r="F36" s="6">
        <v>32</v>
      </c>
      <c r="G36" s="6">
        <v>7</v>
      </c>
      <c r="H36" s="6">
        <v>0.5</v>
      </c>
      <c r="I36" s="6">
        <v>1</v>
      </c>
      <c r="J36" s="6">
        <v>0</v>
      </c>
      <c r="K36" s="7" t="s">
        <v>125</v>
      </c>
      <c r="L36" s="6">
        <v>0</v>
      </c>
      <c r="M36" s="4" t="s">
        <v>126</v>
      </c>
      <c r="N36" s="2"/>
      <c r="O36" s="2"/>
      <c r="P36" s="2"/>
      <c r="Q36" s="2"/>
      <c r="R36" s="2"/>
      <c r="S36" s="2"/>
      <c r="T36" s="2"/>
      <c r="U36" s="2"/>
      <c r="V36" s="2"/>
      <c r="W36" s="2"/>
      <c r="X36" s="2"/>
      <c r="Y36" s="2"/>
      <c r="Z36" s="2"/>
    </row>
    <row r="37" spans="1:26" ht="19.5" customHeight="1">
      <c r="A37" s="4" t="s">
        <v>127</v>
      </c>
      <c r="B37" s="4" t="s">
        <v>128</v>
      </c>
      <c r="C37" s="5">
        <v>43833</v>
      </c>
      <c r="D37" s="4" t="s">
        <v>17</v>
      </c>
      <c r="E37" s="6">
        <v>140</v>
      </c>
      <c r="F37" s="6">
        <v>20</v>
      </c>
      <c r="G37" s="6">
        <v>3</v>
      </c>
      <c r="H37" s="6">
        <v>6</v>
      </c>
      <c r="I37" s="6">
        <v>6</v>
      </c>
      <c r="J37" s="6">
        <v>125</v>
      </c>
      <c r="K37" s="6">
        <v>2</v>
      </c>
      <c r="L37" s="6">
        <v>0</v>
      </c>
      <c r="M37" s="4" t="s">
        <v>129</v>
      </c>
      <c r="N37" s="2"/>
      <c r="O37" s="2"/>
      <c r="P37" s="2"/>
      <c r="Q37" s="2"/>
      <c r="R37" s="2"/>
      <c r="S37" s="2"/>
      <c r="T37" s="2"/>
      <c r="U37" s="2"/>
      <c r="V37" s="2"/>
      <c r="W37" s="2"/>
      <c r="X37" s="2"/>
      <c r="Y37" s="2"/>
      <c r="Z37" s="2"/>
    </row>
    <row r="38" spans="1:26" ht="19.5" customHeight="1">
      <c r="A38" s="4" t="s">
        <v>130</v>
      </c>
      <c r="B38" s="4" t="s">
        <v>131</v>
      </c>
      <c r="C38" s="5">
        <v>43833</v>
      </c>
      <c r="D38" s="4" t="s">
        <v>17</v>
      </c>
      <c r="E38" s="6">
        <v>140</v>
      </c>
      <c r="F38" s="6">
        <v>20</v>
      </c>
      <c r="G38" s="6">
        <v>3</v>
      </c>
      <c r="H38" s="6">
        <v>5</v>
      </c>
      <c r="I38" s="6">
        <v>7</v>
      </c>
      <c r="J38" s="6">
        <v>110</v>
      </c>
      <c r="K38" s="6">
        <v>2</v>
      </c>
      <c r="L38" s="6">
        <v>0</v>
      </c>
      <c r="M38" s="4" t="s">
        <v>132</v>
      </c>
      <c r="N38" s="2"/>
      <c r="O38" s="2"/>
      <c r="P38" s="2"/>
      <c r="Q38" s="2"/>
      <c r="R38" s="2"/>
      <c r="S38" s="2"/>
      <c r="T38" s="2"/>
      <c r="U38" s="2"/>
      <c r="V38" s="2"/>
      <c r="W38" s="2"/>
      <c r="X38" s="2"/>
      <c r="Y38" s="2"/>
      <c r="Z38" s="2"/>
    </row>
    <row r="39" spans="1:26" ht="19.5" customHeight="1">
      <c r="A39" s="4" t="s">
        <v>133</v>
      </c>
      <c r="B39" s="4" t="s">
        <v>134</v>
      </c>
      <c r="C39" s="5">
        <v>43833</v>
      </c>
      <c r="D39" s="4" t="s">
        <v>135</v>
      </c>
      <c r="E39" s="6">
        <v>0</v>
      </c>
      <c r="F39" s="6">
        <v>0</v>
      </c>
      <c r="G39" s="7" t="s">
        <v>18</v>
      </c>
      <c r="H39" s="6">
        <v>0</v>
      </c>
      <c r="I39" s="6">
        <v>0</v>
      </c>
      <c r="J39" s="6">
        <v>240</v>
      </c>
      <c r="K39" s="6">
        <v>0</v>
      </c>
      <c r="L39" s="6">
        <v>0</v>
      </c>
      <c r="M39" s="4" t="s">
        <v>136</v>
      </c>
      <c r="N39" s="2"/>
      <c r="O39" s="2"/>
      <c r="P39" s="2"/>
      <c r="Q39" s="2"/>
      <c r="R39" s="2"/>
      <c r="S39" s="2"/>
      <c r="T39" s="2"/>
      <c r="U39" s="2"/>
      <c r="V39" s="2"/>
      <c r="W39" s="2"/>
      <c r="X39" s="2"/>
      <c r="Y39" s="2"/>
      <c r="Z39" s="2"/>
    </row>
    <row r="40" spans="1:26" ht="19.5" customHeight="1">
      <c r="A40" s="4" t="s">
        <v>137</v>
      </c>
      <c r="B40" s="4" t="s">
        <v>138</v>
      </c>
      <c r="C40" s="5">
        <v>43833</v>
      </c>
      <c r="D40" s="4" t="s">
        <v>17</v>
      </c>
      <c r="E40" s="6">
        <v>190</v>
      </c>
      <c r="F40" s="6">
        <v>2</v>
      </c>
      <c r="G40" s="6">
        <v>11</v>
      </c>
      <c r="H40" s="6">
        <v>15</v>
      </c>
      <c r="I40" s="6">
        <v>0</v>
      </c>
      <c r="J40" s="6">
        <v>340</v>
      </c>
      <c r="K40" s="7" t="s">
        <v>18</v>
      </c>
      <c r="L40" s="6">
        <v>45</v>
      </c>
      <c r="M40" s="4" t="s">
        <v>139</v>
      </c>
      <c r="N40" s="2"/>
      <c r="O40" s="2"/>
      <c r="P40" s="2"/>
      <c r="Q40" s="2"/>
      <c r="R40" s="2"/>
      <c r="S40" s="2"/>
      <c r="T40" s="2"/>
      <c r="U40" s="2"/>
      <c r="V40" s="2"/>
      <c r="W40" s="2"/>
      <c r="X40" s="2"/>
      <c r="Y40" s="2"/>
      <c r="Z40" s="2"/>
    </row>
    <row r="41" spans="1:26" ht="19.5" customHeight="1">
      <c r="A41" s="4" t="s">
        <v>140</v>
      </c>
      <c r="B41" s="4" t="s">
        <v>141</v>
      </c>
      <c r="C41" s="5">
        <v>43833</v>
      </c>
      <c r="D41" s="4" t="s">
        <v>17</v>
      </c>
      <c r="E41" s="6">
        <v>170</v>
      </c>
      <c r="F41" s="6">
        <v>9</v>
      </c>
      <c r="G41" s="6">
        <v>5</v>
      </c>
      <c r="H41" s="6">
        <v>13</v>
      </c>
      <c r="I41" s="6">
        <v>5</v>
      </c>
      <c r="J41" s="6">
        <v>115</v>
      </c>
      <c r="K41" s="6">
        <v>2</v>
      </c>
      <c r="L41" s="6">
        <v>0</v>
      </c>
      <c r="M41" s="4" t="s">
        <v>142</v>
      </c>
      <c r="N41" s="2"/>
      <c r="O41" s="2"/>
      <c r="P41" s="2"/>
      <c r="Q41" s="2"/>
      <c r="R41" s="2"/>
      <c r="S41" s="2"/>
      <c r="T41" s="2"/>
      <c r="U41" s="2"/>
      <c r="V41" s="2"/>
      <c r="W41" s="2"/>
      <c r="X41" s="2"/>
      <c r="Y41" s="2"/>
      <c r="Z41" s="2"/>
    </row>
    <row r="42" spans="1:26" ht="19.5" customHeight="1">
      <c r="A42" s="4" t="s">
        <v>143</v>
      </c>
      <c r="B42" s="4" t="s">
        <v>144</v>
      </c>
      <c r="C42" s="4" t="s">
        <v>145</v>
      </c>
      <c r="D42" s="4" t="s">
        <v>17</v>
      </c>
      <c r="E42" s="6">
        <v>140</v>
      </c>
      <c r="F42" s="6">
        <v>20</v>
      </c>
      <c r="G42" s="6">
        <v>3</v>
      </c>
      <c r="H42" s="6">
        <v>6</v>
      </c>
      <c r="I42" s="6">
        <v>6</v>
      </c>
      <c r="J42" s="6">
        <v>135</v>
      </c>
      <c r="K42" s="7" t="s">
        <v>112</v>
      </c>
      <c r="L42" s="6">
        <v>0</v>
      </c>
      <c r="M42" s="4" t="s">
        <v>146</v>
      </c>
      <c r="N42" s="2"/>
      <c r="O42" s="2"/>
      <c r="P42" s="2"/>
      <c r="Q42" s="2"/>
      <c r="R42" s="2"/>
      <c r="S42" s="2"/>
      <c r="T42" s="2"/>
      <c r="U42" s="2"/>
      <c r="V42" s="2"/>
      <c r="W42" s="2"/>
      <c r="X42" s="2"/>
      <c r="Y42" s="2"/>
      <c r="Z42" s="2"/>
    </row>
    <row r="43" spans="1:26" ht="19.5" customHeight="1">
      <c r="A43" s="4" t="s">
        <v>147</v>
      </c>
      <c r="B43" s="4" t="s">
        <v>148</v>
      </c>
      <c r="C43" s="4" t="s">
        <v>145</v>
      </c>
      <c r="D43" s="4" t="s">
        <v>17</v>
      </c>
      <c r="E43" s="6">
        <v>190</v>
      </c>
      <c r="F43" s="6">
        <v>20</v>
      </c>
      <c r="G43" s="6">
        <v>7</v>
      </c>
      <c r="H43" s="6">
        <v>9</v>
      </c>
      <c r="I43" s="6">
        <v>3</v>
      </c>
      <c r="J43" s="6">
        <v>250</v>
      </c>
      <c r="K43" s="6">
        <v>3</v>
      </c>
      <c r="L43" s="6">
        <v>0</v>
      </c>
      <c r="M43" s="4" t="s">
        <v>149</v>
      </c>
      <c r="N43" s="2"/>
      <c r="O43" s="2"/>
      <c r="P43" s="2"/>
      <c r="Q43" s="2"/>
      <c r="R43" s="2"/>
      <c r="S43" s="2"/>
      <c r="T43" s="2"/>
      <c r="U43" s="2"/>
      <c r="V43" s="2"/>
      <c r="W43" s="2"/>
      <c r="X43" s="2"/>
      <c r="Y43" s="2"/>
      <c r="Z43" s="2"/>
    </row>
    <row r="44" spans="1:26" ht="19.5" customHeight="1">
      <c r="A44" s="4" t="s">
        <v>150</v>
      </c>
      <c r="B44" s="4" t="s">
        <v>151</v>
      </c>
      <c r="C44" s="5">
        <v>43832</v>
      </c>
      <c r="D44" s="4" t="s">
        <v>17</v>
      </c>
      <c r="E44" s="6">
        <v>90</v>
      </c>
      <c r="F44" s="6">
        <v>8</v>
      </c>
      <c r="G44" s="6">
        <v>3</v>
      </c>
      <c r="H44" s="6">
        <v>5</v>
      </c>
      <c r="I44" s="6">
        <v>2</v>
      </c>
      <c r="J44" s="6">
        <v>430</v>
      </c>
      <c r="K44" s="6">
        <v>2</v>
      </c>
      <c r="L44" s="6">
        <v>15</v>
      </c>
      <c r="M44" s="4" t="s">
        <v>152</v>
      </c>
      <c r="N44" s="2"/>
      <c r="O44" s="2"/>
      <c r="P44" s="2"/>
      <c r="Q44" s="2"/>
      <c r="R44" s="2"/>
      <c r="S44" s="2"/>
      <c r="T44" s="2"/>
      <c r="U44" s="2"/>
      <c r="V44" s="2"/>
      <c r="W44" s="2"/>
      <c r="X44" s="2"/>
      <c r="Y44" s="2"/>
      <c r="Z44" s="2"/>
    </row>
    <row r="45" spans="1:26" ht="19.5" customHeight="1">
      <c r="A45" s="4" t="s">
        <v>153</v>
      </c>
      <c r="B45" s="4" t="s">
        <v>154</v>
      </c>
      <c r="C45" s="4" t="s">
        <v>155</v>
      </c>
      <c r="D45" s="4" t="s">
        <v>17</v>
      </c>
      <c r="E45" s="6">
        <v>25</v>
      </c>
      <c r="F45" s="6">
        <v>5</v>
      </c>
      <c r="G45" s="6">
        <v>1</v>
      </c>
      <c r="H45" s="6">
        <v>0</v>
      </c>
      <c r="I45" s="6">
        <v>3</v>
      </c>
      <c r="J45" s="6">
        <v>190</v>
      </c>
      <c r="K45" s="6">
        <v>0</v>
      </c>
      <c r="L45" s="6">
        <v>0</v>
      </c>
      <c r="M45" s="4" t="s">
        <v>156</v>
      </c>
      <c r="N45" s="2"/>
      <c r="O45" s="2"/>
      <c r="P45" s="2"/>
      <c r="Q45" s="2"/>
      <c r="R45" s="2"/>
      <c r="S45" s="2"/>
      <c r="T45" s="2"/>
      <c r="U45" s="2"/>
      <c r="V45" s="2"/>
      <c r="W45" s="2"/>
      <c r="X45" s="2"/>
      <c r="Y45" s="2"/>
      <c r="Z45" s="2"/>
    </row>
    <row r="46" spans="1:26" ht="19.5" customHeight="1">
      <c r="A46" s="4" t="s">
        <v>157</v>
      </c>
      <c r="B46" s="4" t="s">
        <v>158</v>
      </c>
      <c r="C46" s="5">
        <v>43832</v>
      </c>
      <c r="D46" s="4" t="s">
        <v>17</v>
      </c>
      <c r="E46" s="6">
        <v>25</v>
      </c>
      <c r="F46" s="6">
        <v>5</v>
      </c>
      <c r="G46" s="6">
        <v>1</v>
      </c>
      <c r="H46" s="6">
        <v>0</v>
      </c>
      <c r="I46" s="6">
        <v>4</v>
      </c>
      <c r="J46" s="6">
        <v>20</v>
      </c>
      <c r="K46" s="6">
        <v>2</v>
      </c>
      <c r="L46" s="6">
        <v>0</v>
      </c>
      <c r="M46" s="4" t="s">
        <v>159</v>
      </c>
      <c r="N46" s="2"/>
      <c r="O46" s="2"/>
      <c r="P46" s="2"/>
      <c r="Q46" s="2"/>
      <c r="R46" s="2"/>
      <c r="S46" s="2"/>
      <c r="T46" s="2"/>
      <c r="U46" s="2"/>
      <c r="V46" s="2"/>
      <c r="W46" s="2"/>
      <c r="X46" s="2"/>
      <c r="Y46" s="2"/>
      <c r="Z46" s="2"/>
    </row>
    <row r="47" spans="1:26" ht="19.5" customHeight="1">
      <c r="A47" s="4" t="s">
        <v>160</v>
      </c>
      <c r="B47" s="4" t="s">
        <v>161</v>
      </c>
      <c r="C47" s="5">
        <v>43832</v>
      </c>
      <c r="D47" s="4" t="s">
        <v>17</v>
      </c>
      <c r="E47" s="6">
        <v>190</v>
      </c>
      <c r="F47" s="6">
        <v>30</v>
      </c>
      <c r="G47" s="6">
        <v>14</v>
      </c>
      <c r="H47" s="6">
        <v>2</v>
      </c>
      <c r="I47" s="6">
        <v>3</v>
      </c>
      <c r="J47" s="6">
        <v>380</v>
      </c>
      <c r="K47" s="6">
        <v>5</v>
      </c>
      <c r="L47" s="6">
        <v>10</v>
      </c>
      <c r="M47" s="4" t="s">
        <v>162</v>
      </c>
      <c r="N47" s="2"/>
      <c r="O47" s="2"/>
      <c r="P47" s="2"/>
      <c r="Q47" s="2"/>
      <c r="R47" s="2"/>
      <c r="S47" s="2"/>
      <c r="T47" s="2"/>
      <c r="U47" s="2"/>
      <c r="V47" s="2"/>
      <c r="W47" s="2"/>
      <c r="X47" s="2"/>
      <c r="Y47" s="2"/>
      <c r="Z47" s="2"/>
    </row>
    <row r="48" spans="1:26" ht="19.5" customHeight="1">
      <c r="A48" s="4" t="s">
        <v>163</v>
      </c>
      <c r="B48" s="4" t="s">
        <v>164</v>
      </c>
      <c r="C48" s="4" t="s">
        <v>155</v>
      </c>
      <c r="D48" s="4" t="s">
        <v>17</v>
      </c>
      <c r="E48" s="6">
        <v>3</v>
      </c>
      <c r="F48" s="6">
        <v>0</v>
      </c>
      <c r="G48" s="6">
        <v>0</v>
      </c>
      <c r="H48" s="6">
        <v>0</v>
      </c>
      <c r="I48" s="6">
        <v>0</v>
      </c>
      <c r="J48" s="6">
        <v>155</v>
      </c>
      <c r="K48" s="6">
        <v>0</v>
      </c>
      <c r="L48" s="6">
        <v>0</v>
      </c>
      <c r="M48" s="4" t="s">
        <v>165</v>
      </c>
      <c r="N48" s="2"/>
      <c r="O48" s="2"/>
      <c r="P48" s="2"/>
      <c r="Q48" s="2"/>
      <c r="R48" s="2"/>
      <c r="S48" s="2"/>
      <c r="T48" s="2"/>
      <c r="U48" s="2"/>
      <c r="V48" s="2"/>
      <c r="W48" s="2"/>
      <c r="X48" s="2"/>
      <c r="Y48" s="2"/>
      <c r="Z48" s="2"/>
    </row>
    <row r="49" spans="1:26" ht="19.5" customHeight="1">
      <c r="A49" s="4" t="s">
        <v>166</v>
      </c>
      <c r="B49" s="4" t="s">
        <v>167</v>
      </c>
      <c r="C49" s="4" t="s">
        <v>155</v>
      </c>
      <c r="D49" s="4" t="s">
        <v>17</v>
      </c>
      <c r="E49" s="6">
        <v>170</v>
      </c>
      <c r="F49" s="6">
        <v>11</v>
      </c>
      <c r="G49" s="6">
        <v>2</v>
      </c>
      <c r="H49" s="6">
        <v>14</v>
      </c>
      <c r="I49" s="6">
        <v>8</v>
      </c>
      <c r="J49" s="6">
        <v>580</v>
      </c>
      <c r="K49" s="6">
        <v>1</v>
      </c>
      <c r="L49" s="6">
        <v>20</v>
      </c>
      <c r="M49" s="4" t="s">
        <v>168</v>
      </c>
      <c r="N49" s="2"/>
      <c r="O49" s="2"/>
      <c r="P49" s="2"/>
      <c r="Q49" s="2"/>
      <c r="R49" s="2"/>
      <c r="S49" s="2"/>
      <c r="T49" s="2"/>
      <c r="U49" s="2"/>
      <c r="V49" s="2"/>
      <c r="W49" s="2"/>
      <c r="X49" s="2"/>
      <c r="Y49" s="2"/>
      <c r="Z49" s="2"/>
    </row>
    <row r="50" spans="1:26" ht="19.5" customHeight="1">
      <c r="A50" s="4" t="s">
        <v>169</v>
      </c>
      <c r="B50" s="4" t="s">
        <v>170</v>
      </c>
      <c r="C50" s="4" t="s">
        <v>155</v>
      </c>
      <c r="D50" s="4" t="s">
        <v>17</v>
      </c>
      <c r="E50" s="7" t="s">
        <v>171</v>
      </c>
      <c r="F50" s="7" t="s">
        <v>172</v>
      </c>
      <c r="G50" s="7" t="s">
        <v>125</v>
      </c>
      <c r="H50" s="7" t="s">
        <v>173</v>
      </c>
      <c r="I50" s="7" t="s">
        <v>174</v>
      </c>
      <c r="J50" s="7" t="s">
        <v>175</v>
      </c>
      <c r="K50" s="7" t="s">
        <v>176</v>
      </c>
      <c r="L50" s="7" t="s">
        <v>177</v>
      </c>
      <c r="M50" s="4" t="s">
        <v>178</v>
      </c>
      <c r="N50" s="2"/>
      <c r="O50" s="2"/>
      <c r="P50" s="2"/>
      <c r="Q50" s="2"/>
      <c r="R50" s="2"/>
      <c r="S50" s="2"/>
      <c r="T50" s="2"/>
      <c r="U50" s="2"/>
      <c r="V50" s="2"/>
      <c r="W50" s="2"/>
      <c r="X50" s="2"/>
      <c r="Y50" s="2"/>
      <c r="Z50" s="2"/>
    </row>
    <row r="51" spans="1:26" ht="19.5" customHeight="1">
      <c r="A51" s="4" t="s">
        <v>179</v>
      </c>
      <c r="B51" s="4" t="s">
        <v>180</v>
      </c>
      <c r="C51" s="4" t="s">
        <v>155</v>
      </c>
      <c r="D51" s="4" t="s">
        <v>17</v>
      </c>
      <c r="E51" s="6">
        <v>120</v>
      </c>
      <c r="F51" s="6">
        <v>22</v>
      </c>
      <c r="G51" s="6">
        <v>1</v>
      </c>
      <c r="H51" s="6">
        <v>3</v>
      </c>
      <c r="I51" s="6">
        <v>14</v>
      </c>
      <c r="J51" s="6">
        <v>200</v>
      </c>
      <c r="K51" s="6">
        <v>1</v>
      </c>
      <c r="L51" s="6">
        <v>0</v>
      </c>
      <c r="M51" s="4" t="s">
        <v>181</v>
      </c>
      <c r="N51" s="2"/>
      <c r="O51" s="2"/>
      <c r="P51" s="2"/>
      <c r="Q51" s="2"/>
      <c r="R51" s="2"/>
      <c r="S51" s="2"/>
      <c r="T51" s="2"/>
      <c r="U51" s="2"/>
      <c r="V51" s="2"/>
      <c r="W51" s="2"/>
      <c r="X51" s="2"/>
      <c r="Y51" s="2"/>
      <c r="Z51" s="2"/>
    </row>
    <row r="52" spans="1:26" ht="19.5" customHeight="1">
      <c r="A52" s="9" t="s">
        <v>182</v>
      </c>
      <c r="B52" s="10" t="s">
        <v>183</v>
      </c>
      <c r="C52" s="5">
        <v>43832</v>
      </c>
      <c r="D52" s="4" t="s">
        <v>17</v>
      </c>
      <c r="E52" s="6">
        <v>45</v>
      </c>
      <c r="F52" s="6">
        <v>8</v>
      </c>
      <c r="G52" s="6">
        <v>2</v>
      </c>
      <c r="H52" s="6">
        <v>1</v>
      </c>
      <c r="I52" s="6">
        <v>3</v>
      </c>
      <c r="J52" s="6">
        <v>670</v>
      </c>
      <c r="K52" s="6">
        <v>3</v>
      </c>
      <c r="L52" s="6">
        <v>0</v>
      </c>
      <c r="M52" s="4" t="s">
        <v>184</v>
      </c>
      <c r="N52" s="2"/>
      <c r="O52" s="2"/>
      <c r="P52" s="2"/>
      <c r="Q52" s="2"/>
      <c r="R52" s="2"/>
      <c r="S52" s="2"/>
      <c r="T52" s="2"/>
      <c r="U52" s="2"/>
      <c r="V52" s="2"/>
      <c r="W52" s="2"/>
      <c r="X52" s="2"/>
      <c r="Y52" s="2"/>
      <c r="Z52" s="2"/>
    </row>
    <row r="53" spans="1:26" ht="19.5" customHeight="1">
      <c r="A53" s="4" t="s">
        <v>185</v>
      </c>
      <c r="B53" s="4" t="s">
        <v>186</v>
      </c>
      <c r="C53" s="5">
        <v>43832</v>
      </c>
      <c r="D53" s="4" t="s">
        <v>17</v>
      </c>
      <c r="E53" s="6">
        <v>70</v>
      </c>
      <c r="F53" s="6">
        <v>14</v>
      </c>
      <c r="G53" s="6">
        <v>5</v>
      </c>
      <c r="H53" s="6">
        <v>20</v>
      </c>
      <c r="I53" s="6">
        <v>6</v>
      </c>
      <c r="J53" s="6">
        <v>110</v>
      </c>
      <c r="K53" s="6">
        <v>3</v>
      </c>
      <c r="L53" s="6">
        <v>45</v>
      </c>
      <c r="M53" s="4" t="s">
        <v>187</v>
      </c>
      <c r="N53" s="2"/>
      <c r="O53" s="2"/>
      <c r="P53" s="2"/>
      <c r="Q53" s="2"/>
      <c r="R53" s="2"/>
      <c r="S53" s="2"/>
      <c r="T53" s="2"/>
      <c r="U53" s="2"/>
      <c r="V53" s="2"/>
      <c r="W53" s="2"/>
      <c r="X53" s="2"/>
      <c r="Y53" s="2"/>
      <c r="Z53" s="2"/>
    </row>
    <row r="54" spans="1:26" ht="19.5" customHeight="1">
      <c r="A54" s="4" t="s">
        <v>188</v>
      </c>
      <c r="B54" s="4" t="s">
        <v>189</v>
      </c>
      <c r="C54" s="5">
        <v>43832</v>
      </c>
      <c r="D54" s="4" t="s">
        <v>17</v>
      </c>
      <c r="E54" s="6">
        <v>80</v>
      </c>
      <c r="F54" s="6">
        <v>4</v>
      </c>
      <c r="G54" s="6">
        <v>1</v>
      </c>
      <c r="H54" s="6">
        <v>7</v>
      </c>
      <c r="I54" s="6">
        <v>3</v>
      </c>
      <c r="J54" s="6">
        <v>340</v>
      </c>
      <c r="K54" s="6">
        <v>1</v>
      </c>
      <c r="L54" s="6">
        <v>0</v>
      </c>
      <c r="M54" s="4" t="s">
        <v>190</v>
      </c>
      <c r="N54" s="2"/>
      <c r="O54" s="2"/>
      <c r="P54" s="2"/>
      <c r="Q54" s="2"/>
      <c r="R54" s="2"/>
      <c r="S54" s="2"/>
      <c r="T54" s="2"/>
      <c r="U54" s="2"/>
      <c r="V54" s="2"/>
      <c r="W54" s="2"/>
      <c r="X54" s="2"/>
      <c r="Y54" s="2"/>
      <c r="Z54" s="2"/>
    </row>
    <row r="55" spans="1:26" ht="19.5" customHeight="1">
      <c r="A55" s="4" t="s">
        <v>191</v>
      </c>
      <c r="B55" s="4" t="s">
        <v>192</v>
      </c>
      <c r="C55" s="5">
        <v>43832</v>
      </c>
      <c r="D55" s="4" t="s">
        <v>17</v>
      </c>
      <c r="E55" s="6">
        <v>290</v>
      </c>
      <c r="F55" s="6">
        <v>29</v>
      </c>
      <c r="G55" s="7" t="s">
        <v>193</v>
      </c>
      <c r="H55" s="6">
        <v>15</v>
      </c>
      <c r="I55" s="6">
        <v>11</v>
      </c>
      <c r="J55" s="6">
        <v>50</v>
      </c>
      <c r="K55" s="6">
        <v>5</v>
      </c>
      <c r="L55" s="6">
        <v>0</v>
      </c>
      <c r="M55" s="4" t="s">
        <v>194</v>
      </c>
      <c r="N55" s="2"/>
      <c r="O55" s="2"/>
      <c r="P55" s="2"/>
      <c r="Q55" s="2"/>
      <c r="R55" s="2"/>
      <c r="S55" s="2"/>
      <c r="T55" s="2"/>
      <c r="U55" s="2"/>
      <c r="V55" s="2"/>
      <c r="W55" s="2"/>
      <c r="X55" s="2"/>
      <c r="Y55" s="2"/>
      <c r="Z55" s="2"/>
    </row>
    <row r="56" spans="1:26" ht="19.5" customHeight="1">
      <c r="A56" s="4" t="s">
        <v>195</v>
      </c>
      <c r="B56" s="4" t="s">
        <v>196</v>
      </c>
      <c r="C56" s="5">
        <v>43832</v>
      </c>
      <c r="D56" s="4" t="s">
        <v>17</v>
      </c>
      <c r="E56" s="6">
        <v>90</v>
      </c>
      <c r="F56" s="6">
        <v>13</v>
      </c>
      <c r="G56" s="6">
        <v>12</v>
      </c>
      <c r="H56" s="6">
        <v>2</v>
      </c>
      <c r="I56" s="6">
        <v>1</v>
      </c>
      <c r="J56" s="6">
        <v>120</v>
      </c>
      <c r="K56" s="6">
        <v>7</v>
      </c>
      <c r="L56" s="6">
        <v>0</v>
      </c>
      <c r="M56" s="4" t="s">
        <v>197</v>
      </c>
      <c r="N56" s="2"/>
      <c r="O56" s="2"/>
      <c r="P56" s="2"/>
      <c r="Q56" s="2"/>
      <c r="R56" s="2"/>
      <c r="S56" s="2"/>
      <c r="T56" s="2"/>
      <c r="U56" s="2"/>
      <c r="V56" s="2"/>
      <c r="W56" s="2"/>
      <c r="X56" s="2"/>
      <c r="Y56" s="2"/>
      <c r="Z56" s="2"/>
    </row>
    <row r="57" spans="1:26" ht="19.5" customHeight="1">
      <c r="A57" s="4" t="s">
        <v>198</v>
      </c>
      <c r="B57" s="4" t="s">
        <v>199</v>
      </c>
      <c r="C57" s="4" t="s">
        <v>155</v>
      </c>
      <c r="D57" s="4" t="s">
        <v>200</v>
      </c>
      <c r="E57" s="6">
        <v>80</v>
      </c>
      <c r="F57" s="7" t="s">
        <v>201</v>
      </c>
      <c r="G57" s="6">
        <v>4</v>
      </c>
      <c r="H57" s="6">
        <v>0.5</v>
      </c>
      <c r="I57" s="6">
        <v>0</v>
      </c>
      <c r="J57" s="6">
        <v>0</v>
      </c>
      <c r="K57" s="11">
        <v>3</v>
      </c>
      <c r="L57" s="6">
        <v>0</v>
      </c>
      <c r="M57" s="4" t="s">
        <v>202</v>
      </c>
      <c r="N57" s="2"/>
      <c r="O57" s="2"/>
      <c r="P57" s="2"/>
      <c r="Q57" s="2"/>
      <c r="R57" s="2"/>
      <c r="S57" s="2"/>
      <c r="T57" s="2"/>
      <c r="U57" s="2"/>
      <c r="V57" s="2"/>
      <c r="W57" s="2"/>
      <c r="X57" s="2"/>
      <c r="Y57" s="2"/>
      <c r="Z57" s="2"/>
    </row>
    <row r="58" spans="1:26" ht="19.5" customHeight="1">
      <c r="A58" s="4" t="s">
        <v>203</v>
      </c>
      <c r="B58" s="4" t="s">
        <v>204</v>
      </c>
      <c r="C58" s="5">
        <v>43832</v>
      </c>
      <c r="D58" s="4" t="s">
        <v>205</v>
      </c>
      <c r="E58" s="6">
        <v>80</v>
      </c>
      <c r="F58" s="6">
        <v>0</v>
      </c>
      <c r="G58" s="6">
        <v>7</v>
      </c>
      <c r="H58" s="6">
        <v>6</v>
      </c>
      <c r="I58" s="6">
        <v>0</v>
      </c>
      <c r="J58" s="6">
        <v>340</v>
      </c>
      <c r="K58" s="6">
        <v>0</v>
      </c>
      <c r="L58" s="6">
        <v>15</v>
      </c>
      <c r="M58" s="4" t="s">
        <v>206</v>
      </c>
      <c r="N58" s="2"/>
      <c r="O58" s="2"/>
      <c r="P58" s="2"/>
      <c r="Q58" s="2"/>
      <c r="R58" s="2"/>
      <c r="S58" s="2"/>
      <c r="T58" s="2"/>
      <c r="U58" s="2"/>
      <c r="V58" s="2"/>
      <c r="W58" s="2"/>
      <c r="X58" s="2"/>
      <c r="Y58" s="2"/>
      <c r="Z58" s="2"/>
    </row>
    <row r="59" spans="1:26" ht="19.5" customHeight="1">
      <c r="A59" s="4" t="s">
        <v>207</v>
      </c>
      <c r="B59" s="4" t="s">
        <v>208</v>
      </c>
      <c r="C59" s="5">
        <v>43832</v>
      </c>
      <c r="D59" s="12" t="s">
        <v>17</v>
      </c>
      <c r="E59" s="6">
        <v>90</v>
      </c>
      <c r="F59" s="6">
        <v>12</v>
      </c>
      <c r="G59" s="6">
        <v>8</v>
      </c>
      <c r="H59" s="6">
        <v>4</v>
      </c>
      <c r="I59" s="6">
        <v>0</v>
      </c>
      <c r="J59" s="6">
        <v>140</v>
      </c>
      <c r="K59" s="6">
        <v>7</v>
      </c>
      <c r="L59" s="6">
        <v>0</v>
      </c>
      <c r="M59" s="12" t="s">
        <v>209</v>
      </c>
      <c r="N59" s="2"/>
      <c r="O59" s="2"/>
      <c r="P59" s="2"/>
      <c r="Q59" s="2"/>
      <c r="R59" s="2"/>
      <c r="S59" s="2"/>
      <c r="T59" s="2"/>
      <c r="U59" s="2"/>
      <c r="V59" s="2"/>
      <c r="W59" s="2"/>
      <c r="X59" s="2"/>
      <c r="Y59" s="2"/>
      <c r="Z59" s="2"/>
    </row>
    <row r="60" spans="1:26" ht="19.5" customHeight="1">
      <c r="A60" s="4" t="s">
        <v>210</v>
      </c>
      <c r="B60" s="4" t="s">
        <v>211</v>
      </c>
      <c r="C60" s="5">
        <v>43832</v>
      </c>
      <c r="D60" s="4" t="s">
        <v>212</v>
      </c>
      <c r="E60" s="6">
        <v>170</v>
      </c>
      <c r="F60" s="6">
        <v>0</v>
      </c>
      <c r="G60" s="6">
        <v>15</v>
      </c>
      <c r="H60" s="6">
        <v>12</v>
      </c>
      <c r="I60" s="6">
        <v>0</v>
      </c>
      <c r="J60" s="6">
        <v>310</v>
      </c>
      <c r="K60" s="6">
        <v>0</v>
      </c>
      <c r="L60" s="6">
        <v>30</v>
      </c>
      <c r="M60" s="4" t="s">
        <v>213</v>
      </c>
      <c r="N60" s="2"/>
      <c r="O60" s="2"/>
      <c r="P60" s="2"/>
      <c r="Q60" s="2"/>
      <c r="R60" s="2"/>
      <c r="S60" s="2"/>
      <c r="T60" s="2"/>
      <c r="U60" s="2"/>
      <c r="V60" s="2"/>
      <c r="W60" s="2"/>
      <c r="X60" s="2"/>
      <c r="Y60" s="2"/>
      <c r="Z60" s="2"/>
    </row>
    <row r="61" spans="1:26" ht="19.5" customHeight="1">
      <c r="A61" s="4" t="s">
        <v>214</v>
      </c>
      <c r="B61" s="4" t="s">
        <v>215</v>
      </c>
      <c r="C61" s="5">
        <v>43832</v>
      </c>
      <c r="D61" s="4" t="s">
        <v>200</v>
      </c>
      <c r="E61" s="6">
        <v>80</v>
      </c>
      <c r="F61" s="6">
        <v>15</v>
      </c>
      <c r="G61" s="6">
        <v>4</v>
      </c>
      <c r="H61" s="6">
        <v>0.5</v>
      </c>
      <c r="I61" s="6">
        <v>0</v>
      </c>
      <c r="J61" s="6">
        <v>75</v>
      </c>
      <c r="K61" s="6">
        <v>3</v>
      </c>
      <c r="L61" s="6">
        <v>0</v>
      </c>
      <c r="M61" s="4" t="s">
        <v>202</v>
      </c>
      <c r="N61" s="2"/>
      <c r="O61" s="2"/>
      <c r="P61" s="2"/>
      <c r="Q61" s="2"/>
      <c r="R61" s="2"/>
      <c r="S61" s="2"/>
      <c r="T61" s="2"/>
      <c r="U61" s="2"/>
      <c r="V61" s="2"/>
      <c r="W61" s="2"/>
      <c r="X61" s="2"/>
      <c r="Y61" s="2"/>
      <c r="Z61" s="2"/>
    </row>
    <row r="62" spans="1:26" ht="19.5" customHeight="1">
      <c r="A62" s="4" t="s">
        <v>216</v>
      </c>
      <c r="B62" s="4" t="s">
        <v>217</v>
      </c>
      <c r="C62" s="12" t="s">
        <v>218</v>
      </c>
      <c r="D62" s="4" t="s">
        <v>218</v>
      </c>
      <c r="E62" s="6">
        <v>120</v>
      </c>
      <c r="F62" s="6">
        <v>0</v>
      </c>
      <c r="G62" s="6">
        <v>0</v>
      </c>
      <c r="H62" s="6">
        <v>14</v>
      </c>
      <c r="I62" s="6">
        <v>0</v>
      </c>
      <c r="J62" s="6">
        <v>0</v>
      </c>
      <c r="K62" s="6">
        <v>0</v>
      </c>
      <c r="L62" s="6">
        <v>0</v>
      </c>
      <c r="M62" s="4" t="s">
        <v>219</v>
      </c>
      <c r="N62" s="2"/>
      <c r="O62" s="2"/>
      <c r="P62" s="2"/>
      <c r="Q62" s="2"/>
      <c r="R62" s="2"/>
      <c r="S62" s="2"/>
      <c r="T62" s="2"/>
      <c r="U62" s="2"/>
      <c r="V62" s="2"/>
      <c r="W62" s="2"/>
      <c r="X62" s="2"/>
      <c r="Y62" s="2"/>
      <c r="Z62" s="2"/>
    </row>
    <row r="63" spans="1:26" ht="19.5" customHeight="1">
      <c r="A63" s="4" t="s">
        <v>220</v>
      </c>
      <c r="B63" s="4" t="s">
        <v>221</v>
      </c>
      <c r="C63" s="6">
        <v>240</v>
      </c>
      <c r="D63" s="4" t="s">
        <v>222</v>
      </c>
      <c r="E63" s="6">
        <v>20</v>
      </c>
      <c r="F63" s="6">
        <v>6</v>
      </c>
      <c r="G63" s="6">
        <v>0</v>
      </c>
      <c r="H63" s="6">
        <v>0</v>
      </c>
      <c r="I63" s="6">
        <v>4</v>
      </c>
      <c r="J63" s="6">
        <v>50</v>
      </c>
      <c r="K63" s="6">
        <v>0</v>
      </c>
      <c r="L63" s="6">
        <v>0</v>
      </c>
      <c r="M63" s="4" t="s">
        <v>223</v>
      </c>
      <c r="N63" s="2"/>
      <c r="O63" s="2"/>
      <c r="P63" s="2"/>
      <c r="Q63" s="2"/>
      <c r="R63" s="2"/>
      <c r="S63" s="2"/>
      <c r="T63" s="2"/>
      <c r="U63" s="2"/>
      <c r="V63" s="2"/>
      <c r="W63" s="2"/>
      <c r="X63" s="2"/>
      <c r="Y63" s="2"/>
      <c r="Z63" s="2"/>
    </row>
    <row r="64" spans="1:26" ht="19.5" customHeight="1">
      <c r="A64" s="4" t="s">
        <v>224</v>
      </c>
      <c r="B64" s="4" t="s">
        <v>225</v>
      </c>
      <c r="C64" s="6">
        <v>100</v>
      </c>
      <c r="D64" s="4" t="s">
        <v>226</v>
      </c>
      <c r="E64" s="6">
        <v>699</v>
      </c>
      <c r="F64" s="6">
        <v>13.3</v>
      </c>
      <c r="G64" s="6">
        <v>20.5</v>
      </c>
      <c r="H64" s="6">
        <v>62.8</v>
      </c>
      <c r="I64" s="6">
        <v>0</v>
      </c>
      <c r="J64" s="6">
        <v>235</v>
      </c>
      <c r="K64" s="6">
        <v>3</v>
      </c>
      <c r="L64" s="6">
        <v>0</v>
      </c>
      <c r="M64" s="4" t="s">
        <v>227</v>
      </c>
      <c r="N64" s="2"/>
      <c r="O64" s="2"/>
      <c r="P64" s="2"/>
      <c r="Q64" s="2"/>
      <c r="R64" s="2"/>
      <c r="S64" s="2"/>
      <c r="T64" s="2"/>
      <c r="U64" s="2"/>
      <c r="V64" s="2"/>
      <c r="W64" s="2"/>
      <c r="X64" s="2"/>
      <c r="Y64" s="2"/>
      <c r="Z64" s="2"/>
    </row>
    <row r="65" spans="1:26" ht="19.5" customHeight="1">
      <c r="A65" s="4" t="s">
        <v>228</v>
      </c>
      <c r="B65" s="4" t="s">
        <v>229</v>
      </c>
      <c r="C65" s="6">
        <v>85</v>
      </c>
      <c r="D65" s="4" t="s">
        <v>226</v>
      </c>
      <c r="E65" s="6">
        <v>130</v>
      </c>
      <c r="F65" s="6">
        <v>5</v>
      </c>
      <c r="G65" s="6">
        <v>7</v>
      </c>
      <c r="H65" s="6">
        <v>9</v>
      </c>
      <c r="I65" s="6">
        <v>2</v>
      </c>
      <c r="J65" s="6">
        <v>440</v>
      </c>
      <c r="K65" s="6">
        <v>1</v>
      </c>
      <c r="L65" s="6">
        <v>25</v>
      </c>
      <c r="M65" s="4" t="s">
        <v>230</v>
      </c>
      <c r="N65" s="2"/>
      <c r="O65" s="2"/>
      <c r="P65" s="2"/>
      <c r="Q65" s="2"/>
      <c r="R65" s="2"/>
      <c r="S65" s="2"/>
      <c r="T65" s="2"/>
      <c r="U65" s="2"/>
      <c r="V65" s="2"/>
      <c r="W65" s="2"/>
      <c r="X65" s="2"/>
      <c r="Y65" s="2"/>
      <c r="Z65" s="2"/>
    </row>
    <row r="66" spans="1:26" ht="19.5" customHeight="1">
      <c r="A66" s="4" t="s">
        <v>231</v>
      </c>
      <c r="B66" s="4" t="s">
        <v>232</v>
      </c>
      <c r="C66" s="6">
        <v>85</v>
      </c>
      <c r="D66" s="4" t="s">
        <v>226</v>
      </c>
      <c r="E66" s="6">
        <v>90</v>
      </c>
      <c r="F66" s="6">
        <v>7</v>
      </c>
      <c r="G66" s="6">
        <v>3</v>
      </c>
      <c r="H66" s="6">
        <v>6</v>
      </c>
      <c r="I66" s="6">
        <v>0</v>
      </c>
      <c r="J66" s="6">
        <v>310</v>
      </c>
      <c r="K66" s="6">
        <v>6</v>
      </c>
      <c r="L66" s="6">
        <v>0</v>
      </c>
      <c r="M66" s="4" t="s">
        <v>233</v>
      </c>
      <c r="N66" s="2"/>
      <c r="O66" s="2"/>
      <c r="P66" s="2"/>
      <c r="Q66" s="2"/>
      <c r="R66" s="2"/>
      <c r="S66" s="2"/>
      <c r="T66" s="2"/>
      <c r="U66" s="2"/>
      <c r="V66" s="2"/>
      <c r="W66" s="2"/>
      <c r="X66" s="2"/>
      <c r="Y66" s="2"/>
      <c r="Z66" s="2"/>
    </row>
    <row r="67" spans="1:26" ht="19.5" customHeight="1">
      <c r="A67" s="4" t="s">
        <v>234</v>
      </c>
      <c r="B67" s="4" t="s">
        <v>235</v>
      </c>
      <c r="C67" s="6">
        <v>60</v>
      </c>
      <c r="D67" s="4" t="s">
        <v>236</v>
      </c>
      <c r="E67" s="6">
        <v>120</v>
      </c>
      <c r="F67" s="6">
        <v>18</v>
      </c>
      <c r="G67" s="6">
        <v>3</v>
      </c>
      <c r="H67" s="6">
        <v>4</v>
      </c>
      <c r="I67" s="6">
        <v>1</v>
      </c>
      <c r="J67" s="6">
        <v>230</v>
      </c>
      <c r="K67" s="6">
        <v>1</v>
      </c>
      <c r="L67" s="6">
        <v>2</v>
      </c>
      <c r="M67" s="4" t="s">
        <v>237</v>
      </c>
      <c r="N67" s="2"/>
      <c r="O67" s="2"/>
      <c r="P67" s="2"/>
      <c r="Q67" s="2"/>
      <c r="R67" s="2"/>
      <c r="S67" s="2"/>
      <c r="T67" s="2"/>
      <c r="U67" s="2"/>
      <c r="V67" s="2"/>
      <c r="W67" s="2"/>
      <c r="X67" s="2"/>
      <c r="Y67" s="2"/>
      <c r="Z67" s="2"/>
    </row>
    <row r="68" spans="1:26" ht="19.5" customHeight="1">
      <c r="A68" s="4" t="s">
        <v>238</v>
      </c>
      <c r="B68" s="4" t="s">
        <v>239</v>
      </c>
      <c r="C68" s="6">
        <v>60</v>
      </c>
      <c r="D68" s="4" t="s">
        <v>236</v>
      </c>
      <c r="E68" s="6">
        <v>120</v>
      </c>
      <c r="F68" s="6">
        <v>19</v>
      </c>
      <c r="G68" s="6">
        <v>3</v>
      </c>
      <c r="H68" s="6">
        <v>3.5</v>
      </c>
      <c r="I68" s="6">
        <v>1</v>
      </c>
      <c r="J68" s="6">
        <v>230</v>
      </c>
      <c r="K68" s="6">
        <v>1</v>
      </c>
      <c r="L68" s="6">
        <v>0</v>
      </c>
      <c r="M68" s="4" t="s">
        <v>240</v>
      </c>
      <c r="N68" s="2"/>
      <c r="O68" s="2"/>
      <c r="P68" s="2"/>
      <c r="Q68" s="2"/>
      <c r="R68" s="2"/>
      <c r="S68" s="2"/>
      <c r="T68" s="2"/>
      <c r="U68" s="2"/>
      <c r="V68" s="2"/>
      <c r="W68" s="2"/>
      <c r="X68" s="2"/>
      <c r="Y68" s="2"/>
      <c r="Z68" s="2"/>
    </row>
    <row r="69" spans="1:26" ht="19.5" customHeight="1">
      <c r="A69" s="4" t="s">
        <v>241</v>
      </c>
      <c r="B69" s="4" t="s">
        <v>242</v>
      </c>
      <c r="C69" s="6">
        <v>60</v>
      </c>
      <c r="D69" s="4" t="s">
        <v>236</v>
      </c>
      <c r="E69" s="6">
        <v>120</v>
      </c>
      <c r="F69" s="6">
        <v>19</v>
      </c>
      <c r="G69" s="6">
        <v>3</v>
      </c>
      <c r="H69" s="6">
        <v>3.5</v>
      </c>
      <c r="I69" s="6">
        <v>1</v>
      </c>
      <c r="J69" s="6">
        <v>230</v>
      </c>
      <c r="K69" s="6">
        <v>1</v>
      </c>
      <c r="L69" s="6">
        <v>0</v>
      </c>
      <c r="M69" s="4" t="s">
        <v>240</v>
      </c>
      <c r="N69" s="2"/>
      <c r="O69" s="2"/>
      <c r="P69" s="2"/>
      <c r="Q69" s="2"/>
      <c r="R69" s="2"/>
      <c r="S69" s="2"/>
      <c r="T69" s="2"/>
      <c r="U69" s="2"/>
      <c r="V69" s="2"/>
      <c r="W69" s="2"/>
      <c r="X69" s="2"/>
      <c r="Y69" s="2"/>
      <c r="Z69" s="2"/>
    </row>
    <row r="70" spans="1:26" ht="19.5" customHeight="1">
      <c r="A70" s="4" t="s">
        <v>243</v>
      </c>
      <c r="B70" s="4" t="s">
        <v>244</v>
      </c>
      <c r="C70" s="6">
        <v>60</v>
      </c>
      <c r="D70" s="4" t="s">
        <v>236</v>
      </c>
      <c r="E70" s="6">
        <v>120</v>
      </c>
      <c r="F70" s="6">
        <v>18</v>
      </c>
      <c r="G70" s="6">
        <v>3</v>
      </c>
      <c r="H70" s="6">
        <v>4</v>
      </c>
      <c r="I70" s="6">
        <v>1</v>
      </c>
      <c r="J70" s="6">
        <v>230</v>
      </c>
      <c r="K70" s="6">
        <v>1</v>
      </c>
      <c r="L70" s="6">
        <v>2</v>
      </c>
      <c r="M70" s="4" t="s">
        <v>237</v>
      </c>
      <c r="N70" s="2"/>
      <c r="O70" s="2"/>
      <c r="P70" s="2"/>
      <c r="Q70" s="2"/>
      <c r="R70" s="2"/>
      <c r="S70" s="2"/>
      <c r="T70" s="2"/>
      <c r="U70" s="2"/>
      <c r="V70" s="2"/>
      <c r="W70" s="2"/>
      <c r="X70" s="2"/>
      <c r="Y70" s="2"/>
      <c r="Z70" s="2"/>
    </row>
    <row r="71" spans="1:26" ht="19.5" customHeight="1">
      <c r="A71" s="4" t="s">
        <v>245</v>
      </c>
      <c r="B71" s="4" t="s">
        <v>246</v>
      </c>
      <c r="C71" s="6">
        <v>50</v>
      </c>
      <c r="D71" s="4" t="s">
        <v>222</v>
      </c>
      <c r="E71" s="6">
        <v>0</v>
      </c>
      <c r="F71" s="6">
        <v>0</v>
      </c>
      <c r="G71" s="6">
        <v>0</v>
      </c>
      <c r="H71" s="6">
        <v>0</v>
      </c>
      <c r="I71" s="6">
        <v>0</v>
      </c>
      <c r="J71" s="6">
        <v>0</v>
      </c>
      <c r="K71" s="6">
        <v>0</v>
      </c>
      <c r="L71" s="6">
        <v>0</v>
      </c>
      <c r="M71" s="4" t="s">
        <v>247</v>
      </c>
      <c r="N71" s="2"/>
      <c r="O71" s="2"/>
      <c r="P71" s="2"/>
      <c r="Q71" s="2"/>
      <c r="R71" s="2"/>
      <c r="S71" s="2"/>
      <c r="T71" s="2"/>
      <c r="U71" s="2"/>
      <c r="V71" s="2"/>
      <c r="W71" s="2"/>
      <c r="X71" s="2"/>
      <c r="Y71" s="2"/>
      <c r="Z71" s="2"/>
    </row>
    <row r="72" spans="1:26" ht="19.5" customHeight="1">
      <c r="A72" s="4" t="s">
        <v>248</v>
      </c>
      <c r="B72" s="4" t="s">
        <v>249</v>
      </c>
      <c r="C72" s="6">
        <v>50</v>
      </c>
      <c r="D72" s="4" t="s">
        <v>222</v>
      </c>
      <c r="E72" s="6">
        <v>0</v>
      </c>
      <c r="F72" s="6">
        <v>0</v>
      </c>
      <c r="G72" s="6">
        <v>0</v>
      </c>
      <c r="H72" s="6">
        <v>0</v>
      </c>
      <c r="I72" s="6">
        <v>0</v>
      </c>
      <c r="J72" s="6">
        <v>0</v>
      </c>
      <c r="K72" s="6">
        <v>0</v>
      </c>
      <c r="L72" s="6">
        <v>0</v>
      </c>
      <c r="M72" s="4" t="s">
        <v>250</v>
      </c>
      <c r="N72" s="2"/>
      <c r="O72" s="2"/>
      <c r="P72" s="2"/>
      <c r="Q72" s="2"/>
      <c r="R72" s="2"/>
      <c r="S72" s="2"/>
      <c r="T72" s="2"/>
      <c r="U72" s="2"/>
      <c r="V72" s="2"/>
      <c r="W72" s="2"/>
      <c r="X72" s="2"/>
      <c r="Y72" s="2"/>
      <c r="Z72" s="2"/>
    </row>
    <row r="73" spans="1:26" ht="19.5" customHeight="1">
      <c r="A73" s="4" t="s">
        <v>251</v>
      </c>
      <c r="B73" s="4" t="s">
        <v>252</v>
      </c>
      <c r="C73" s="6">
        <v>50</v>
      </c>
      <c r="D73" s="4" t="s">
        <v>222</v>
      </c>
      <c r="E73" s="6">
        <v>0</v>
      </c>
      <c r="F73" s="6">
        <v>0</v>
      </c>
      <c r="G73" s="6">
        <v>0</v>
      </c>
      <c r="H73" s="6">
        <v>0</v>
      </c>
      <c r="I73" s="6">
        <v>0</v>
      </c>
      <c r="J73" s="6">
        <v>0</v>
      </c>
      <c r="K73" s="6">
        <v>0</v>
      </c>
      <c r="L73" s="6">
        <v>0</v>
      </c>
      <c r="M73" s="4" t="s">
        <v>247</v>
      </c>
      <c r="N73" s="2"/>
      <c r="O73" s="2"/>
      <c r="P73" s="2"/>
      <c r="Q73" s="2"/>
      <c r="R73" s="2"/>
      <c r="S73" s="2"/>
      <c r="T73" s="2"/>
      <c r="U73" s="2"/>
      <c r="V73" s="2"/>
      <c r="W73" s="2"/>
      <c r="X73" s="2"/>
      <c r="Y73" s="2"/>
      <c r="Z73" s="2"/>
    </row>
    <row r="74" spans="1:26" ht="19.5" customHeight="1">
      <c r="A74" s="4" t="s">
        <v>253</v>
      </c>
      <c r="B74" s="4" t="s">
        <v>254</v>
      </c>
      <c r="C74" s="6">
        <v>42</v>
      </c>
      <c r="D74" s="4" t="s">
        <v>226</v>
      </c>
      <c r="E74" s="6">
        <v>180</v>
      </c>
      <c r="F74" s="6">
        <v>0</v>
      </c>
      <c r="G74" s="6">
        <v>12</v>
      </c>
      <c r="H74" s="6">
        <v>13</v>
      </c>
      <c r="I74" s="6">
        <v>0</v>
      </c>
      <c r="J74" s="6">
        <v>330</v>
      </c>
      <c r="K74" s="6">
        <v>0</v>
      </c>
      <c r="L74" s="6">
        <v>45</v>
      </c>
      <c r="M74" s="4" t="s">
        <v>255</v>
      </c>
      <c r="N74" s="2"/>
      <c r="O74" s="2"/>
      <c r="P74" s="2"/>
      <c r="Q74" s="2"/>
      <c r="R74" s="2"/>
      <c r="S74" s="2"/>
      <c r="T74" s="2"/>
      <c r="U74" s="2"/>
      <c r="V74" s="2"/>
      <c r="W74" s="2"/>
      <c r="X74" s="2"/>
      <c r="Y74" s="2"/>
      <c r="Z74" s="2"/>
    </row>
    <row r="75" spans="1:26" ht="19.5" customHeight="1">
      <c r="A75" s="4" t="s">
        <v>256</v>
      </c>
      <c r="B75" s="4" t="s">
        <v>257</v>
      </c>
      <c r="C75" s="6">
        <v>40</v>
      </c>
      <c r="D75" s="4" t="s">
        <v>226</v>
      </c>
      <c r="E75" s="6">
        <v>190</v>
      </c>
      <c r="F75" s="6">
        <v>13</v>
      </c>
      <c r="G75" s="6">
        <v>11</v>
      </c>
      <c r="H75" s="6">
        <v>14</v>
      </c>
      <c r="I75" s="6">
        <v>3</v>
      </c>
      <c r="J75" s="6">
        <v>55</v>
      </c>
      <c r="K75" s="6">
        <v>6</v>
      </c>
      <c r="L75" s="6">
        <v>10</v>
      </c>
      <c r="M75" s="4" t="s">
        <v>258</v>
      </c>
      <c r="N75" s="2"/>
      <c r="O75" s="2"/>
      <c r="P75" s="2"/>
      <c r="Q75" s="2"/>
      <c r="R75" s="2"/>
      <c r="S75" s="2"/>
      <c r="T75" s="2"/>
      <c r="U75" s="2"/>
      <c r="V75" s="2"/>
      <c r="W75" s="2"/>
      <c r="X75" s="2"/>
      <c r="Y75" s="2"/>
      <c r="Z75" s="2"/>
    </row>
    <row r="76" spans="1:26" ht="19.5" customHeight="1">
      <c r="A76" s="4" t="s">
        <v>259</v>
      </c>
      <c r="B76" s="4" t="s">
        <v>260</v>
      </c>
      <c r="C76" s="6">
        <v>40</v>
      </c>
      <c r="D76" s="4" t="s">
        <v>226</v>
      </c>
      <c r="E76" s="6">
        <v>180</v>
      </c>
      <c r="F76" s="6">
        <v>15</v>
      </c>
      <c r="G76" s="6">
        <v>11</v>
      </c>
      <c r="H76" s="6">
        <v>14</v>
      </c>
      <c r="I76" s="6">
        <v>1</v>
      </c>
      <c r="J76" s="6">
        <v>15</v>
      </c>
      <c r="K76" s="6">
        <v>7</v>
      </c>
      <c r="L76" s="6">
        <v>10</v>
      </c>
      <c r="M76" s="4" t="s">
        <v>261</v>
      </c>
      <c r="N76" s="2"/>
      <c r="O76" s="2"/>
      <c r="P76" s="2"/>
      <c r="Q76" s="2"/>
      <c r="R76" s="2"/>
      <c r="S76" s="2"/>
      <c r="T76" s="2"/>
      <c r="U76" s="2"/>
      <c r="V76" s="2"/>
      <c r="W76" s="2"/>
      <c r="X76" s="2"/>
      <c r="Y76" s="2"/>
      <c r="Z76" s="2"/>
    </row>
    <row r="77" spans="1:26" ht="19.5" customHeight="1">
      <c r="A77" s="4" t="s">
        <v>262</v>
      </c>
      <c r="B77" s="4" t="s">
        <v>263</v>
      </c>
      <c r="C77" s="6">
        <v>40</v>
      </c>
      <c r="D77" s="4" t="s">
        <v>226</v>
      </c>
      <c r="E77" s="6">
        <v>250</v>
      </c>
      <c r="F77" s="6">
        <v>15</v>
      </c>
      <c r="G77" s="6">
        <v>5</v>
      </c>
      <c r="H77" s="6">
        <v>20</v>
      </c>
      <c r="I77" s="6">
        <v>5</v>
      </c>
      <c r="J77" s="6">
        <v>0</v>
      </c>
      <c r="K77" s="6">
        <v>6</v>
      </c>
      <c r="L77" s="6">
        <v>0</v>
      </c>
      <c r="M77" s="4" t="s">
        <v>264</v>
      </c>
      <c r="N77" s="2"/>
      <c r="O77" s="2"/>
      <c r="P77" s="2"/>
      <c r="Q77" s="2"/>
      <c r="R77" s="2"/>
      <c r="S77" s="2"/>
      <c r="T77" s="2"/>
      <c r="U77" s="2"/>
      <c r="V77" s="2"/>
      <c r="W77" s="2"/>
      <c r="X77" s="2"/>
      <c r="Y77" s="2"/>
      <c r="Z77" s="2"/>
    </row>
    <row r="78" spans="1:26" ht="19.5" customHeight="1">
      <c r="A78" s="4" t="s">
        <v>265</v>
      </c>
      <c r="B78" s="4" t="s">
        <v>266</v>
      </c>
      <c r="C78" s="6">
        <v>40</v>
      </c>
      <c r="D78" s="4" t="s">
        <v>267</v>
      </c>
      <c r="E78" s="6">
        <v>110</v>
      </c>
      <c r="F78" s="6">
        <v>23</v>
      </c>
      <c r="G78" s="6">
        <v>1</v>
      </c>
      <c r="H78" s="6">
        <v>1.5</v>
      </c>
      <c r="I78" s="6">
        <v>1</v>
      </c>
      <c r="J78" s="6">
        <v>330</v>
      </c>
      <c r="K78" s="6">
        <v>3</v>
      </c>
      <c r="L78" s="6">
        <v>0</v>
      </c>
      <c r="M78" s="4" t="s">
        <v>268</v>
      </c>
      <c r="N78" s="2"/>
      <c r="O78" s="2"/>
      <c r="P78" s="2"/>
      <c r="Q78" s="2"/>
      <c r="R78" s="2"/>
      <c r="S78" s="2"/>
      <c r="T78" s="2"/>
      <c r="U78" s="2"/>
      <c r="V78" s="2"/>
      <c r="W78" s="2"/>
      <c r="X78" s="2"/>
      <c r="Y78" s="2"/>
      <c r="Z78" s="2"/>
    </row>
    <row r="79" spans="1:26" ht="19.5" customHeight="1">
      <c r="A79" s="4" t="s">
        <v>269</v>
      </c>
      <c r="B79" s="4" t="s">
        <v>270</v>
      </c>
      <c r="C79" s="6">
        <v>32</v>
      </c>
      <c r="D79" s="4" t="s">
        <v>226</v>
      </c>
      <c r="E79" s="6">
        <v>210</v>
      </c>
      <c r="F79" s="6">
        <v>8</v>
      </c>
      <c r="G79" s="6">
        <v>5</v>
      </c>
      <c r="H79" s="6">
        <v>17</v>
      </c>
      <c r="I79" s="6">
        <v>5</v>
      </c>
      <c r="J79" s="6">
        <v>90</v>
      </c>
      <c r="K79" s="6">
        <v>2</v>
      </c>
      <c r="L79" s="6">
        <v>0</v>
      </c>
      <c r="M79" s="4" t="s">
        <v>271</v>
      </c>
      <c r="N79" s="2"/>
      <c r="O79" s="2"/>
      <c r="P79" s="2"/>
      <c r="Q79" s="2"/>
      <c r="R79" s="2"/>
      <c r="S79" s="2"/>
      <c r="T79" s="2"/>
      <c r="U79" s="2"/>
      <c r="V79" s="2"/>
      <c r="W79" s="2"/>
      <c r="X79" s="2"/>
      <c r="Y79" s="2"/>
      <c r="Z79" s="2"/>
    </row>
    <row r="80" spans="1:26" ht="19.5" customHeight="1">
      <c r="A80" s="4" t="s">
        <v>272</v>
      </c>
      <c r="B80" s="4" t="s">
        <v>273</v>
      </c>
      <c r="C80" s="6">
        <v>28</v>
      </c>
      <c r="D80" s="4" t="s">
        <v>226</v>
      </c>
      <c r="E80" s="6">
        <v>220</v>
      </c>
      <c r="F80" s="6">
        <v>1</v>
      </c>
      <c r="G80" s="6">
        <v>2</v>
      </c>
      <c r="H80" s="6">
        <v>23</v>
      </c>
      <c r="I80" s="6">
        <v>0</v>
      </c>
      <c r="J80" s="6">
        <v>95</v>
      </c>
      <c r="K80" s="6">
        <v>0</v>
      </c>
      <c r="L80" s="6">
        <v>0</v>
      </c>
      <c r="M80" s="4" t="s">
        <v>274</v>
      </c>
      <c r="N80" s="2"/>
      <c r="O80" s="2"/>
      <c r="P80" s="2"/>
      <c r="Q80" s="2"/>
      <c r="R80" s="2"/>
      <c r="S80" s="2"/>
      <c r="T80" s="2"/>
      <c r="U80" s="2"/>
      <c r="V80" s="2"/>
      <c r="W80" s="2"/>
      <c r="X80" s="2"/>
      <c r="Y80" s="2"/>
      <c r="Z80" s="2"/>
    </row>
    <row r="81" spans="1:26" ht="19.5" customHeight="1">
      <c r="A81" s="4" t="s">
        <v>275</v>
      </c>
      <c r="B81" s="4" t="s">
        <v>276</v>
      </c>
      <c r="C81" s="6">
        <v>28</v>
      </c>
      <c r="D81" s="4" t="s">
        <v>226</v>
      </c>
      <c r="E81" s="6">
        <v>138</v>
      </c>
      <c r="F81" s="6">
        <v>15</v>
      </c>
      <c r="G81" s="6">
        <v>4</v>
      </c>
      <c r="H81" s="6">
        <v>7</v>
      </c>
      <c r="I81" s="6">
        <v>0</v>
      </c>
      <c r="J81" s="6">
        <v>194</v>
      </c>
      <c r="K81" s="6">
        <v>4</v>
      </c>
      <c r="L81" s="6">
        <v>0</v>
      </c>
      <c r="M81" s="4" t="s">
        <v>277</v>
      </c>
      <c r="N81" s="2"/>
      <c r="O81" s="2"/>
      <c r="P81" s="2"/>
      <c r="Q81" s="2"/>
      <c r="R81" s="2"/>
      <c r="S81" s="2"/>
      <c r="T81" s="2"/>
      <c r="U81" s="2"/>
      <c r="V81" s="2"/>
      <c r="W81" s="2"/>
      <c r="X81" s="2"/>
      <c r="Y81" s="2"/>
      <c r="Z81" s="2"/>
    </row>
    <row r="82" spans="1:26" ht="19.5" customHeight="1">
      <c r="A82" s="4" t="s">
        <v>278</v>
      </c>
      <c r="B82" s="4" t="s">
        <v>279</v>
      </c>
      <c r="C82" s="6">
        <v>28</v>
      </c>
      <c r="D82" s="4" t="s">
        <v>226</v>
      </c>
      <c r="E82" s="6">
        <v>80</v>
      </c>
      <c r="F82" s="7" t="s">
        <v>18</v>
      </c>
      <c r="G82" s="6">
        <v>8</v>
      </c>
      <c r="H82" s="6">
        <v>6</v>
      </c>
      <c r="I82" s="6">
        <v>0</v>
      </c>
      <c r="J82" s="6">
        <v>380</v>
      </c>
      <c r="K82" s="6">
        <v>0</v>
      </c>
      <c r="L82" s="6">
        <v>25</v>
      </c>
      <c r="M82" s="4" t="s">
        <v>280</v>
      </c>
      <c r="N82" s="2"/>
      <c r="O82" s="2"/>
      <c r="P82" s="2"/>
      <c r="Q82" s="2"/>
      <c r="R82" s="2"/>
      <c r="S82" s="2"/>
      <c r="T82" s="2"/>
      <c r="U82" s="2"/>
      <c r="V82" s="2"/>
      <c r="W82" s="2"/>
      <c r="X82" s="2"/>
      <c r="Y82" s="2"/>
      <c r="Z82" s="2"/>
    </row>
    <row r="83" spans="1:26" ht="19.5" customHeight="1">
      <c r="A83" s="4" t="s">
        <v>281</v>
      </c>
      <c r="B83" s="4" t="s">
        <v>282</v>
      </c>
      <c r="C83" s="6">
        <v>25</v>
      </c>
      <c r="D83" s="4" t="s">
        <v>236</v>
      </c>
      <c r="E83" s="6">
        <v>130</v>
      </c>
      <c r="F83" s="6">
        <v>18</v>
      </c>
      <c r="G83" s="7" t="s">
        <v>18</v>
      </c>
      <c r="H83" s="6">
        <v>6</v>
      </c>
      <c r="I83" s="6">
        <v>0</v>
      </c>
      <c r="J83" s="6">
        <v>190</v>
      </c>
      <c r="K83" s="6">
        <v>1</v>
      </c>
      <c r="L83" s="6">
        <v>0</v>
      </c>
      <c r="M83" s="4" t="s">
        <v>283</v>
      </c>
      <c r="N83" s="2"/>
      <c r="O83" s="2"/>
      <c r="P83" s="2"/>
      <c r="Q83" s="2"/>
      <c r="R83" s="2"/>
      <c r="S83" s="2"/>
      <c r="T83" s="2"/>
      <c r="U83" s="2"/>
      <c r="V83" s="2"/>
      <c r="W83" s="2"/>
      <c r="X83" s="2"/>
      <c r="Y83" s="2"/>
      <c r="Z83" s="2"/>
    </row>
    <row r="84" spans="1:26" ht="19.5" customHeight="1">
      <c r="A84" s="4" t="s">
        <v>284</v>
      </c>
      <c r="B84" s="4" t="s">
        <v>285</v>
      </c>
      <c r="C84" s="6">
        <v>25</v>
      </c>
      <c r="D84" s="4" t="s">
        <v>286</v>
      </c>
      <c r="E84" s="6">
        <v>60</v>
      </c>
      <c r="F84" s="6">
        <v>5</v>
      </c>
      <c r="G84" s="6">
        <v>7</v>
      </c>
      <c r="H84" s="6">
        <v>1</v>
      </c>
      <c r="I84" s="7" t="s">
        <v>18</v>
      </c>
      <c r="J84" s="6">
        <v>403</v>
      </c>
      <c r="K84" s="7" t="s">
        <v>108</v>
      </c>
      <c r="L84" s="7" t="s">
        <v>18</v>
      </c>
      <c r="M84" s="4" t="s">
        <v>287</v>
      </c>
      <c r="N84" s="2"/>
      <c r="O84" s="2"/>
      <c r="P84" s="2"/>
      <c r="Q84" s="2"/>
      <c r="R84" s="2"/>
      <c r="S84" s="2"/>
      <c r="T84" s="2"/>
      <c r="U84" s="2"/>
      <c r="V84" s="2"/>
      <c r="W84" s="2"/>
      <c r="X84" s="2"/>
      <c r="Y84" s="2"/>
      <c r="Z84" s="2"/>
    </row>
    <row r="85" spans="1:26" ht="19.5" customHeight="1">
      <c r="A85" s="4" t="s">
        <v>288</v>
      </c>
      <c r="B85" s="4" t="s">
        <v>289</v>
      </c>
      <c r="C85" s="6">
        <v>25</v>
      </c>
      <c r="D85" s="4" t="s">
        <v>286</v>
      </c>
      <c r="E85" s="6">
        <v>60</v>
      </c>
      <c r="F85" s="6">
        <v>5</v>
      </c>
      <c r="G85" s="6">
        <v>7</v>
      </c>
      <c r="H85" s="6">
        <v>1</v>
      </c>
      <c r="I85" s="6">
        <v>0</v>
      </c>
      <c r="J85" s="6">
        <v>403</v>
      </c>
      <c r="K85" s="6">
        <v>5</v>
      </c>
      <c r="L85" s="6">
        <v>0</v>
      </c>
      <c r="M85" s="4" t="s">
        <v>290</v>
      </c>
      <c r="N85" s="2"/>
      <c r="O85" s="2"/>
      <c r="P85" s="2"/>
      <c r="Q85" s="2"/>
      <c r="R85" s="2"/>
      <c r="S85" s="2"/>
      <c r="T85" s="2"/>
      <c r="U85" s="2"/>
      <c r="V85" s="2"/>
      <c r="W85" s="2"/>
      <c r="X85" s="2"/>
      <c r="Y85" s="2"/>
      <c r="Z85" s="2"/>
    </row>
    <row r="86" spans="1:26" ht="19.5" customHeight="1">
      <c r="A86" s="4" t="s">
        <v>291</v>
      </c>
      <c r="B86" s="4" t="s">
        <v>292</v>
      </c>
      <c r="C86" s="6">
        <v>25</v>
      </c>
      <c r="D86" s="4" t="s">
        <v>286</v>
      </c>
      <c r="E86" s="6">
        <v>60</v>
      </c>
      <c r="F86" s="6">
        <v>7</v>
      </c>
      <c r="G86" s="6">
        <v>7</v>
      </c>
      <c r="H86" s="6">
        <v>1</v>
      </c>
      <c r="I86" s="7" t="s">
        <v>18</v>
      </c>
      <c r="J86" s="6">
        <v>321</v>
      </c>
      <c r="K86" s="7" t="s">
        <v>293</v>
      </c>
      <c r="L86" s="7" t="s">
        <v>18</v>
      </c>
      <c r="M86" s="4" t="s">
        <v>287</v>
      </c>
      <c r="N86" s="2"/>
      <c r="O86" s="2"/>
      <c r="P86" s="2"/>
      <c r="Q86" s="2"/>
      <c r="R86" s="2"/>
      <c r="S86" s="2"/>
      <c r="T86" s="2"/>
      <c r="U86" s="2"/>
      <c r="V86" s="2"/>
      <c r="W86" s="2"/>
      <c r="X86" s="2"/>
      <c r="Y86" s="2"/>
      <c r="Z86" s="2"/>
    </row>
    <row r="87" spans="1:26" ht="19.5" customHeight="1">
      <c r="A87" s="4" t="s">
        <v>294</v>
      </c>
      <c r="B87" s="4" t="s">
        <v>295</v>
      </c>
      <c r="C87" s="7" t="s">
        <v>296</v>
      </c>
      <c r="D87" s="4" t="s">
        <v>286</v>
      </c>
      <c r="E87" s="6">
        <v>60</v>
      </c>
      <c r="F87" s="6">
        <v>7</v>
      </c>
      <c r="G87" s="6">
        <v>7</v>
      </c>
      <c r="H87" s="6">
        <v>1</v>
      </c>
      <c r="I87" s="6">
        <v>0</v>
      </c>
      <c r="J87" s="6">
        <v>321</v>
      </c>
      <c r="K87" s="6">
        <v>7</v>
      </c>
      <c r="L87" s="6">
        <v>0</v>
      </c>
      <c r="M87" s="4" t="s">
        <v>287</v>
      </c>
      <c r="N87" s="2"/>
      <c r="O87" s="2"/>
      <c r="P87" s="2"/>
      <c r="Q87" s="2"/>
      <c r="R87" s="2"/>
      <c r="S87" s="2"/>
      <c r="T87" s="2"/>
      <c r="U87" s="2"/>
      <c r="V87" s="2"/>
      <c r="W87" s="2"/>
      <c r="X87" s="2"/>
      <c r="Y87" s="2"/>
      <c r="Z87" s="2"/>
    </row>
    <row r="88" spans="1:26" ht="19.5" customHeight="1">
      <c r="A88" s="4" t="s">
        <v>297</v>
      </c>
      <c r="B88" s="4" t="s">
        <v>298</v>
      </c>
      <c r="C88" s="6">
        <v>23</v>
      </c>
      <c r="D88" s="4" t="s">
        <v>299</v>
      </c>
      <c r="E88" s="6">
        <v>150</v>
      </c>
      <c r="F88" s="6">
        <v>1</v>
      </c>
      <c r="G88" s="6">
        <v>12</v>
      </c>
      <c r="H88" s="6">
        <v>11</v>
      </c>
      <c r="I88" s="6">
        <v>0</v>
      </c>
      <c r="J88" s="6">
        <v>340</v>
      </c>
      <c r="K88" s="6">
        <v>0</v>
      </c>
      <c r="L88" s="6">
        <v>35</v>
      </c>
      <c r="M88" s="4" t="s">
        <v>300</v>
      </c>
      <c r="N88" s="2"/>
      <c r="O88" s="2"/>
      <c r="P88" s="2"/>
      <c r="Q88" s="2"/>
      <c r="R88" s="2"/>
      <c r="S88" s="2"/>
      <c r="T88" s="2"/>
      <c r="U88" s="2"/>
      <c r="V88" s="2"/>
      <c r="W88" s="2"/>
      <c r="X88" s="2"/>
      <c r="Y88" s="2"/>
      <c r="Z88" s="2"/>
    </row>
    <row r="89" spans="1:26" ht="19.5" customHeight="1">
      <c r="A89" s="4" t="s">
        <v>301</v>
      </c>
      <c r="B89" s="4" t="s">
        <v>302</v>
      </c>
      <c r="C89" s="6">
        <v>21</v>
      </c>
      <c r="D89" s="4" t="s">
        <v>236</v>
      </c>
      <c r="E89" s="6">
        <v>90</v>
      </c>
      <c r="F89" s="6">
        <v>15</v>
      </c>
      <c r="G89" s="6">
        <v>1</v>
      </c>
      <c r="H89" s="6">
        <v>3.5</v>
      </c>
      <c r="I89" s="6">
        <v>6</v>
      </c>
      <c r="J89" s="6">
        <v>85</v>
      </c>
      <c r="K89" s="6">
        <v>0</v>
      </c>
      <c r="L89" s="6">
        <v>0</v>
      </c>
      <c r="M89" s="4" t="s">
        <v>303</v>
      </c>
      <c r="N89" s="2"/>
      <c r="O89" s="2"/>
      <c r="P89" s="2"/>
      <c r="Q89" s="2"/>
      <c r="R89" s="2"/>
      <c r="S89" s="2"/>
      <c r="T89" s="2"/>
      <c r="U89" s="2"/>
      <c r="V89" s="2"/>
      <c r="W89" s="2"/>
      <c r="X89" s="2"/>
      <c r="Y89" s="2"/>
      <c r="Z89" s="2"/>
    </row>
    <row r="90" spans="1:26" ht="19.5" customHeight="1">
      <c r="A90" s="4" t="s">
        <v>304</v>
      </c>
      <c r="B90" s="4" t="s">
        <v>305</v>
      </c>
      <c r="C90" s="6">
        <v>16</v>
      </c>
      <c r="D90" s="4" t="s">
        <v>306</v>
      </c>
      <c r="E90" s="6">
        <v>32</v>
      </c>
      <c r="F90" s="6">
        <v>8</v>
      </c>
      <c r="G90" s="6">
        <v>0</v>
      </c>
      <c r="H90" s="6">
        <v>0</v>
      </c>
      <c r="I90" s="6">
        <v>8</v>
      </c>
      <c r="J90" s="6">
        <v>0</v>
      </c>
      <c r="K90" s="6">
        <v>0</v>
      </c>
      <c r="L90" s="6">
        <v>0</v>
      </c>
      <c r="M90" s="4" t="s">
        <v>307</v>
      </c>
      <c r="N90" s="2"/>
      <c r="O90" s="2"/>
      <c r="P90" s="2"/>
      <c r="Q90" s="2"/>
      <c r="R90" s="2"/>
      <c r="S90" s="2"/>
      <c r="T90" s="2"/>
      <c r="U90" s="2"/>
      <c r="V90" s="2"/>
      <c r="W90" s="2"/>
      <c r="X90" s="2"/>
      <c r="Y90" s="2"/>
      <c r="Z90" s="2"/>
    </row>
    <row r="91" spans="1:26" ht="19.5" customHeight="1">
      <c r="A91" s="4" t="s">
        <v>308</v>
      </c>
      <c r="B91" s="4" t="s">
        <v>309</v>
      </c>
      <c r="C91" s="6">
        <v>16</v>
      </c>
      <c r="D91" s="4" t="s">
        <v>306</v>
      </c>
      <c r="E91" s="6">
        <v>36</v>
      </c>
      <c r="F91" s="6">
        <v>9</v>
      </c>
      <c r="G91" s="6">
        <v>0</v>
      </c>
      <c r="H91" s="6">
        <v>0</v>
      </c>
      <c r="I91" s="6">
        <v>9</v>
      </c>
      <c r="J91" s="6">
        <v>0</v>
      </c>
      <c r="K91" s="6">
        <v>0</v>
      </c>
      <c r="L91" s="6">
        <v>0</v>
      </c>
      <c r="M91" s="4" t="s">
        <v>310</v>
      </c>
      <c r="N91" s="2"/>
      <c r="O91" s="2"/>
      <c r="P91" s="2"/>
      <c r="Q91" s="2"/>
      <c r="R91" s="2"/>
      <c r="S91" s="2"/>
      <c r="T91" s="2"/>
      <c r="U91" s="2"/>
      <c r="V91" s="2"/>
      <c r="W91" s="2"/>
      <c r="X91" s="2"/>
      <c r="Y91" s="2"/>
      <c r="Z91" s="2"/>
    </row>
    <row r="92" spans="1:26" ht="19.5" customHeight="1">
      <c r="A92" s="4" t="s">
        <v>311</v>
      </c>
      <c r="B92" s="4" t="s">
        <v>312</v>
      </c>
      <c r="C92" s="6">
        <v>15</v>
      </c>
      <c r="D92" s="4" t="s">
        <v>222</v>
      </c>
      <c r="E92" s="6">
        <v>10</v>
      </c>
      <c r="F92" s="6">
        <v>0</v>
      </c>
      <c r="G92" s="6">
        <v>2</v>
      </c>
      <c r="H92" s="6">
        <v>0</v>
      </c>
      <c r="I92" s="6">
        <v>0</v>
      </c>
      <c r="J92" s="6">
        <v>1460</v>
      </c>
      <c r="K92" s="6">
        <v>0</v>
      </c>
      <c r="L92" s="6">
        <v>0</v>
      </c>
      <c r="M92" s="4" t="s">
        <v>313</v>
      </c>
      <c r="N92" s="2"/>
      <c r="O92" s="2"/>
      <c r="P92" s="2"/>
      <c r="Q92" s="2"/>
      <c r="R92" s="2"/>
      <c r="S92" s="2"/>
      <c r="T92" s="2"/>
      <c r="U92" s="2"/>
      <c r="V92" s="2"/>
      <c r="W92" s="2"/>
      <c r="X92" s="2"/>
      <c r="Y92" s="2"/>
      <c r="Z92" s="2"/>
    </row>
    <row r="93" spans="1:26" ht="19.5" customHeight="1">
      <c r="A93" s="4" t="s">
        <v>314</v>
      </c>
      <c r="B93" s="4" t="s">
        <v>315</v>
      </c>
      <c r="C93" s="6">
        <v>14</v>
      </c>
      <c r="D93" s="4" t="s">
        <v>316</v>
      </c>
      <c r="E93" s="6">
        <v>140</v>
      </c>
      <c r="F93" s="6">
        <v>19</v>
      </c>
      <c r="G93" s="6">
        <v>2</v>
      </c>
      <c r="H93" s="6">
        <v>6</v>
      </c>
      <c r="I93" s="6">
        <v>0</v>
      </c>
      <c r="J93" s="6">
        <v>120</v>
      </c>
      <c r="K93" s="6">
        <v>2</v>
      </c>
      <c r="L93" s="6">
        <v>0</v>
      </c>
      <c r="M93" s="4" t="s">
        <v>317</v>
      </c>
      <c r="N93" s="2"/>
      <c r="O93" s="2"/>
      <c r="P93" s="2"/>
      <c r="Q93" s="2"/>
      <c r="R93" s="2"/>
      <c r="S93" s="2"/>
      <c r="T93" s="2"/>
      <c r="U93" s="2"/>
      <c r="V93" s="2"/>
      <c r="W93" s="2"/>
      <c r="X93" s="2"/>
      <c r="Y93" s="2"/>
      <c r="Z93" s="2"/>
    </row>
    <row r="94" spans="1:26" ht="19.5" customHeight="1">
      <c r="A94" s="4" t="s">
        <v>318</v>
      </c>
      <c r="B94" s="4" t="s">
        <v>319</v>
      </c>
      <c r="C94" s="6">
        <v>13</v>
      </c>
      <c r="D94" s="4" t="s">
        <v>320</v>
      </c>
      <c r="E94" s="6">
        <v>140</v>
      </c>
      <c r="F94" s="6">
        <v>21</v>
      </c>
      <c r="G94" s="6">
        <v>3</v>
      </c>
      <c r="H94" s="6">
        <v>5</v>
      </c>
      <c r="I94" s="6">
        <v>0</v>
      </c>
      <c r="J94" s="6">
        <v>230</v>
      </c>
      <c r="K94" s="6">
        <v>3</v>
      </c>
      <c r="L94" s="6">
        <v>0</v>
      </c>
      <c r="M94" s="4" t="s">
        <v>321</v>
      </c>
      <c r="N94" s="2"/>
      <c r="O94" s="2"/>
      <c r="P94" s="2"/>
      <c r="Q94" s="2"/>
      <c r="R94" s="2"/>
      <c r="S94" s="2"/>
      <c r="T94" s="2"/>
      <c r="U94" s="2"/>
      <c r="V94" s="2"/>
      <c r="W94" s="2"/>
      <c r="X94" s="2"/>
      <c r="Y94" s="2"/>
      <c r="Z94" s="2"/>
    </row>
    <row r="95" spans="1:26" ht="19.5" customHeight="1">
      <c r="A95" s="4" t="s">
        <v>322</v>
      </c>
      <c r="B95" s="4" t="s">
        <v>323</v>
      </c>
      <c r="C95" s="6">
        <v>12</v>
      </c>
      <c r="D95" s="4" t="s">
        <v>299</v>
      </c>
      <c r="E95" s="6">
        <v>140</v>
      </c>
      <c r="F95" s="6">
        <v>10</v>
      </c>
      <c r="G95" s="6">
        <v>5</v>
      </c>
      <c r="H95" s="6">
        <v>10</v>
      </c>
      <c r="I95" s="6">
        <v>1</v>
      </c>
      <c r="J95" s="6">
        <v>470</v>
      </c>
      <c r="K95" s="6">
        <v>2</v>
      </c>
      <c r="L95" s="6">
        <v>0</v>
      </c>
      <c r="M95" s="4" t="s">
        <v>324</v>
      </c>
      <c r="N95" s="2"/>
      <c r="O95" s="2"/>
      <c r="P95" s="2"/>
      <c r="Q95" s="2"/>
      <c r="R95" s="2"/>
      <c r="S95" s="2"/>
      <c r="T95" s="2"/>
      <c r="U95" s="2"/>
      <c r="V95" s="2"/>
      <c r="W95" s="2"/>
      <c r="X95" s="2"/>
      <c r="Y95" s="2"/>
      <c r="Z95" s="2"/>
    </row>
    <row r="96" spans="1:26" ht="19.5" customHeight="1">
      <c r="A96" s="4" t="s">
        <v>325</v>
      </c>
      <c r="B96" s="4" t="s">
        <v>326</v>
      </c>
      <c r="C96" s="6">
        <v>12</v>
      </c>
      <c r="D96" s="4" t="s">
        <v>299</v>
      </c>
      <c r="E96" s="6">
        <v>100</v>
      </c>
      <c r="F96" s="6">
        <v>1</v>
      </c>
      <c r="G96" s="6">
        <v>9</v>
      </c>
      <c r="H96" s="6">
        <v>7</v>
      </c>
      <c r="I96" s="6">
        <v>0</v>
      </c>
      <c r="J96" s="6">
        <v>280</v>
      </c>
      <c r="K96" s="6">
        <v>0</v>
      </c>
      <c r="L96" s="6">
        <v>20</v>
      </c>
      <c r="M96" s="4" t="s">
        <v>327</v>
      </c>
      <c r="N96" s="2"/>
      <c r="O96" s="2"/>
      <c r="P96" s="2"/>
      <c r="Q96" s="2"/>
      <c r="R96" s="2"/>
      <c r="S96" s="2"/>
      <c r="T96" s="2"/>
      <c r="U96" s="2"/>
      <c r="V96" s="2"/>
      <c r="W96" s="2"/>
      <c r="X96" s="2"/>
      <c r="Y96" s="2"/>
      <c r="Z96" s="2"/>
    </row>
    <row r="97" spans="1:26" ht="19.5" customHeight="1">
      <c r="A97" s="4" t="s">
        <v>328</v>
      </c>
      <c r="B97" s="4" t="s">
        <v>329</v>
      </c>
      <c r="C97" s="6">
        <v>12</v>
      </c>
      <c r="D97" s="4" t="s">
        <v>316</v>
      </c>
      <c r="E97" s="6">
        <v>120</v>
      </c>
      <c r="F97" s="6">
        <v>3</v>
      </c>
      <c r="G97" s="6">
        <v>0</v>
      </c>
      <c r="H97" s="6">
        <v>12</v>
      </c>
      <c r="I97" s="7" t="s">
        <v>176</v>
      </c>
      <c r="J97" s="6">
        <v>90</v>
      </c>
      <c r="K97" s="7" t="s">
        <v>176</v>
      </c>
      <c r="L97" s="7" t="s">
        <v>18</v>
      </c>
      <c r="M97" s="4" t="s">
        <v>330</v>
      </c>
      <c r="N97" s="2"/>
      <c r="O97" s="2"/>
      <c r="P97" s="2"/>
      <c r="Q97" s="2"/>
      <c r="R97" s="2"/>
      <c r="S97" s="2"/>
      <c r="T97" s="2"/>
      <c r="U97" s="2"/>
      <c r="V97" s="2"/>
      <c r="W97" s="2"/>
      <c r="X97" s="2"/>
      <c r="Y97" s="2"/>
      <c r="Z97" s="2"/>
    </row>
    <row r="98" spans="1:26" ht="19.5" customHeight="1">
      <c r="A98" s="4" t="s">
        <v>331</v>
      </c>
      <c r="B98" s="4" t="s">
        <v>332</v>
      </c>
      <c r="C98" s="6">
        <v>12</v>
      </c>
      <c r="D98" s="4" t="s">
        <v>306</v>
      </c>
      <c r="E98" s="6">
        <v>0</v>
      </c>
      <c r="F98" s="6">
        <v>0</v>
      </c>
      <c r="G98" s="6">
        <v>0</v>
      </c>
      <c r="H98" s="6">
        <v>0</v>
      </c>
      <c r="I98" s="6">
        <v>0</v>
      </c>
      <c r="J98" s="6">
        <v>15</v>
      </c>
      <c r="K98" s="6">
        <v>0</v>
      </c>
      <c r="L98" s="6">
        <v>0</v>
      </c>
      <c r="M98" s="4" t="s">
        <v>333</v>
      </c>
      <c r="N98" s="2"/>
      <c r="O98" s="2"/>
      <c r="P98" s="2"/>
      <c r="Q98" s="2"/>
      <c r="R98" s="2"/>
      <c r="S98" s="2"/>
      <c r="T98" s="2"/>
      <c r="U98" s="2"/>
      <c r="V98" s="2"/>
      <c r="W98" s="2"/>
      <c r="X98" s="2"/>
      <c r="Y98" s="2"/>
      <c r="Z98" s="2"/>
    </row>
    <row r="99" spans="1:26" ht="19.5" customHeight="1">
      <c r="A99" s="4" t="s">
        <v>334</v>
      </c>
      <c r="B99" s="4" t="s">
        <v>335</v>
      </c>
      <c r="C99" s="6">
        <v>11</v>
      </c>
      <c r="D99" s="4" t="s">
        <v>316</v>
      </c>
      <c r="E99" s="6">
        <v>170</v>
      </c>
      <c r="F99" s="6">
        <v>10</v>
      </c>
      <c r="G99" s="6">
        <v>7</v>
      </c>
      <c r="H99" s="6">
        <v>11</v>
      </c>
      <c r="I99" s="6">
        <v>1</v>
      </c>
      <c r="J99" s="6">
        <v>150</v>
      </c>
      <c r="K99" s="7" t="s">
        <v>18</v>
      </c>
      <c r="L99" s="6">
        <v>30</v>
      </c>
      <c r="M99" s="4" t="s">
        <v>336</v>
      </c>
      <c r="N99" s="2"/>
      <c r="O99" s="2"/>
      <c r="P99" s="2"/>
      <c r="Q99" s="2"/>
      <c r="R99" s="2"/>
      <c r="S99" s="2"/>
      <c r="T99" s="2"/>
      <c r="U99" s="2"/>
      <c r="V99" s="2"/>
      <c r="W99" s="2"/>
      <c r="X99" s="2"/>
      <c r="Y99" s="2"/>
      <c r="Z99" s="2"/>
    </row>
    <row r="100" spans="1:26" ht="19.5" customHeight="1">
      <c r="A100" s="4" t="s">
        <v>337</v>
      </c>
      <c r="B100" s="4" t="s">
        <v>338</v>
      </c>
      <c r="C100" s="6">
        <v>11</v>
      </c>
      <c r="D100" s="4" t="s">
        <v>316</v>
      </c>
      <c r="E100" s="6">
        <v>130</v>
      </c>
      <c r="F100" s="6">
        <v>16</v>
      </c>
      <c r="G100" s="6">
        <v>4</v>
      </c>
      <c r="H100" s="6">
        <v>6</v>
      </c>
      <c r="I100" s="6">
        <v>0</v>
      </c>
      <c r="J100" s="6">
        <v>180</v>
      </c>
      <c r="K100" s="6">
        <v>4</v>
      </c>
      <c r="L100" s="6">
        <v>0</v>
      </c>
      <c r="M100" s="4" t="s">
        <v>339</v>
      </c>
      <c r="N100" s="2"/>
      <c r="O100" s="2"/>
      <c r="P100" s="2"/>
      <c r="Q100" s="2"/>
      <c r="R100" s="2"/>
      <c r="S100" s="2"/>
      <c r="T100" s="2"/>
      <c r="U100" s="2"/>
      <c r="V100" s="2"/>
      <c r="W100" s="2"/>
      <c r="X100" s="2"/>
      <c r="Y100" s="2"/>
      <c r="Z100" s="2"/>
    </row>
    <row r="101" spans="1:26" ht="19.5" customHeight="1">
      <c r="A101" s="4" t="s">
        <v>340</v>
      </c>
      <c r="B101" s="4" t="s">
        <v>341</v>
      </c>
      <c r="C101" s="6">
        <v>10</v>
      </c>
      <c r="D101" s="4" t="s">
        <v>316</v>
      </c>
      <c r="E101" s="6">
        <v>140</v>
      </c>
      <c r="F101" s="6">
        <v>14</v>
      </c>
      <c r="G101" s="6">
        <v>2</v>
      </c>
      <c r="H101" s="6">
        <v>10</v>
      </c>
      <c r="I101" s="6">
        <v>0</v>
      </c>
      <c r="J101" s="6">
        <v>110</v>
      </c>
      <c r="K101" s="6">
        <v>3</v>
      </c>
      <c r="L101" s="6">
        <v>0</v>
      </c>
      <c r="M101" s="4" t="s">
        <v>342</v>
      </c>
      <c r="N101" s="2"/>
      <c r="O101" s="2"/>
      <c r="P101" s="2"/>
      <c r="Q101" s="2"/>
      <c r="R101" s="2"/>
      <c r="S101" s="2"/>
      <c r="T101" s="2"/>
      <c r="U101" s="2"/>
      <c r="V101" s="2"/>
      <c r="W101" s="2"/>
      <c r="X101" s="2"/>
      <c r="Y101" s="2"/>
      <c r="Z101" s="2"/>
    </row>
    <row r="102" spans="1:26" ht="19.5" customHeight="1">
      <c r="A102" s="4" t="s">
        <v>343</v>
      </c>
      <c r="B102" s="4" t="s">
        <v>344</v>
      </c>
      <c r="C102" s="6">
        <v>10</v>
      </c>
      <c r="D102" s="4" t="s">
        <v>316</v>
      </c>
      <c r="E102" s="6">
        <v>140</v>
      </c>
      <c r="F102" s="6">
        <v>16</v>
      </c>
      <c r="G102" s="6">
        <v>2</v>
      </c>
      <c r="H102" s="6">
        <v>7</v>
      </c>
      <c r="I102" s="7" t="s">
        <v>18</v>
      </c>
      <c r="J102" s="6">
        <v>65</v>
      </c>
      <c r="K102" s="6">
        <v>2</v>
      </c>
      <c r="L102" s="6">
        <v>0</v>
      </c>
      <c r="M102" s="4" t="s">
        <v>345</v>
      </c>
      <c r="N102" s="2"/>
      <c r="O102" s="2"/>
      <c r="P102" s="2"/>
      <c r="Q102" s="2"/>
      <c r="R102" s="2"/>
      <c r="S102" s="2"/>
      <c r="T102" s="2"/>
      <c r="U102" s="2"/>
      <c r="V102" s="2"/>
      <c r="W102" s="2"/>
      <c r="X102" s="2"/>
      <c r="Y102" s="2"/>
      <c r="Z102" s="2"/>
    </row>
    <row r="103" spans="1:26" ht="19.5" customHeight="1">
      <c r="A103" s="4" t="s">
        <v>346</v>
      </c>
      <c r="B103" s="4" t="s">
        <v>347</v>
      </c>
      <c r="C103" s="7" t="s">
        <v>173</v>
      </c>
      <c r="D103" s="4" t="s">
        <v>320</v>
      </c>
      <c r="E103" s="6">
        <v>160</v>
      </c>
      <c r="F103" s="6">
        <v>10</v>
      </c>
      <c r="G103" s="6">
        <v>6</v>
      </c>
      <c r="H103" s="6">
        <v>12</v>
      </c>
      <c r="I103" s="6">
        <v>0</v>
      </c>
      <c r="J103" s="6">
        <v>260</v>
      </c>
      <c r="K103" s="6">
        <v>9</v>
      </c>
      <c r="L103" s="6">
        <v>0</v>
      </c>
      <c r="M103" s="4" t="s">
        <v>348</v>
      </c>
      <c r="N103" s="2"/>
      <c r="O103" s="2"/>
      <c r="P103" s="2"/>
      <c r="Q103" s="2"/>
      <c r="R103" s="2"/>
      <c r="S103" s="2"/>
      <c r="T103" s="2"/>
      <c r="U103" s="2"/>
      <c r="V103" s="2"/>
      <c r="W103" s="2"/>
      <c r="X103" s="2"/>
      <c r="Y103" s="2"/>
      <c r="Z103" s="2"/>
    </row>
    <row r="104" spans="1:26" ht="19.5" customHeight="1">
      <c r="A104" s="4" t="s">
        <v>349</v>
      </c>
      <c r="B104" s="4" t="s">
        <v>350</v>
      </c>
      <c r="C104" s="7" t="s">
        <v>351</v>
      </c>
      <c r="D104" s="4" t="s">
        <v>205</v>
      </c>
      <c r="E104" s="6">
        <v>230</v>
      </c>
      <c r="F104" s="6">
        <v>15</v>
      </c>
      <c r="G104" s="6">
        <v>4</v>
      </c>
      <c r="H104" s="6">
        <v>18</v>
      </c>
      <c r="I104" s="6">
        <v>10</v>
      </c>
      <c r="J104" s="6">
        <v>740</v>
      </c>
      <c r="K104" s="6">
        <v>5</v>
      </c>
      <c r="L104" s="6">
        <v>0</v>
      </c>
      <c r="M104" s="4" t="s">
        <v>352</v>
      </c>
      <c r="N104" s="2"/>
      <c r="O104" s="2"/>
      <c r="P104" s="2"/>
      <c r="Q104" s="2"/>
      <c r="R104" s="2"/>
      <c r="S104" s="2"/>
      <c r="T104" s="2"/>
      <c r="U104" s="2"/>
      <c r="V104" s="2"/>
      <c r="W104" s="2"/>
      <c r="X104" s="2"/>
      <c r="Y104" s="2"/>
      <c r="Z104" s="2"/>
    </row>
    <row r="105" spans="1:26" ht="19.5" customHeight="1">
      <c r="A105" s="4" t="s">
        <v>353</v>
      </c>
      <c r="B105" s="4" t="s">
        <v>354</v>
      </c>
      <c r="C105" s="7" t="s">
        <v>351</v>
      </c>
      <c r="D105" s="4" t="s">
        <v>205</v>
      </c>
      <c r="E105" s="6">
        <v>230</v>
      </c>
      <c r="F105" s="6">
        <v>18</v>
      </c>
      <c r="G105" s="6">
        <v>5</v>
      </c>
      <c r="H105" s="6">
        <v>17</v>
      </c>
      <c r="I105" s="6">
        <v>12</v>
      </c>
      <c r="J105" s="6">
        <v>760</v>
      </c>
      <c r="K105" s="6">
        <v>5</v>
      </c>
      <c r="L105" s="6">
        <v>0</v>
      </c>
      <c r="M105" s="4" t="s">
        <v>355</v>
      </c>
      <c r="N105" s="2"/>
      <c r="O105" s="2"/>
      <c r="P105" s="2"/>
      <c r="Q105" s="2"/>
      <c r="R105" s="2"/>
      <c r="S105" s="2"/>
      <c r="T105" s="2"/>
      <c r="U105" s="2"/>
      <c r="V105" s="2"/>
      <c r="W105" s="2"/>
      <c r="X105" s="2"/>
      <c r="Y105" s="2"/>
      <c r="Z105" s="2"/>
    </row>
    <row r="106" spans="1:26" ht="19.5" customHeight="1">
      <c r="A106" s="4" t="s">
        <v>356</v>
      </c>
      <c r="B106" s="4" t="s">
        <v>357</v>
      </c>
      <c r="C106" s="7" t="s">
        <v>351</v>
      </c>
      <c r="D106" s="4" t="s">
        <v>205</v>
      </c>
      <c r="E106" s="6">
        <v>290</v>
      </c>
      <c r="F106" s="6">
        <v>38</v>
      </c>
      <c r="G106" s="6">
        <v>13</v>
      </c>
      <c r="H106" s="6">
        <v>16</v>
      </c>
      <c r="I106" s="6">
        <v>4</v>
      </c>
      <c r="J106" s="6">
        <v>470</v>
      </c>
      <c r="K106" s="6">
        <v>15</v>
      </c>
      <c r="L106" s="6">
        <v>0</v>
      </c>
      <c r="M106" s="4" t="s">
        <v>358</v>
      </c>
      <c r="N106" s="2"/>
      <c r="O106" s="2"/>
      <c r="P106" s="2"/>
      <c r="Q106" s="2"/>
      <c r="R106" s="2"/>
      <c r="S106" s="2"/>
      <c r="T106" s="2"/>
      <c r="U106" s="2"/>
      <c r="V106" s="2"/>
      <c r="W106" s="2"/>
      <c r="X106" s="2"/>
      <c r="Y106" s="2"/>
      <c r="Z106" s="2"/>
    </row>
    <row r="107" spans="1:26" ht="19.5" customHeight="1">
      <c r="A107" s="4" t="s">
        <v>359</v>
      </c>
      <c r="B107" s="4" t="s">
        <v>360</v>
      </c>
      <c r="C107" s="6">
        <v>8</v>
      </c>
      <c r="D107" s="4" t="s">
        <v>306</v>
      </c>
      <c r="E107" s="6">
        <v>50</v>
      </c>
      <c r="F107" s="6">
        <v>13</v>
      </c>
      <c r="G107" s="6">
        <v>0</v>
      </c>
      <c r="H107" s="6">
        <v>0</v>
      </c>
      <c r="I107" s="6">
        <v>11</v>
      </c>
      <c r="J107" s="6">
        <v>60</v>
      </c>
      <c r="K107" s="6">
        <v>0</v>
      </c>
      <c r="L107" s="6">
        <v>0</v>
      </c>
      <c r="M107" s="4" t="s">
        <v>361</v>
      </c>
      <c r="N107" s="2"/>
      <c r="O107" s="2"/>
      <c r="P107" s="2"/>
      <c r="Q107" s="2"/>
      <c r="R107" s="2"/>
      <c r="S107" s="2"/>
      <c r="T107" s="2"/>
      <c r="U107" s="2"/>
      <c r="V107" s="2"/>
      <c r="W107" s="2"/>
      <c r="X107" s="2"/>
      <c r="Y107" s="2"/>
      <c r="Z107" s="2"/>
    </row>
    <row r="108" spans="1:26" ht="19.5" customHeight="1">
      <c r="A108" s="4" t="s">
        <v>362</v>
      </c>
      <c r="B108" s="4" t="s">
        <v>363</v>
      </c>
      <c r="C108" s="6">
        <v>8</v>
      </c>
      <c r="D108" s="4" t="s">
        <v>205</v>
      </c>
      <c r="E108" s="6">
        <v>60</v>
      </c>
      <c r="F108" s="6">
        <v>16</v>
      </c>
      <c r="G108" s="6">
        <v>0</v>
      </c>
      <c r="H108" s="6">
        <v>0</v>
      </c>
      <c r="I108" s="6">
        <v>14</v>
      </c>
      <c r="J108" s="6">
        <v>5</v>
      </c>
      <c r="K108" s="6">
        <v>0</v>
      </c>
      <c r="L108" s="6">
        <v>0</v>
      </c>
      <c r="M108" s="4" t="s">
        <v>364</v>
      </c>
      <c r="N108" s="2"/>
      <c r="O108" s="2"/>
      <c r="P108" s="2"/>
      <c r="Q108" s="2"/>
      <c r="R108" s="2"/>
      <c r="S108" s="2"/>
      <c r="T108" s="2"/>
      <c r="U108" s="2"/>
      <c r="V108" s="2"/>
      <c r="W108" s="2"/>
      <c r="X108" s="2"/>
      <c r="Y108" s="2"/>
      <c r="Z108" s="2"/>
    </row>
    <row r="109" spans="1:26" ht="19.5" customHeight="1">
      <c r="A109" s="9" t="s">
        <v>365</v>
      </c>
      <c r="B109" s="10" t="s">
        <v>366</v>
      </c>
      <c r="C109" s="6">
        <v>8</v>
      </c>
      <c r="D109" s="4" t="s">
        <v>205</v>
      </c>
      <c r="E109" s="6">
        <v>50</v>
      </c>
      <c r="F109" s="6">
        <v>13</v>
      </c>
      <c r="G109" s="6">
        <v>0</v>
      </c>
      <c r="H109" s="6">
        <v>0</v>
      </c>
      <c r="I109" s="6">
        <v>10</v>
      </c>
      <c r="J109" s="6">
        <v>5</v>
      </c>
      <c r="K109" s="6">
        <v>0</v>
      </c>
      <c r="L109" s="6">
        <v>0</v>
      </c>
      <c r="M109" s="4" t="s">
        <v>367</v>
      </c>
      <c r="N109" s="2"/>
      <c r="O109" s="2"/>
      <c r="P109" s="2"/>
      <c r="Q109" s="2"/>
      <c r="R109" s="2"/>
      <c r="S109" s="2"/>
      <c r="T109" s="2"/>
      <c r="U109" s="2"/>
      <c r="V109" s="2"/>
      <c r="W109" s="2"/>
      <c r="X109" s="2"/>
      <c r="Y109" s="2"/>
      <c r="Z109" s="2"/>
    </row>
    <row r="110" spans="1:26" ht="19.5" customHeight="1">
      <c r="A110" s="9" t="s">
        <v>368</v>
      </c>
      <c r="B110" s="10" t="s">
        <v>369</v>
      </c>
      <c r="C110" s="6">
        <v>8</v>
      </c>
      <c r="D110" s="4" t="s">
        <v>205</v>
      </c>
      <c r="E110" s="6">
        <v>70</v>
      </c>
      <c r="F110" s="6">
        <v>19</v>
      </c>
      <c r="G110" s="6">
        <v>0</v>
      </c>
      <c r="H110" s="6">
        <v>0</v>
      </c>
      <c r="I110" s="6">
        <v>18</v>
      </c>
      <c r="J110" s="6">
        <v>0</v>
      </c>
      <c r="K110" s="6">
        <v>0</v>
      </c>
      <c r="L110" s="6">
        <v>0</v>
      </c>
      <c r="M110" s="4" t="s">
        <v>370</v>
      </c>
      <c r="N110" s="2"/>
      <c r="O110" s="2"/>
      <c r="P110" s="2"/>
      <c r="Q110" s="2"/>
      <c r="R110" s="2"/>
      <c r="S110" s="2"/>
      <c r="T110" s="2"/>
      <c r="U110" s="2"/>
      <c r="V110" s="2"/>
      <c r="W110" s="2"/>
      <c r="X110" s="2"/>
      <c r="Y110" s="2"/>
      <c r="Z110" s="2"/>
    </row>
    <row r="111" spans="1:26" ht="19.5" customHeight="1">
      <c r="A111" s="4" t="s">
        <v>371</v>
      </c>
      <c r="B111" s="4" t="s">
        <v>372</v>
      </c>
      <c r="C111" s="6">
        <v>8</v>
      </c>
      <c r="D111" s="4" t="s">
        <v>205</v>
      </c>
      <c r="E111" s="6">
        <v>50</v>
      </c>
      <c r="F111" s="6">
        <v>11</v>
      </c>
      <c r="G111" s="6">
        <v>0</v>
      </c>
      <c r="H111" s="6">
        <v>0</v>
      </c>
      <c r="I111" s="7" t="s">
        <v>173</v>
      </c>
      <c r="J111" s="6">
        <v>0</v>
      </c>
      <c r="K111" s="6">
        <v>0</v>
      </c>
      <c r="L111" s="6">
        <v>0</v>
      </c>
      <c r="M111" s="4" t="s">
        <v>373</v>
      </c>
      <c r="N111" s="2"/>
      <c r="O111" s="2"/>
      <c r="P111" s="2"/>
      <c r="Q111" s="2"/>
      <c r="R111" s="2"/>
      <c r="S111" s="2"/>
      <c r="T111" s="2"/>
      <c r="U111" s="2"/>
      <c r="V111" s="2"/>
      <c r="W111" s="2"/>
      <c r="X111" s="2"/>
      <c r="Y111" s="2"/>
      <c r="Z111" s="2"/>
    </row>
    <row r="112" spans="1:26" ht="19.5" customHeight="1">
      <c r="A112" s="9" t="s">
        <v>374</v>
      </c>
      <c r="B112" s="10" t="s">
        <v>375</v>
      </c>
      <c r="C112" s="6">
        <v>8</v>
      </c>
      <c r="D112" s="4" t="s">
        <v>205</v>
      </c>
      <c r="E112" s="6">
        <v>60</v>
      </c>
      <c r="F112" s="6">
        <v>16</v>
      </c>
      <c r="G112" s="6">
        <v>0</v>
      </c>
      <c r="H112" s="6">
        <v>0</v>
      </c>
      <c r="I112" s="6">
        <v>14</v>
      </c>
      <c r="J112" s="6">
        <v>5</v>
      </c>
      <c r="K112" s="6">
        <v>0</v>
      </c>
      <c r="L112" s="6">
        <v>0</v>
      </c>
      <c r="M112" s="4" t="s">
        <v>376</v>
      </c>
      <c r="N112" s="2"/>
      <c r="O112" s="2"/>
      <c r="P112" s="2"/>
      <c r="Q112" s="2"/>
      <c r="R112" s="2"/>
      <c r="S112" s="2"/>
      <c r="T112" s="2"/>
      <c r="U112" s="2"/>
      <c r="V112" s="2"/>
      <c r="W112" s="2"/>
      <c r="X112" s="2"/>
      <c r="Y112" s="2"/>
      <c r="Z112" s="2"/>
    </row>
    <row r="113" spans="1:26" ht="19.5" customHeight="1">
      <c r="A113" s="4" t="s">
        <v>377</v>
      </c>
      <c r="B113" s="4" t="s">
        <v>378</v>
      </c>
      <c r="C113" s="6">
        <v>8</v>
      </c>
      <c r="D113" s="4" t="s">
        <v>306</v>
      </c>
      <c r="E113" s="6">
        <v>5</v>
      </c>
      <c r="F113" s="7" t="s">
        <v>125</v>
      </c>
      <c r="G113" s="6">
        <v>0</v>
      </c>
      <c r="H113" s="6">
        <v>0</v>
      </c>
      <c r="I113" s="7" t="s">
        <v>176</v>
      </c>
      <c r="J113" s="6">
        <v>5</v>
      </c>
      <c r="K113" s="6">
        <v>0</v>
      </c>
      <c r="L113" s="6">
        <v>0</v>
      </c>
      <c r="M113" s="4" t="s">
        <v>379</v>
      </c>
      <c r="N113" s="2"/>
      <c r="O113" s="2"/>
      <c r="P113" s="2"/>
      <c r="Q113" s="2"/>
      <c r="R113" s="2"/>
      <c r="S113" s="2"/>
      <c r="T113" s="2"/>
      <c r="U113" s="2"/>
      <c r="V113" s="2"/>
      <c r="W113" s="2"/>
      <c r="X113" s="2"/>
      <c r="Y113" s="2"/>
      <c r="Z113" s="2"/>
    </row>
    <row r="114" spans="1:26" ht="19.5" customHeight="1">
      <c r="A114" s="4" t="s">
        <v>380</v>
      </c>
      <c r="B114" s="4" t="s">
        <v>381</v>
      </c>
      <c r="C114" s="6">
        <v>8</v>
      </c>
      <c r="D114" s="4" t="s">
        <v>306</v>
      </c>
      <c r="E114" s="6">
        <v>5</v>
      </c>
      <c r="F114" s="6">
        <v>6</v>
      </c>
      <c r="G114" s="6">
        <v>0</v>
      </c>
      <c r="H114" s="6">
        <v>0</v>
      </c>
      <c r="I114" s="6">
        <v>1</v>
      </c>
      <c r="J114" s="6">
        <v>5</v>
      </c>
      <c r="K114" s="6">
        <v>0</v>
      </c>
      <c r="L114" s="6">
        <v>0</v>
      </c>
      <c r="M114" s="4" t="s">
        <v>382</v>
      </c>
      <c r="N114" s="2"/>
      <c r="O114" s="2"/>
      <c r="P114" s="2"/>
      <c r="Q114" s="2"/>
      <c r="R114" s="2"/>
      <c r="S114" s="2"/>
      <c r="T114" s="2"/>
      <c r="U114" s="2"/>
      <c r="V114" s="2"/>
      <c r="W114" s="2"/>
      <c r="X114" s="2"/>
      <c r="Y114" s="2"/>
      <c r="Z114" s="2"/>
    </row>
    <row r="115" spans="1:26" ht="19.5" customHeight="1">
      <c r="A115" s="4" t="s">
        <v>383</v>
      </c>
      <c r="B115" s="4" t="s">
        <v>384</v>
      </c>
      <c r="C115" s="6">
        <v>8</v>
      </c>
      <c r="D115" s="4" t="s">
        <v>306</v>
      </c>
      <c r="E115" s="6">
        <v>5</v>
      </c>
      <c r="F115" s="6">
        <v>6</v>
      </c>
      <c r="G115" s="7" t="s">
        <v>18</v>
      </c>
      <c r="H115" s="6">
        <v>0</v>
      </c>
      <c r="I115" s="6">
        <v>1</v>
      </c>
      <c r="J115" s="6">
        <v>5</v>
      </c>
      <c r="K115" s="6">
        <v>0</v>
      </c>
      <c r="L115" s="6">
        <v>0</v>
      </c>
      <c r="M115" s="4" t="s">
        <v>385</v>
      </c>
      <c r="N115" s="2"/>
      <c r="O115" s="2"/>
      <c r="P115" s="2"/>
      <c r="Q115" s="2"/>
      <c r="R115" s="2"/>
      <c r="S115" s="2"/>
      <c r="T115" s="2"/>
      <c r="U115" s="2"/>
      <c r="V115" s="2"/>
      <c r="W115" s="2"/>
      <c r="X115" s="2"/>
      <c r="Y115" s="2"/>
      <c r="Z115" s="2"/>
    </row>
    <row r="116" spans="1:26" ht="19.5" customHeight="1">
      <c r="A116" s="4" t="s">
        <v>386</v>
      </c>
      <c r="B116" s="4" t="s">
        <v>387</v>
      </c>
      <c r="C116" s="6">
        <v>8</v>
      </c>
      <c r="D116" s="4" t="s">
        <v>306</v>
      </c>
      <c r="E116" s="6">
        <v>50</v>
      </c>
      <c r="F116" s="7" t="s">
        <v>388</v>
      </c>
      <c r="G116" s="6">
        <v>0</v>
      </c>
      <c r="H116" s="6">
        <v>0</v>
      </c>
      <c r="I116" s="7" t="s">
        <v>193</v>
      </c>
      <c r="J116" s="6">
        <v>60</v>
      </c>
      <c r="K116" s="6">
        <v>0</v>
      </c>
      <c r="L116" s="6">
        <v>0</v>
      </c>
      <c r="M116" s="4" t="s">
        <v>361</v>
      </c>
      <c r="N116" s="2"/>
      <c r="O116" s="2"/>
      <c r="P116" s="2"/>
      <c r="Q116" s="2"/>
      <c r="R116" s="2"/>
      <c r="S116" s="2"/>
      <c r="T116" s="2"/>
      <c r="U116" s="2"/>
      <c r="V116" s="2"/>
      <c r="W116" s="2"/>
      <c r="X116" s="2"/>
      <c r="Y116" s="2"/>
      <c r="Z116" s="2"/>
    </row>
    <row r="117" spans="1:26" ht="19.5" customHeight="1">
      <c r="A117" s="4" t="s">
        <v>389</v>
      </c>
      <c r="B117" s="4" t="s">
        <v>390</v>
      </c>
      <c r="C117" s="6">
        <v>8</v>
      </c>
      <c r="D117" s="4" t="s">
        <v>306</v>
      </c>
      <c r="E117" s="6">
        <v>0</v>
      </c>
      <c r="F117" s="6">
        <v>0</v>
      </c>
      <c r="G117" s="6">
        <v>0</v>
      </c>
      <c r="H117" s="6">
        <v>0</v>
      </c>
      <c r="I117" s="7" t="s">
        <v>18</v>
      </c>
      <c r="J117" s="6">
        <v>0</v>
      </c>
      <c r="K117" s="6">
        <v>0</v>
      </c>
      <c r="L117" s="6">
        <v>0</v>
      </c>
      <c r="M117" s="4" t="s">
        <v>391</v>
      </c>
      <c r="N117" s="2"/>
      <c r="O117" s="2"/>
      <c r="P117" s="2"/>
      <c r="Q117" s="2"/>
      <c r="R117" s="2"/>
      <c r="S117" s="2"/>
      <c r="T117" s="2"/>
      <c r="U117" s="2"/>
      <c r="V117" s="2"/>
      <c r="W117" s="2"/>
      <c r="X117" s="2"/>
      <c r="Y117" s="2"/>
      <c r="Z117" s="2"/>
    </row>
    <row r="118" spans="1:26" ht="19.5" customHeight="1">
      <c r="A118" s="4" t="s">
        <v>392</v>
      </c>
      <c r="B118" s="4" t="s">
        <v>393</v>
      </c>
      <c r="C118" s="6">
        <v>8</v>
      </c>
      <c r="D118" s="4" t="s">
        <v>306</v>
      </c>
      <c r="E118" s="6">
        <v>100</v>
      </c>
      <c r="F118" s="6">
        <v>5</v>
      </c>
      <c r="G118" s="6">
        <v>3</v>
      </c>
      <c r="H118" s="6">
        <v>8</v>
      </c>
      <c r="I118" s="6">
        <v>1</v>
      </c>
      <c r="J118" s="6">
        <v>105</v>
      </c>
      <c r="K118" s="6">
        <v>0</v>
      </c>
      <c r="L118" s="6">
        <v>0</v>
      </c>
      <c r="M118" s="4" t="s">
        <v>394</v>
      </c>
      <c r="N118" s="2"/>
      <c r="O118" s="2"/>
      <c r="P118" s="2"/>
      <c r="Q118" s="2"/>
      <c r="R118" s="2"/>
      <c r="S118" s="2"/>
      <c r="T118" s="2"/>
      <c r="U118" s="2"/>
      <c r="V118" s="2"/>
      <c r="W118" s="2"/>
      <c r="X118" s="2"/>
      <c r="Y118" s="2"/>
      <c r="Z118" s="2"/>
    </row>
    <row r="119" spans="1:26" ht="19.5" customHeight="1">
      <c r="A119" s="4" t="s">
        <v>395</v>
      </c>
      <c r="B119" s="4" t="s">
        <v>396</v>
      </c>
      <c r="C119" s="6">
        <v>8</v>
      </c>
      <c r="D119" s="4" t="s">
        <v>205</v>
      </c>
      <c r="E119" s="6">
        <v>0</v>
      </c>
      <c r="F119" s="6">
        <v>0</v>
      </c>
      <c r="G119" s="6">
        <v>0</v>
      </c>
      <c r="H119" s="6">
        <v>0</v>
      </c>
      <c r="I119" s="6">
        <v>0</v>
      </c>
      <c r="J119" s="6">
        <v>0</v>
      </c>
      <c r="K119" s="6">
        <v>0</v>
      </c>
      <c r="L119" s="6">
        <v>0</v>
      </c>
      <c r="M119" s="4" t="s">
        <v>397</v>
      </c>
      <c r="N119" s="2"/>
      <c r="O119" s="2"/>
      <c r="P119" s="2"/>
      <c r="Q119" s="2"/>
      <c r="R119" s="2"/>
      <c r="S119" s="2"/>
      <c r="T119" s="2"/>
      <c r="U119" s="2"/>
      <c r="V119" s="2"/>
      <c r="W119" s="2"/>
      <c r="X119" s="2"/>
      <c r="Y119" s="2"/>
      <c r="Z119" s="2"/>
    </row>
    <row r="120" spans="1:26" ht="19.5" customHeight="1">
      <c r="A120" s="4" t="s">
        <v>398</v>
      </c>
      <c r="B120" s="4" t="s">
        <v>399</v>
      </c>
      <c r="C120" s="7" t="s">
        <v>400</v>
      </c>
      <c r="D120" s="4" t="s">
        <v>306</v>
      </c>
      <c r="E120" s="7" t="s">
        <v>18</v>
      </c>
      <c r="F120" s="7" t="s">
        <v>18</v>
      </c>
      <c r="G120" s="7" t="s">
        <v>18</v>
      </c>
      <c r="H120" s="7" t="s">
        <v>18</v>
      </c>
      <c r="I120" s="7" t="s">
        <v>18</v>
      </c>
      <c r="J120" s="7" t="s">
        <v>18</v>
      </c>
      <c r="K120" s="7" t="s">
        <v>18</v>
      </c>
      <c r="L120" s="7" t="s">
        <v>18</v>
      </c>
      <c r="M120" s="12" t="s">
        <v>391</v>
      </c>
      <c r="N120" s="2"/>
      <c r="O120" s="2"/>
      <c r="P120" s="2"/>
      <c r="Q120" s="2"/>
      <c r="R120" s="2"/>
      <c r="S120" s="2"/>
      <c r="T120" s="2"/>
      <c r="U120" s="2"/>
      <c r="V120" s="2"/>
      <c r="W120" s="2"/>
      <c r="X120" s="2"/>
      <c r="Y120" s="2"/>
      <c r="Z120" s="2"/>
    </row>
    <row r="121" spans="1:26" ht="19.5" customHeight="1">
      <c r="A121" s="4" t="s">
        <v>401</v>
      </c>
      <c r="B121" s="4" t="s">
        <v>402</v>
      </c>
      <c r="C121" s="7" t="s">
        <v>400</v>
      </c>
      <c r="D121" s="4" t="s">
        <v>306</v>
      </c>
      <c r="E121" s="7" t="s">
        <v>403</v>
      </c>
      <c r="F121" s="7" t="s">
        <v>293</v>
      </c>
      <c r="G121" s="7" t="s">
        <v>112</v>
      </c>
      <c r="H121" s="7" t="s">
        <v>193</v>
      </c>
      <c r="I121" s="7" t="s">
        <v>125</v>
      </c>
      <c r="J121" s="7" t="s">
        <v>404</v>
      </c>
      <c r="K121" s="7" t="s">
        <v>18</v>
      </c>
      <c r="L121" s="7" t="s">
        <v>18</v>
      </c>
      <c r="M121" s="12" t="s">
        <v>405</v>
      </c>
      <c r="N121" s="2"/>
      <c r="O121" s="2"/>
      <c r="P121" s="2"/>
      <c r="Q121" s="2"/>
      <c r="R121" s="2"/>
      <c r="S121" s="2"/>
      <c r="T121" s="2"/>
      <c r="U121" s="2"/>
      <c r="V121" s="2"/>
      <c r="W121" s="2"/>
      <c r="X121" s="2"/>
      <c r="Y121" s="2"/>
      <c r="Z121" s="2"/>
    </row>
    <row r="122" spans="1:26" ht="19.5" customHeight="1">
      <c r="A122" s="4" t="s">
        <v>406</v>
      </c>
      <c r="B122" s="4" t="s">
        <v>407</v>
      </c>
      <c r="C122" s="6">
        <v>8</v>
      </c>
      <c r="D122" s="4" t="s">
        <v>306</v>
      </c>
      <c r="E122" s="6">
        <v>130</v>
      </c>
      <c r="F122" s="6">
        <v>14</v>
      </c>
      <c r="G122" s="6">
        <v>1</v>
      </c>
      <c r="H122" s="6">
        <v>7</v>
      </c>
      <c r="I122" s="6">
        <v>3</v>
      </c>
      <c r="J122" s="6">
        <v>105</v>
      </c>
      <c r="K122" s="6">
        <v>0</v>
      </c>
      <c r="L122" s="6">
        <v>0</v>
      </c>
      <c r="M122" s="4" t="s">
        <v>408</v>
      </c>
      <c r="N122" s="2"/>
      <c r="O122" s="2"/>
      <c r="P122" s="2"/>
      <c r="Q122" s="2"/>
      <c r="R122" s="2"/>
      <c r="S122" s="2"/>
      <c r="T122" s="2"/>
      <c r="U122" s="2"/>
      <c r="V122" s="2"/>
      <c r="W122" s="2"/>
      <c r="X122" s="2"/>
      <c r="Y122" s="2"/>
      <c r="Z122" s="2"/>
    </row>
    <row r="123" spans="1:26" ht="19.5" customHeight="1">
      <c r="A123" s="4" t="s">
        <v>409</v>
      </c>
      <c r="B123" s="4" t="s">
        <v>410</v>
      </c>
      <c r="C123" s="6">
        <v>6</v>
      </c>
      <c r="D123" s="4" t="s">
        <v>236</v>
      </c>
      <c r="E123" s="6">
        <v>80</v>
      </c>
      <c r="F123" s="6">
        <v>4</v>
      </c>
      <c r="G123" s="6">
        <v>7</v>
      </c>
      <c r="H123" s="6">
        <v>4.5</v>
      </c>
      <c r="I123" s="6">
        <v>3</v>
      </c>
      <c r="J123" s="6">
        <v>220</v>
      </c>
      <c r="K123" s="6">
        <v>0</v>
      </c>
      <c r="L123" s="6">
        <v>20</v>
      </c>
      <c r="M123" s="4" t="s">
        <v>411</v>
      </c>
      <c r="N123" s="2"/>
      <c r="O123" s="2"/>
      <c r="P123" s="2"/>
      <c r="Q123" s="2"/>
      <c r="R123" s="2"/>
      <c r="S123" s="2"/>
      <c r="T123" s="2"/>
      <c r="U123" s="2"/>
      <c r="V123" s="2"/>
      <c r="W123" s="2"/>
      <c r="X123" s="2"/>
      <c r="Y123" s="2"/>
      <c r="Z123" s="2"/>
    </row>
    <row r="124" spans="1:26" ht="19.5" customHeight="1">
      <c r="A124" s="4" t="s">
        <v>412</v>
      </c>
      <c r="B124" s="4" t="s">
        <v>413</v>
      </c>
      <c r="C124" s="6">
        <v>6</v>
      </c>
      <c r="D124" s="4" t="s">
        <v>236</v>
      </c>
      <c r="E124" s="6">
        <v>100</v>
      </c>
      <c r="F124" s="6">
        <v>15</v>
      </c>
      <c r="G124" s="6">
        <v>1</v>
      </c>
      <c r="H124" s="6">
        <v>3.5</v>
      </c>
      <c r="I124" s="6">
        <v>12</v>
      </c>
      <c r="J124" s="6">
        <v>20</v>
      </c>
      <c r="K124" s="6">
        <v>2</v>
      </c>
      <c r="L124" s="6">
        <v>0</v>
      </c>
      <c r="M124" s="4" t="s">
        <v>414</v>
      </c>
      <c r="N124" s="2"/>
      <c r="O124" s="2"/>
      <c r="P124" s="2"/>
      <c r="Q124" s="2"/>
      <c r="R124" s="2"/>
      <c r="S124" s="2"/>
      <c r="T124" s="2"/>
      <c r="U124" s="2"/>
      <c r="V124" s="2"/>
      <c r="W124" s="2"/>
      <c r="X124" s="2"/>
      <c r="Y124" s="2"/>
      <c r="Z124" s="2"/>
    </row>
    <row r="125" spans="1:26" ht="19.5" customHeight="1">
      <c r="A125" s="4" t="s">
        <v>415</v>
      </c>
      <c r="B125" s="4" t="s">
        <v>416</v>
      </c>
      <c r="C125" s="6">
        <v>6</v>
      </c>
      <c r="D125" s="4" t="s">
        <v>236</v>
      </c>
      <c r="E125" s="6">
        <v>150</v>
      </c>
      <c r="F125" s="6">
        <v>14</v>
      </c>
      <c r="G125" s="6">
        <v>4</v>
      </c>
      <c r="H125" s="6">
        <v>9</v>
      </c>
      <c r="I125" s="6">
        <v>1</v>
      </c>
      <c r="J125" s="6">
        <v>440</v>
      </c>
      <c r="K125" s="6">
        <v>5</v>
      </c>
      <c r="L125" s="6">
        <v>5</v>
      </c>
      <c r="M125" s="4" t="s">
        <v>417</v>
      </c>
      <c r="N125" s="2"/>
      <c r="O125" s="2"/>
      <c r="P125" s="2"/>
      <c r="Q125" s="2"/>
      <c r="R125" s="2"/>
      <c r="S125" s="2"/>
      <c r="T125" s="2"/>
      <c r="U125" s="2"/>
      <c r="V125" s="2"/>
      <c r="W125" s="2"/>
      <c r="X125" s="2"/>
      <c r="Y125" s="2"/>
      <c r="Z125" s="2"/>
    </row>
    <row r="126" spans="1:26" ht="19.5" customHeight="1">
      <c r="A126" s="4" t="s">
        <v>418</v>
      </c>
      <c r="B126" s="4" t="s">
        <v>419</v>
      </c>
      <c r="C126" s="7" t="s">
        <v>108</v>
      </c>
      <c r="D126" s="4" t="s">
        <v>320</v>
      </c>
      <c r="E126" s="6">
        <v>110</v>
      </c>
      <c r="F126" s="6">
        <v>20</v>
      </c>
      <c r="G126" s="6">
        <v>5</v>
      </c>
      <c r="H126" s="6">
        <v>2</v>
      </c>
      <c r="I126" s="6">
        <v>0</v>
      </c>
      <c r="J126" s="6">
        <v>223</v>
      </c>
      <c r="K126" s="6">
        <v>4</v>
      </c>
      <c r="L126" s="6">
        <v>0</v>
      </c>
      <c r="M126" s="4" t="s">
        <v>420</v>
      </c>
      <c r="N126" s="2"/>
      <c r="O126" s="2"/>
      <c r="P126" s="2"/>
      <c r="Q126" s="2"/>
      <c r="R126" s="2"/>
      <c r="S126" s="2"/>
      <c r="T126" s="2"/>
      <c r="U126" s="2"/>
      <c r="V126" s="2"/>
      <c r="W126" s="2"/>
      <c r="X126" s="2"/>
      <c r="Y126" s="2"/>
      <c r="Z126" s="2"/>
    </row>
    <row r="127" spans="1:26" ht="19.5" customHeight="1">
      <c r="A127" s="4" t="s">
        <v>421</v>
      </c>
      <c r="B127" s="4" t="s">
        <v>422</v>
      </c>
      <c r="C127" s="6">
        <v>5</v>
      </c>
      <c r="D127" s="4" t="s">
        <v>423</v>
      </c>
      <c r="E127" s="6">
        <v>130</v>
      </c>
      <c r="F127" s="6">
        <v>13</v>
      </c>
      <c r="G127" s="6">
        <v>12</v>
      </c>
      <c r="H127" s="6">
        <v>4</v>
      </c>
      <c r="I127" s="6">
        <v>0</v>
      </c>
      <c r="J127" s="6">
        <v>250</v>
      </c>
      <c r="K127" s="6">
        <v>2</v>
      </c>
      <c r="L127" s="7" t="s">
        <v>424</v>
      </c>
      <c r="M127" s="4" t="s">
        <v>425</v>
      </c>
      <c r="N127" s="2"/>
      <c r="O127" s="2"/>
      <c r="P127" s="2"/>
      <c r="Q127" s="2"/>
      <c r="R127" s="2"/>
      <c r="S127" s="2"/>
      <c r="T127" s="2"/>
      <c r="U127" s="2"/>
      <c r="V127" s="2"/>
      <c r="W127" s="2"/>
      <c r="X127" s="2"/>
      <c r="Y127" s="2"/>
      <c r="Z127" s="2"/>
    </row>
    <row r="128" spans="1:26" ht="19.5" customHeight="1">
      <c r="A128" s="4" t="s">
        <v>426</v>
      </c>
      <c r="B128" s="4" t="s">
        <v>427</v>
      </c>
      <c r="C128" s="6">
        <v>4.4000000000000004</v>
      </c>
      <c r="D128" s="4" t="s">
        <v>205</v>
      </c>
      <c r="E128" s="6">
        <v>270</v>
      </c>
      <c r="F128" s="6">
        <v>15</v>
      </c>
      <c r="G128" s="6">
        <v>3</v>
      </c>
      <c r="H128" s="6">
        <v>23</v>
      </c>
      <c r="I128" s="6">
        <v>9</v>
      </c>
      <c r="J128" s="6">
        <v>450</v>
      </c>
      <c r="K128" s="6">
        <v>4</v>
      </c>
      <c r="L128" s="6">
        <v>0</v>
      </c>
      <c r="M128" s="4" t="s">
        <v>428</v>
      </c>
      <c r="N128" s="2"/>
      <c r="O128" s="2"/>
      <c r="P128" s="2"/>
      <c r="Q128" s="2"/>
      <c r="R128" s="2"/>
      <c r="S128" s="2"/>
      <c r="T128" s="2"/>
      <c r="U128" s="2"/>
      <c r="V128" s="2"/>
      <c r="W128" s="2"/>
      <c r="X128" s="2"/>
      <c r="Y128" s="2"/>
      <c r="Z128" s="2"/>
    </row>
    <row r="129" spans="1:26" ht="19.5" customHeight="1">
      <c r="A129" s="4" t="s">
        <v>429</v>
      </c>
      <c r="B129" s="4" t="s">
        <v>430</v>
      </c>
      <c r="C129" s="6">
        <v>4</v>
      </c>
      <c r="D129" s="4" t="s">
        <v>205</v>
      </c>
      <c r="E129" s="6">
        <v>240</v>
      </c>
      <c r="F129" s="6">
        <v>9</v>
      </c>
      <c r="G129" s="6">
        <v>19</v>
      </c>
      <c r="H129" s="6">
        <v>14</v>
      </c>
      <c r="I129" s="6">
        <v>0</v>
      </c>
      <c r="J129" s="6">
        <v>370</v>
      </c>
      <c r="K129" s="6">
        <v>3</v>
      </c>
      <c r="L129" s="6">
        <v>0</v>
      </c>
      <c r="M129" s="4" t="s">
        <v>431</v>
      </c>
      <c r="N129" s="2"/>
      <c r="O129" s="2"/>
      <c r="P129" s="2"/>
      <c r="Q129" s="2"/>
      <c r="R129" s="2"/>
      <c r="S129" s="2"/>
      <c r="T129" s="2"/>
      <c r="U129" s="2"/>
      <c r="V129" s="2"/>
      <c r="W129" s="2"/>
      <c r="X129" s="2"/>
      <c r="Y129" s="2"/>
      <c r="Z129" s="2"/>
    </row>
    <row r="130" spans="1:26" ht="19.5" customHeight="1">
      <c r="A130" s="4" t="s">
        <v>432</v>
      </c>
      <c r="B130" s="4" t="s">
        <v>433</v>
      </c>
      <c r="C130" s="6">
        <v>4</v>
      </c>
      <c r="D130" s="4" t="s">
        <v>236</v>
      </c>
      <c r="E130" s="6">
        <v>130</v>
      </c>
      <c r="F130" s="6">
        <v>16</v>
      </c>
      <c r="G130" s="6">
        <v>1</v>
      </c>
      <c r="H130" s="6">
        <v>6</v>
      </c>
      <c r="I130" s="6">
        <v>12</v>
      </c>
      <c r="J130" s="6">
        <v>0</v>
      </c>
      <c r="K130" s="6">
        <v>1</v>
      </c>
      <c r="L130" s="6">
        <v>0</v>
      </c>
      <c r="M130" s="4" t="s">
        <v>434</v>
      </c>
      <c r="N130" s="2"/>
      <c r="O130" s="2"/>
      <c r="P130" s="2"/>
      <c r="Q130" s="2"/>
      <c r="R130" s="2"/>
      <c r="S130" s="2"/>
      <c r="T130" s="2"/>
      <c r="U130" s="2"/>
      <c r="V130" s="2"/>
      <c r="W130" s="2"/>
      <c r="X130" s="2"/>
      <c r="Y130" s="2"/>
      <c r="Z130" s="2"/>
    </row>
    <row r="131" spans="1:26" ht="19.5" customHeight="1">
      <c r="A131" s="4" t="s">
        <v>435</v>
      </c>
      <c r="B131" s="4" t="s">
        <v>436</v>
      </c>
      <c r="C131" s="6">
        <v>4</v>
      </c>
      <c r="D131" s="4" t="s">
        <v>76</v>
      </c>
      <c r="E131" s="6">
        <v>40</v>
      </c>
      <c r="F131" s="6">
        <v>9</v>
      </c>
      <c r="G131" s="6">
        <v>0</v>
      </c>
      <c r="H131" s="6">
        <v>0</v>
      </c>
      <c r="I131" s="6">
        <v>5</v>
      </c>
      <c r="J131" s="6">
        <v>490</v>
      </c>
      <c r="K131" s="6">
        <v>1</v>
      </c>
      <c r="L131" s="6">
        <v>0</v>
      </c>
      <c r="M131" s="4" t="s">
        <v>437</v>
      </c>
      <c r="N131" s="2"/>
      <c r="O131" s="2"/>
      <c r="P131" s="2"/>
      <c r="Q131" s="2"/>
      <c r="R131" s="2"/>
      <c r="S131" s="2"/>
      <c r="T131" s="2"/>
      <c r="U131" s="2"/>
      <c r="V131" s="2"/>
      <c r="W131" s="2"/>
      <c r="X131" s="2"/>
      <c r="Y131" s="2"/>
      <c r="Z131" s="2"/>
    </row>
    <row r="132" spans="1:26" ht="19.5" customHeight="1">
      <c r="A132" s="4" t="s">
        <v>438</v>
      </c>
      <c r="B132" s="4" t="s">
        <v>439</v>
      </c>
      <c r="C132" s="6">
        <v>3</v>
      </c>
      <c r="D132" s="4" t="s">
        <v>440</v>
      </c>
      <c r="E132" s="6">
        <v>90</v>
      </c>
      <c r="F132" s="6">
        <v>1</v>
      </c>
      <c r="G132" s="6">
        <v>11</v>
      </c>
      <c r="H132" s="6">
        <v>5</v>
      </c>
      <c r="I132" s="6">
        <v>0</v>
      </c>
      <c r="J132" s="6">
        <v>440</v>
      </c>
      <c r="K132" s="6">
        <v>0</v>
      </c>
      <c r="L132" s="6">
        <v>45</v>
      </c>
      <c r="M132" s="4" t="s">
        <v>441</v>
      </c>
      <c r="N132" s="2"/>
      <c r="O132" s="2"/>
      <c r="P132" s="2"/>
      <c r="Q132" s="2"/>
      <c r="R132" s="2"/>
      <c r="S132" s="2"/>
      <c r="T132" s="2"/>
      <c r="U132" s="2"/>
      <c r="V132" s="2"/>
      <c r="W132" s="2"/>
      <c r="X132" s="2"/>
      <c r="Y132" s="2"/>
      <c r="Z132" s="2"/>
    </row>
    <row r="133" spans="1:26" ht="19.5" customHeight="1">
      <c r="A133" s="4" t="s">
        <v>442</v>
      </c>
      <c r="B133" s="4" t="s">
        <v>443</v>
      </c>
      <c r="C133" s="6">
        <v>3</v>
      </c>
      <c r="D133" s="4" t="s">
        <v>205</v>
      </c>
      <c r="E133" s="6">
        <v>100</v>
      </c>
      <c r="F133" s="6">
        <v>0</v>
      </c>
      <c r="G133" s="6">
        <v>21</v>
      </c>
      <c r="H133" s="6">
        <v>2.5</v>
      </c>
      <c r="I133" s="6">
        <v>0</v>
      </c>
      <c r="J133" s="6">
        <v>85</v>
      </c>
      <c r="K133" s="6">
        <v>0</v>
      </c>
      <c r="L133" s="6">
        <v>20</v>
      </c>
      <c r="M133" s="4" t="s">
        <v>444</v>
      </c>
      <c r="N133" s="2"/>
      <c r="O133" s="2"/>
      <c r="P133" s="2"/>
      <c r="Q133" s="2"/>
      <c r="R133" s="2"/>
      <c r="S133" s="2"/>
      <c r="T133" s="2"/>
      <c r="U133" s="2"/>
      <c r="V133" s="2"/>
      <c r="W133" s="2"/>
      <c r="X133" s="2"/>
      <c r="Y133" s="2"/>
      <c r="Z133" s="2"/>
    </row>
    <row r="134" spans="1:26" ht="19.5" customHeight="1">
      <c r="A134" s="4" t="s">
        <v>445</v>
      </c>
      <c r="B134" s="4" t="s">
        <v>446</v>
      </c>
      <c r="C134" s="6">
        <v>3</v>
      </c>
      <c r="D134" s="4" t="s">
        <v>205</v>
      </c>
      <c r="E134" s="6">
        <v>0</v>
      </c>
      <c r="F134" s="6">
        <v>1</v>
      </c>
      <c r="G134" s="7" t="s">
        <v>18</v>
      </c>
      <c r="H134" s="6">
        <v>0</v>
      </c>
      <c r="I134" s="6">
        <v>0</v>
      </c>
      <c r="J134" s="6">
        <v>0</v>
      </c>
      <c r="K134" s="6">
        <v>2</v>
      </c>
      <c r="L134" s="6">
        <v>0</v>
      </c>
      <c r="M134" s="4" t="s">
        <v>447</v>
      </c>
      <c r="N134" s="2"/>
      <c r="O134" s="2"/>
      <c r="P134" s="2"/>
      <c r="Q134" s="2"/>
      <c r="R134" s="2"/>
      <c r="S134" s="2"/>
      <c r="T134" s="2"/>
      <c r="U134" s="2"/>
      <c r="V134" s="2"/>
      <c r="W134" s="2"/>
      <c r="X134" s="2"/>
      <c r="Y134" s="2"/>
      <c r="Z134" s="2"/>
    </row>
    <row r="135" spans="1:26" ht="19.5" customHeight="1">
      <c r="A135" s="4" t="s">
        <v>448</v>
      </c>
      <c r="B135" s="4" t="s">
        <v>449</v>
      </c>
      <c r="C135" s="6">
        <v>3</v>
      </c>
      <c r="D135" s="4" t="s">
        <v>450</v>
      </c>
      <c r="E135" s="6">
        <v>140</v>
      </c>
      <c r="F135" s="6">
        <v>18</v>
      </c>
      <c r="G135" s="6">
        <v>2</v>
      </c>
      <c r="H135" s="6">
        <v>7</v>
      </c>
      <c r="I135" s="6">
        <v>8</v>
      </c>
      <c r="J135" s="6">
        <v>95</v>
      </c>
      <c r="K135" s="6">
        <v>1</v>
      </c>
      <c r="L135" s="6">
        <v>0</v>
      </c>
      <c r="M135" s="4" t="s">
        <v>451</v>
      </c>
      <c r="N135" s="2"/>
      <c r="O135" s="2"/>
      <c r="P135" s="2"/>
      <c r="Q135" s="2"/>
      <c r="R135" s="2"/>
      <c r="S135" s="2"/>
      <c r="T135" s="2"/>
      <c r="U135" s="2"/>
      <c r="V135" s="2"/>
      <c r="W135" s="2"/>
      <c r="X135" s="2"/>
      <c r="Y135" s="2"/>
      <c r="Z135" s="2"/>
    </row>
    <row r="136" spans="1:26" ht="19.5" customHeight="1">
      <c r="A136" s="4" t="s">
        <v>452</v>
      </c>
      <c r="B136" s="4" t="s">
        <v>453</v>
      </c>
      <c r="C136" s="6">
        <v>3</v>
      </c>
      <c r="D136" s="4" t="s">
        <v>205</v>
      </c>
      <c r="E136" s="6">
        <v>190</v>
      </c>
      <c r="F136" s="6">
        <v>17</v>
      </c>
      <c r="G136" s="6">
        <v>13</v>
      </c>
      <c r="H136" s="6">
        <v>8</v>
      </c>
      <c r="I136" s="6">
        <v>0</v>
      </c>
      <c r="J136" s="6">
        <v>470</v>
      </c>
      <c r="K136" s="6">
        <v>1</v>
      </c>
      <c r="L136" s="6">
        <v>40</v>
      </c>
      <c r="M136" s="4" t="s">
        <v>454</v>
      </c>
      <c r="N136" s="2"/>
      <c r="O136" s="2"/>
      <c r="P136" s="2"/>
      <c r="Q136" s="2"/>
      <c r="R136" s="2"/>
      <c r="S136" s="2"/>
      <c r="T136" s="2"/>
      <c r="U136" s="2"/>
      <c r="V136" s="2"/>
      <c r="W136" s="2"/>
      <c r="X136" s="2"/>
      <c r="Y136" s="2"/>
      <c r="Z136" s="2"/>
    </row>
    <row r="137" spans="1:26" ht="19.5" customHeight="1">
      <c r="A137" s="4" t="s">
        <v>455</v>
      </c>
      <c r="B137" s="4" t="s">
        <v>456</v>
      </c>
      <c r="C137" s="7" t="s">
        <v>457</v>
      </c>
      <c r="D137" s="4" t="s">
        <v>440</v>
      </c>
      <c r="E137" s="6">
        <v>110</v>
      </c>
      <c r="F137" s="6">
        <v>2</v>
      </c>
      <c r="G137" s="7" t="s">
        <v>172</v>
      </c>
      <c r="H137" s="6">
        <v>7</v>
      </c>
      <c r="I137" s="6">
        <v>2</v>
      </c>
      <c r="J137" s="6">
        <v>390</v>
      </c>
      <c r="K137" s="6">
        <v>0</v>
      </c>
      <c r="L137" s="6">
        <v>45</v>
      </c>
      <c r="M137" s="4" t="s">
        <v>458</v>
      </c>
      <c r="N137" s="2"/>
      <c r="O137" s="2"/>
      <c r="P137" s="2"/>
      <c r="Q137" s="2"/>
      <c r="R137" s="2"/>
      <c r="S137" s="2"/>
      <c r="T137" s="2"/>
      <c r="U137" s="2"/>
      <c r="V137" s="2"/>
      <c r="W137" s="2"/>
      <c r="X137" s="2"/>
      <c r="Y137" s="2"/>
      <c r="Z137" s="2"/>
    </row>
    <row r="138" spans="1:26" ht="19.5" customHeight="1">
      <c r="A138" s="4" t="s">
        <v>459</v>
      </c>
      <c r="B138" s="4" t="s">
        <v>460</v>
      </c>
      <c r="C138" s="6">
        <v>3</v>
      </c>
      <c r="D138" s="4" t="s">
        <v>440</v>
      </c>
      <c r="E138" s="6">
        <v>170</v>
      </c>
      <c r="F138" s="6">
        <v>1</v>
      </c>
      <c r="G138" s="6">
        <v>11</v>
      </c>
      <c r="H138" s="6">
        <v>14</v>
      </c>
      <c r="I138" s="6">
        <v>0</v>
      </c>
      <c r="J138" s="6">
        <v>400</v>
      </c>
      <c r="K138" s="6">
        <v>0</v>
      </c>
      <c r="L138" s="6">
        <v>40</v>
      </c>
      <c r="M138" s="4" t="s">
        <v>461</v>
      </c>
      <c r="N138" s="2"/>
      <c r="O138" s="2"/>
      <c r="P138" s="2"/>
      <c r="Q138" s="2"/>
      <c r="R138" s="2"/>
      <c r="S138" s="2"/>
      <c r="T138" s="2"/>
      <c r="U138" s="2"/>
      <c r="V138" s="2"/>
      <c r="W138" s="2"/>
      <c r="X138" s="2"/>
      <c r="Y138" s="2"/>
      <c r="Z138" s="2"/>
    </row>
    <row r="139" spans="1:26" ht="19.5" customHeight="1">
      <c r="A139" s="4" t="s">
        <v>462</v>
      </c>
      <c r="B139" s="4" t="s">
        <v>463</v>
      </c>
      <c r="C139" s="7" t="s">
        <v>457</v>
      </c>
      <c r="D139" s="4" t="s">
        <v>205</v>
      </c>
      <c r="E139" s="6">
        <v>190</v>
      </c>
      <c r="F139" s="6">
        <v>18</v>
      </c>
      <c r="G139" s="6">
        <v>12</v>
      </c>
      <c r="H139" s="6">
        <v>8</v>
      </c>
      <c r="I139" s="6">
        <v>0</v>
      </c>
      <c r="J139" s="6">
        <v>420</v>
      </c>
      <c r="K139" s="6">
        <v>1</v>
      </c>
      <c r="L139" s="6">
        <v>40</v>
      </c>
      <c r="M139" s="4" t="s">
        <v>464</v>
      </c>
      <c r="N139" s="2"/>
      <c r="O139" s="2"/>
      <c r="P139" s="2"/>
      <c r="Q139" s="2"/>
      <c r="R139" s="2"/>
      <c r="S139" s="2"/>
      <c r="T139" s="2"/>
      <c r="U139" s="2"/>
      <c r="V139" s="2"/>
      <c r="W139" s="2"/>
      <c r="X139" s="2"/>
      <c r="Y139" s="2"/>
      <c r="Z139" s="2"/>
    </row>
    <row r="140" spans="1:26" ht="19.5" customHeight="1">
      <c r="A140" s="4" t="s">
        <v>465</v>
      </c>
      <c r="B140" s="4" t="s">
        <v>466</v>
      </c>
      <c r="C140" s="6">
        <v>3</v>
      </c>
      <c r="D140" s="4" t="s">
        <v>467</v>
      </c>
      <c r="E140" s="6">
        <v>70</v>
      </c>
      <c r="F140" s="6">
        <v>14</v>
      </c>
      <c r="G140" s="6">
        <v>2</v>
      </c>
      <c r="H140" s="6">
        <v>0</v>
      </c>
      <c r="I140" s="6">
        <v>0</v>
      </c>
      <c r="J140" s="6">
        <v>85</v>
      </c>
      <c r="K140" s="6">
        <v>2</v>
      </c>
      <c r="L140" s="6">
        <v>0</v>
      </c>
      <c r="M140" s="4" t="s">
        <v>468</v>
      </c>
      <c r="N140" s="2"/>
      <c r="O140" s="2"/>
      <c r="P140" s="2"/>
      <c r="Q140" s="2"/>
      <c r="R140" s="2"/>
      <c r="S140" s="2"/>
      <c r="T140" s="2"/>
      <c r="U140" s="2"/>
      <c r="V140" s="2"/>
      <c r="W140" s="2"/>
      <c r="X140" s="2"/>
      <c r="Y140" s="2"/>
      <c r="Z140" s="2"/>
    </row>
    <row r="141" spans="1:26" ht="19.5" customHeight="1">
      <c r="A141" s="4" t="s">
        <v>469</v>
      </c>
      <c r="B141" s="4" t="s">
        <v>470</v>
      </c>
      <c r="C141" s="6">
        <v>2</v>
      </c>
      <c r="D141" s="4" t="s">
        <v>31</v>
      </c>
      <c r="E141" s="6">
        <v>200</v>
      </c>
      <c r="F141" s="6">
        <v>22</v>
      </c>
      <c r="G141" s="6">
        <v>2</v>
      </c>
      <c r="H141" s="6">
        <v>12</v>
      </c>
      <c r="I141" s="6">
        <v>21</v>
      </c>
      <c r="J141" s="6">
        <v>35</v>
      </c>
      <c r="K141" s="6">
        <v>1</v>
      </c>
      <c r="L141" s="6">
        <v>0</v>
      </c>
      <c r="M141" s="4" t="s">
        <v>471</v>
      </c>
      <c r="N141" s="2"/>
      <c r="O141" s="2"/>
      <c r="P141" s="2"/>
      <c r="Q141" s="2"/>
      <c r="R141" s="2"/>
      <c r="S141" s="2"/>
      <c r="T141" s="2"/>
      <c r="U141" s="2"/>
      <c r="V141" s="2"/>
      <c r="W141" s="2"/>
      <c r="X141" s="2"/>
      <c r="Y141" s="2"/>
      <c r="Z141" s="2"/>
    </row>
    <row r="142" spans="1:26" ht="19.5" customHeight="1">
      <c r="A142" s="4" t="s">
        <v>472</v>
      </c>
      <c r="B142" s="4" t="s">
        <v>473</v>
      </c>
      <c r="C142" s="6">
        <v>2</v>
      </c>
      <c r="D142" s="4" t="s">
        <v>474</v>
      </c>
      <c r="E142" s="6">
        <v>90</v>
      </c>
      <c r="F142" s="6">
        <v>14</v>
      </c>
      <c r="G142" s="6">
        <v>2</v>
      </c>
      <c r="H142" s="6">
        <v>2.5</v>
      </c>
      <c r="I142" s="6">
        <v>0</v>
      </c>
      <c r="J142" s="6">
        <v>210</v>
      </c>
      <c r="K142" s="6">
        <v>3</v>
      </c>
      <c r="L142" s="6">
        <v>0</v>
      </c>
      <c r="M142" s="4" t="s">
        <v>475</v>
      </c>
      <c r="N142" s="2"/>
      <c r="O142" s="2"/>
      <c r="P142" s="2"/>
      <c r="Q142" s="2"/>
      <c r="R142" s="2"/>
      <c r="S142" s="2"/>
      <c r="T142" s="2"/>
      <c r="U142" s="2"/>
      <c r="V142" s="2"/>
      <c r="W142" s="2"/>
      <c r="X142" s="2"/>
      <c r="Y142" s="2"/>
      <c r="Z142" s="2"/>
    </row>
    <row r="143" spans="1:26" ht="19.5" customHeight="1">
      <c r="A143" s="4" t="s">
        <v>476</v>
      </c>
      <c r="B143" s="4" t="s">
        <v>477</v>
      </c>
      <c r="C143" s="6">
        <v>2</v>
      </c>
      <c r="D143" s="4" t="s">
        <v>31</v>
      </c>
      <c r="E143" s="6">
        <v>80</v>
      </c>
      <c r="F143" s="6">
        <v>0</v>
      </c>
      <c r="G143" s="6">
        <v>1</v>
      </c>
      <c r="H143" s="6">
        <v>8</v>
      </c>
      <c r="I143" s="6">
        <v>0</v>
      </c>
      <c r="J143" s="6">
        <v>75</v>
      </c>
      <c r="K143" s="6">
        <v>0</v>
      </c>
      <c r="L143" s="6">
        <v>25</v>
      </c>
      <c r="M143" s="4" t="s">
        <v>478</v>
      </c>
      <c r="N143" s="2"/>
      <c r="O143" s="2"/>
      <c r="P143" s="2"/>
      <c r="Q143" s="2"/>
      <c r="R143" s="2"/>
      <c r="S143" s="2"/>
      <c r="T143" s="2"/>
      <c r="U143" s="2"/>
      <c r="V143" s="2"/>
      <c r="W143" s="2"/>
      <c r="X143" s="2"/>
      <c r="Y143" s="2"/>
      <c r="Z143" s="2"/>
    </row>
    <row r="144" spans="1:26" ht="19.5" customHeight="1">
      <c r="A144" s="4" t="s">
        <v>479</v>
      </c>
      <c r="B144" s="4" t="s">
        <v>480</v>
      </c>
      <c r="C144" s="6">
        <v>2</v>
      </c>
      <c r="D144" s="4" t="s">
        <v>31</v>
      </c>
      <c r="E144" s="6">
        <v>190</v>
      </c>
      <c r="F144" s="6">
        <v>8</v>
      </c>
      <c r="G144" s="6">
        <v>7</v>
      </c>
      <c r="H144" s="6">
        <v>16</v>
      </c>
      <c r="I144" s="6">
        <v>4</v>
      </c>
      <c r="J144" s="6">
        <v>80</v>
      </c>
      <c r="K144" s="6">
        <v>3</v>
      </c>
      <c r="L144" s="6">
        <v>0</v>
      </c>
      <c r="M144" s="4" t="s">
        <v>481</v>
      </c>
      <c r="N144" s="2"/>
      <c r="O144" s="2"/>
      <c r="P144" s="2"/>
      <c r="Q144" s="2"/>
      <c r="R144" s="2"/>
      <c r="S144" s="2"/>
      <c r="T144" s="2"/>
      <c r="U144" s="2"/>
      <c r="V144" s="2"/>
      <c r="W144" s="2"/>
      <c r="X144" s="2"/>
      <c r="Y144" s="2"/>
      <c r="Z144" s="2"/>
    </row>
    <row r="145" spans="1:26" ht="19.5" customHeight="1">
      <c r="A145" s="4" t="s">
        <v>482</v>
      </c>
      <c r="B145" s="4" t="s">
        <v>483</v>
      </c>
      <c r="C145" s="6">
        <v>2</v>
      </c>
      <c r="D145" s="4" t="s">
        <v>205</v>
      </c>
      <c r="E145" s="6">
        <v>190</v>
      </c>
      <c r="F145" s="6">
        <v>32</v>
      </c>
      <c r="G145" s="6">
        <v>14</v>
      </c>
      <c r="H145" s="6">
        <v>3.5</v>
      </c>
      <c r="I145" s="6">
        <v>5</v>
      </c>
      <c r="J145" s="6">
        <v>60</v>
      </c>
      <c r="K145" s="6">
        <v>8</v>
      </c>
      <c r="L145" s="6">
        <v>0</v>
      </c>
      <c r="M145" s="4" t="s">
        <v>484</v>
      </c>
      <c r="N145" s="2"/>
      <c r="O145" s="2"/>
      <c r="P145" s="2"/>
      <c r="Q145" s="2"/>
      <c r="R145" s="2"/>
      <c r="S145" s="2"/>
      <c r="T145" s="2"/>
      <c r="U145" s="2"/>
      <c r="V145" s="2"/>
      <c r="W145" s="2"/>
      <c r="X145" s="2"/>
      <c r="Y145" s="2"/>
      <c r="Z145" s="2"/>
    </row>
    <row r="146" spans="1:26" ht="19.5" customHeight="1">
      <c r="A146" s="4" t="s">
        <v>485</v>
      </c>
      <c r="B146" s="4" t="s">
        <v>486</v>
      </c>
      <c r="C146" s="7" t="s">
        <v>112</v>
      </c>
      <c r="D146" s="4" t="s">
        <v>205</v>
      </c>
      <c r="E146" s="7" t="s">
        <v>487</v>
      </c>
      <c r="F146" s="7" t="s">
        <v>488</v>
      </c>
      <c r="G146" s="7" t="s">
        <v>489</v>
      </c>
      <c r="H146" s="7" t="s">
        <v>490</v>
      </c>
      <c r="I146" s="7" t="s">
        <v>457</v>
      </c>
      <c r="J146" s="7" t="s">
        <v>18</v>
      </c>
      <c r="K146" s="7" t="s">
        <v>491</v>
      </c>
      <c r="L146" s="7" t="s">
        <v>18</v>
      </c>
      <c r="M146" s="4" t="s">
        <v>492</v>
      </c>
      <c r="N146" s="2"/>
      <c r="O146" s="2"/>
      <c r="P146" s="2"/>
      <c r="Q146" s="2"/>
      <c r="R146" s="2"/>
      <c r="S146" s="2"/>
      <c r="T146" s="2"/>
      <c r="U146" s="2"/>
      <c r="V146" s="2"/>
      <c r="W146" s="2"/>
      <c r="X146" s="2"/>
      <c r="Y146" s="2"/>
      <c r="Z146" s="2"/>
    </row>
    <row r="147" spans="1:26" ht="19.5" customHeight="1">
      <c r="A147" s="4" t="s">
        <v>493</v>
      </c>
      <c r="B147" s="4" t="s">
        <v>494</v>
      </c>
      <c r="C147" s="6">
        <v>2</v>
      </c>
      <c r="D147" s="4" t="s">
        <v>31</v>
      </c>
      <c r="E147" s="6">
        <v>190</v>
      </c>
      <c r="F147" s="6">
        <v>8</v>
      </c>
      <c r="G147" s="6">
        <v>6</v>
      </c>
      <c r="H147" s="6">
        <v>16</v>
      </c>
      <c r="I147" s="6">
        <v>3</v>
      </c>
      <c r="J147" s="6">
        <v>65</v>
      </c>
      <c r="K147" s="6">
        <v>3</v>
      </c>
      <c r="L147" s="6">
        <v>0</v>
      </c>
      <c r="M147" s="4" t="s">
        <v>495</v>
      </c>
      <c r="N147" s="2"/>
      <c r="O147" s="2"/>
      <c r="P147" s="2"/>
      <c r="Q147" s="2"/>
      <c r="R147" s="2"/>
      <c r="S147" s="2"/>
      <c r="T147" s="2"/>
      <c r="U147" s="2"/>
      <c r="V147" s="2"/>
      <c r="W147" s="2"/>
      <c r="X147" s="2"/>
      <c r="Y147" s="2"/>
      <c r="Z147" s="2"/>
    </row>
    <row r="148" spans="1:26" ht="19.5" customHeight="1">
      <c r="A148" s="4" t="s">
        <v>496</v>
      </c>
      <c r="B148" s="4" t="s">
        <v>497</v>
      </c>
      <c r="C148" s="6">
        <v>2</v>
      </c>
      <c r="D148" s="4" t="s">
        <v>31</v>
      </c>
      <c r="E148" s="6">
        <v>90</v>
      </c>
      <c r="F148" s="6">
        <v>3</v>
      </c>
      <c r="G148" s="6">
        <v>0</v>
      </c>
      <c r="H148" s="6">
        <v>9</v>
      </c>
      <c r="I148" s="6">
        <v>2</v>
      </c>
      <c r="J148" s="6">
        <v>170</v>
      </c>
      <c r="K148" s="6">
        <v>0</v>
      </c>
      <c r="L148" s="6">
        <v>0</v>
      </c>
      <c r="M148" s="4" t="s">
        <v>498</v>
      </c>
      <c r="N148" s="2"/>
      <c r="O148" s="2"/>
      <c r="P148" s="2"/>
      <c r="Q148" s="2"/>
      <c r="R148" s="2"/>
      <c r="S148" s="2"/>
      <c r="T148" s="2"/>
      <c r="U148" s="2"/>
      <c r="V148" s="2"/>
      <c r="W148" s="2"/>
      <c r="X148" s="2"/>
      <c r="Y148" s="2"/>
      <c r="Z148" s="2"/>
    </row>
    <row r="149" spans="1:26" ht="19.5" customHeight="1">
      <c r="A149" s="4" t="s">
        <v>499</v>
      </c>
      <c r="B149" s="4" t="s">
        <v>500</v>
      </c>
      <c r="C149" s="7" t="s">
        <v>112</v>
      </c>
      <c r="D149" s="4" t="s">
        <v>31</v>
      </c>
      <c r="E149" s="6">
        <v>120</v>
      </c>
      <c r="F149" s="6">
        <v>1</v>
      </c>
      <c r="G149" s="6">
        <v>0</v>
      </c>
      <c r="H149" s="6">
        <v>13</v>
      </c>
      <c r="I149" s="6">
        <v>0</v>
      </c>
      <c r="J149" s="6">
        <v>260</v>
      </c>
      <c r="K149" s="6">
        <v>0</v>
      </c>
      <c r="L149" s="6">
        <v>0</v>
      </c>
      <c r="M149" s="4" t="s">
        <v>501</v>
      </c>
      <c r="N149" s="2"/>
      <c r="O149" s="2"/>
      <c r="P149" s="2"/>
      <c r="Q149" s="2"/>
      <c r="R149" s="2"/>
      <c r="S149" s="2"/>
      <c r="T149" s="2"/>
      <c r="U149" s="2"/>
      <c r="V149" s="2"/>
      <c r="W149" s="2"/>
      <c r="X149" s="2"/>
      <c r="Y149" s="2"/>
      <c r="Z149" s="2"/>
    </row>
    <row r="150" spans="1:26" ht="19.5" customHeight="1">
      <c r="A150" s="4" t="s">
        <v>502</v>
      </c>
      <c r="B150" s="4" t="s">
        <v>503</v>
      </c>
      <c r="C150" s="6">
        <v>2</v>
      </c>
      <c r="D150" s="4" t="s">
        <v>31</v>
      </c>
      <c r="E150" s="6">
        <v>120</v>
      </c>
      <c r="F150" s="6">
        <v>2</v>
      </c>
      <c r="G150" s="6">
        <v>1</v>
      </c>
      <c r="H150" s="6">
        <v>12</v>
      </c>
      <c r="I150" s="6">
        <v>0</v>
      </c>
      <c r="J150" s="6">
        <v>340</v>
      </c>
      <c r="K150" s="6">
        <v>0</v>
      </c>
      <c r="L150" s="6">
        <v>0</v>
      </c>
      <c r="M150" s="4" t="s">
        <v>504</v>
      </c>
      <c r="N150" s="2"/>
      <c r="O150" s="2"/>
      <c r="P150" s="2"/>
      <c r="Q150" s="2"/>
      <c r="R150" s="2"/>
      <c r="S150" s="2"/>
      <c r="T150" s="2"/>
      <c r="U150" s="2"/>
      <c r="V150" s="2"/>
      <c r="W150" s="2"/>
      <c r="X150" s="2"/>
      <c r="Y150" s="2"/>
      <c r="Z150" s="2"/>
    </row>
    <row r="151" spans="1:26" ht="19.5" customHeight="1">
      <c r="A151" s="4" t="s">
        <v>505</v>
      </c>
      <c r="B151" s="4" t="s">
        <v>506</v>
      </c>
      <c r="C151" s="7" t="s">
        <v>112</v>
      </c>
      <c r="D151" s="4" t="s">
        <v>31</v>
      </c>
      <c r="E151" s="6">
        <v>180</v>
      </c>
      <c r="F151" s="6">
        <v>7</v>
      </c>
      <c r="G151" s="6">
        <v>7</v>
      </c>
      <c r="H151" s="6">
        <v>16</v>
      </c>
      <c r="I151" s="6">
        <v>1</v>
      </c>
      <c r="J151" s="6">
        <v>0</v>
      </c>
      <c r="K151" s="6">
        <v>4</v>
      </c>
      <c r="L151" s="6">
        <v>0</v>
      </c>
      <c r="M151" s="4" t="s">
        <v>507</v>
      </c>
      <c r="N151" s="2"/>
      <c r="O151" s="2"/>
      <c r="P151" s="2"/>
      <c r="Q151" s="2"/>
      <c r="R151" s="2"/>
      <c r="S151" s="2"/>
      <c r="T151" s="2"/>
      <c r="U151" s="2"/>
      <c r="V151" s="2"/>
      <c r="W151" s="2"/>
      <c r="X151" s="2"/>
      <c r="Y151" s="2"/>
      <c r="Z151" s="2"/>
    </row>
    <row r="152" spans="1:26" ht="19.5" customHeight="1">
      <c r="A152" s="4" t="s">
        <v>508</v>
      </c>
      <c r="B152" s="4" t="s">
        <v>509</v>
      </c>
      <c r="C152" s="7" t="s">
        <v>112</v>
      </c>
      <c r="D152" s="4" t="s">
        <v>31</v>
      </c>
      <c r="E152" s="6">
        <v>30</v>
      </c>
      <c r="F152" s="6">
        <v>2</v>
      </c>
      <c r="G152" s="6">
        <v>1</v>
      </c>
      <c r="H152" s="6">
        <v>2</v>
      </c>
      <c r="I152" s="6">
        <v>0</v>
      </c>
      <c r="J152" s="6">
        <v>200</v>
      </c>
      <c r="K152" s="7" t="s">
        <v>176</v>
      </c>
      <c r="L152" s="6">
        <v>0</v>
      </c>
      <c r="M152" s="4" t="s">
        <v>510</v>
      </c>
      <c r="N152" s="2"/>
      <c r="O152" s="2"/>
      <c r="P152" s="2"/>
      <c r="Q152" s="2"/>
      <c r="R152" s="2"/>
      <c r="S152" s="2"/>
      <c r="T152" s="2"/>
      <c r="U152" s="2"/>
      <c r="V152" s="2"/>
      <c r="W152" s="2"/>
      <c r="X152" s="2"/>
      <c r="Y152" s="2"/>
      <c r="Z152" s="2"/>
    </row>
    <row r="153" spans="1:26" ht="19.5" customHeight="1">
      <c r="A153" s="4" t="s">
        <v>511</v>
      </c>
      <c r="B153" s="4" t="s">
        <v>512</v>
      </c>
      <c r="C153" s="7" t="s">
        <v>112</v>
      </c>
      <c r="D153" s="4" t="s">
        <v>31</v>
      </c>
      <c r="E153" s="6">
        <v>60</v>
      </c>
      <c r="F153" s="6">
        <v>2</v>
      </c>
      <c r="G153" s="6">
        <v>1</v>
      </c>
      <c r="H153" s="6">
        <v>5</v>
      </c>
      <c r="I153" s="6">
        <v>2</v>
      </c>
      <c r="J153" s="6">
        <v>95</v>
      </c>
      <c r="K153" s="6">
        <v>0</v>
      </c>
      <c r="L153" s="6">
        <v>20</v>
      </c>
      <c r="M153" s="4" t="s">
        <v>513</v>
      </c>
      <c r="N153" s="2"/>
      <c r="O153" s="2"/>
      <c r="P153" s="2"/>
      <c r="Q153" s="2"/>
      <c r="R153" s="2"/>
      <c r="S153" s="2"/>
      <c r="T153" s="2"/>
      <c r="U153" s="2"/>
      <c r="V153" s="2"/>
      <c r="W153" s="2"/>
      <c r="X153" s="2"/>
      <c r="Y153" s="2"/>
      <c r="Z153" s="2"/>
    </row>
    <row r="154" spans="1:26" ht="19.5" customHeight="1">
      <c r="A154" s="4" t="s">
        <v>514</v>
      </c>
      <c r="B154" s="4" t="s">
        <v>515</v>
      </c>
      <c r="C154" s="6">
        <v>2</v>
      </c>
      <c r="D154" s="4" t="s">
        <v>440</v>
      </c>
      <c r="E154" s="6">
        <v>130</v>
      </c>
      <c r="F154" s="6">
        <v>1</v>
      </c>
      <c r="G154" s="7" t="s">
        <v>293</v>
      </c>
      <c r="H154" s="6">
        <v>11</v>
      </c>
      <c r="I154" s="6">
        <v>1</v>
      </c>
      <c r="J154" s="6">
        <v>410</v>
      </c>
      <c r="K154" s="7" t="s">
        <v>18</v>
      </c>
      <c r="L154" s="7" t="s">
        <v>296</v>
      </c>
      <c r="M154" s="4" t="s">
        <v>516</v>
      </c>
      <c r="N154" s="2"/>
      <c r="O154" s="2"/>
      <c r="P154" s="2"/>
      <c r="Q154" s="2"/>
      <c r="R154" s="2"/>
      <c r="S154" s="2"/>
      <c r="T154" s="2"/>
      <c r="U154" s="2"/>
      <c r="V154" s="2"/>
      <c r="W154" s="2"/>
      <c r="X154" s="2"/>
      <c r="Y154" s="2"/>
      <c r="Z154" s="2"/>
    </row>
    <row r="155" spans="1:26" ht="19.5" customHeight="1">
      <c r="A155" s="4" t="s">
        <v>517</v>
      </c>
      <c r="B155" s="4" t="s">
        <v>518</v>
      </c>
      <c r="C155" s="6">
        <v>2</v>
      </c>
      <c r="D155" s="4" t="s">
        <v>31</v>
      </c>
      <c r="E155" s="6">
        <v>215</v>
      </c>
      <c r="F155" s="6">
        <v>4</v>
      </c>
      <c r="G155" s="7" t="s">
        <v>400</v>
      </c>
      <c r="H155" s="6">
        <v>19</v>
      </c>
      <c r="I155" s="6">
        <v>0</v>
      </c>
      <c r="J155" s="6">
        <v>45</v>
      </c>
      <c r="K155" s="6">
        <v>4</v>
      </c>
      <c r="L155" s="6">
        <v>0</v>
      </c>
      <c r="M155" s="4" t="s">
        <v>519</v>
      </c>
      <c r="N155" s="2"/>
      <c r="O155" s="2"/>
      <c r="P155" s="2"/>
      <c r="Q155" s="2"/>
      <c r="R155" s="2"/>
      <c r="S155" s="2"/>
      <c r="T155" s="2"/>
      <c r="U155" s="2"/>
      <c r="V155" s="2"/>
      <c r="W155" s="2"/>
      <c r="X155" s="2"/>
      <c r="Y155" s="2"/>
      <c r="Z155" s="2"/>
    </row>
    <row r="156" spans="1:26" ht="19.5" customHeight="1">
      <c r="A156" s="4" t="s">
        <v>520</v>
      </c>
      <c r="B156" s="4" t="s">
        <v>521</v>
      </c>
      <c r="C156" s="6">
        <v>2</v>
      </c>
      <c r="D156" s="4" t="s">
        <v>31</v>
      </c>
      <c r="E156" s="6">
        <v>170</v>
      </c>
      <c r="F156" s="6">
        <v>15</v>
      </c>
      <c r="G156" s="6">
        <v>5</v>
      </c>
      <c r="H156" s="6">
        <v>11</v>
      </c>
      <c r="I156" s="6">
        <v>10</v>
      </c>
      <c r="J156" s="6">
        <v>0</v>
      </c>
      <c r="K156" s="6">
        <v>3</v>
      </c>
      <c r="L156" s="6">
        <v>0</v>
      </c>
      <c r="M156" s="4" t="s">
        <v>522</v>
      </c>
      <c r="N156" s="2"/>
      <c r="O156" s="2"/>
      <c r="P156" s="2"/>
      <c r="Q156" s="2"/>
      <c r="R156" s="2"/>
      <c r="S156" s="2"/>
      <c r="T156" s="2"/>
      <c r="U156" s="2"/>
      <c r="V156" s="2"/>
      <c r="W156" s="2"/>
      <c r="X156" s="2"/>
      <c r="Y156" s="2"/>
      <c r="Z156" s="2"/>
    </row>
    <row r="157" spans="1:26" ht="19.5" customHeight="1">
      <c r="A157" s="4" t="s">
        <v>523</v>
      </c>
      <c r="B157" s="4" t="s">
        <v>524</v>
      </c>
      <c r="C157" s="6">
        <v>2</v>
      </c>
      <c r="D157" s="4" t="s">
        <v>31</v>
      </c>
      <c r="E157" s="6">
        <v>190</v>
      </c>
      <c r="F157" s="6">
        <v>3</v>
      </c>
      <c r="G157" s="6">
        <v>6</v>
      </c>
      <c r="H157" s="6">
        <v>17</v>
      </c>
      <c r="I157" s="6">
        <v>0</v>
      </c>
      <c r="J157" s="6">
        <v>0</v>
      </c>
      <c r="K157" s="6">
        <v>0</v>
      </c>
      <c r="L157" s="6">
        <v>0</v>
      </c>
      <c r="M157" s="4" t="s">
        <v>525</v>
      </c>
      <c r="N157" s="2"/>
      <c r="O157" s="2"/>
      <c r="P157" s="2"/>
      <c r="Q157" s="2"/>
      <c r="R157" s="2"/>
      <c r="S157" s="2"/>
      <c r="T157" s="2"/>
      <c r="U157" s="2"/>
      <c r="V157" s="2"/>
      <c r="W157" s="2"/>
      <c r="X157" s="2"/>
      <c r="Y157" s="2"/>
      <c r="Z157" s="2"/>
    </row>
    <row r="158" spans="1:26" ht="19.5" customHeight="1">
      <c r="A158" s="4" t="s">
        <v>526</v>
      </c>
      <c r="B158" s="4" t="s">
        <v>527</v>
      </c>
      <c r="C158" s="6">
        <v>2</v>
      </c>
      <c r="D158" s="4" t="s">
        <v>31</v>
      </c>
      <c r="E158" s="6">
        <v>215</v>
      </c>
      <c r="F158" s="6">
        <v>15</v>
      </c>
      <c r="G158" s="6">
        <v>4</v>
      </c>
      <c r="H158" s="6">
        <v>12</v>
      </c>
      <c r="I158" s="6">
        <v>3</v>
      </c>
      <c r="J158" s="6">
        <v>20</v>
      </c>
      <c r="K158" s="6">
        <v>4</v>
      </c>
      <c r="L158" s="6">
        <v>0</v>
      </c>
      <c r="M158" s="4" t="s">
        <v>528</v>
      </c>
      <c r="N158" s="2"/>
      <c r="O158" s="2"/>
      <c r="P158" s="2"/>
      <c r="Q158" s="2"/>
      <c r="R158" s="2"/>
      <c r="S158" s="2"/>
      <c r="T158" s="2"/>
      <c r="U158" s="2"/>
      <c r="V158" s="2"/>
      <c r="W158" s="2"/>
      <c r="X158" s="2"/>
      <c r="Y158" s="2"/>
      <c r="Z158" s="2"/>
    </row>
    <row r="159" spans="1:26" ht="19.5" customHeight="1">
      <c r="A159" s="4" t="s">
        <v>529</v>
      </c>
      <c r="B159" s="4" t="s">
        <v>530</v>
      </c>
      <c r="C159" s="6">
        <v>2</v>
      </c>
      <c r="D159" s="4" t="s">
        <v>236</v>
      </c>
      <c r="E159" s="6">
        <v>120</v>
      </c>
      <c r="F159" s="6">
        <v>12</v>
      </c>
      <c r="G159" s="6">
        <v>16</v>
      </c>
      <c r="H159" s="6">
        <v>1.5</v>
      </c>
      <c r="I159" s="6">
        <v>0</v>
      </c>
      <c r="J159" s="6">
        <v>390</v>
      </c>
      <c r="K159" s="6">
        <v>1</v>
      </c>
      <c r="L159" s="6">
        <v>40</v>
      </c>
      <c r="M159" s="4" t="s">
        <v>531</v>
      </c>
      <c r="N159" s="2"/>
      <c r="O159" s="2"/>
      <c r="P159" s="2"/>
      <c r="Q159" s="2"/>
      <c r="R159" s="2"/>
      <c r="S159" s="2"/>
      <c r="T159" s="2"/>
      <c r="U159" s="2"/>
      <c r="V159" s="2"/>
      <c r="W159" s="2"/>
      <c r="X159" s="2"/>
      <c r="Y159" s="2"/>
      <c r="Z159" s="2"/>
    </row>
    <row r="160" spans="1:26" ht="19.5" customHeight="1">
      <c r="A160" s="4" t="s">
        <v>532</v>
      </c>
      <c r="B160" s="4" t="s">
        <v>533</v>
      </c>
      <c r="C160" s="6">
        <v>2</v>
      </c>
      <c r="D160" s="4" t="s">
        <v>534</v>
      </c>
      <c r="E160" s="6">
        <v>130</v>
      </c>
      <c r="F160" s="6">
        <v>24</v>
      </c>
      <c r="G160" s="6">
        <v>1</v>
      </c>
      <c r="H160" s="6">
        <v>3</v>
      </c>
      <c r="I160" s="6">
        <v>1</v>
      </c>
      <c r="J160" s="6">
        <v>240</v>
      </c>
      <c r="K160" s="6">
        <v>3</v>
      </c>
      <c r="L160" s="6">
        <v>0</v>
      </c>
      <c r="M160" s="4" t="s">
        <v>535</v>
      </c>
      <c r="N160" s="2"/>
      <c r="O160" s="2"/>
      <c r="P160" s="2"/>
      <c r="Q160" s="2"/>
      <c r="R160" s="2"/>
      <c r="S160" s="2"/>
      <c r="T160" s="2"/>
      <c r="U160" s="2"/>
      <c r="V160" s="2"/>
      <c r="W160" s="2"/>
      <c r="X160" s="2"/>
      <c r="Y160" s="2"/>
      <c r="Z160" s="2"/>
    </row>
    <row r="161" spans="1:26" ht="19.5" customHeight="1">
      <c r="A161" s="4" t="s">
        <v>536</v>
      </c>
      <c r="B161" s="4" t="s">
        <v>537</v>
      </c>
      <c r="C161" s="6">
        <v>2</v>
      </c>
      <c r="D161" s="4" t="s">
        <v>76</v>
      </c>
      <c r="E161" s="6">
        <v>20</v>
      </c>
      <c r="F161" s="6">
        <v>2</v>
      </c>
      <c r="G161" s="6">
        <v>0</v>
      </c>
      <c r="H161" s="6">
        <v>1.5</v>
      </c>
      <c r="I161" s="6">
        <v>0</v>
      </c>
      <c r="J161" s="6">
        <v>0</v>
      </c>
      <c r="K161" s="6">
        <v>0</v>
      </c>
      <c r="L161" s="6">
        <v>0</v>
      </c>
      <c r="M161" s="4" t="s">
        <v>538</v>
      </c>
      <c r="N161" s="2"/>
      <c r="O161" s="2"/>
      <c r="P161" s="2"/>
      <c r="Q161" s="2"/>
      <c r="R161" s="2"/>
      <c r="S161" s="2"/>
      <c r="T161" s="2"/>
      <c r="U161" s="2"/>
      <c r="V161" s="2"/>
      <c r="W161" s="2"/>
      <c r="X161" s="2"/>
      <c r="Y161" s="2"/>
      <c r="Z161" s="2"/>
    </row>
    <row r="162" spans="1:26" ht="19.5" customHeight="1">
      <c r="A162" s="4" t="s">
        <v>539</v>
      </c>
      <c r="B162" s="4" t="s">
        <v>540</v>
      </c>
      <c r="C162" s="6">
        <v>2</v>
      </c>
      <c r="D162" s="4" t="s">
        <v>76</v>
      </c>
      <c r="E162" s="6">
        <v>20</v>
      </c>
      <c r="F162" s="6">
        <v>2</v>
      </c>
      <c r="G162" s="6">
        <v>0</v>
      </c>
      <c r="H162" s="6">
        <v>1.5</v>
      </c>
      <c r="I162" s="6">
        <v>0</v>
      </c>
      <c r="J162" s="6">
        <v>0</v>
      </c>
      <c r="K162" s="6">
        <v>0</v>
      </c>
      <c r="L162" s="6">
        <v>0</v>
      </c>
      <c r="M162" s="4" t="s">
        <v>541</v>
      </c>
      <c r="N162" s="2"/>
      <c r="O162" s="2"/>
      <c r="P162" s="2"/>
      <c r="Q162" s="2"/>
      <c r="R162" s="2"/>
      <c r="S162" s="2"/>
      <c r="T162" s="2"/>
      <c r="U162" s="2"/>
      <c r="V162" s="2"/>
      <c r="W162" s="2"/>
      <c r="X162" s="2"/>
      <c r="Y162" s="2"/>
      <c r="Z162" s="2"/>
    </row>
    <row r="163" spans="1:26" ht="19.5" customHeight="1">
      <c r="A163" s="4" t="s">
        <v>542</v>
      </c>
      <c r="B163" s="4" t="s">
        <v>543</v>
      </c>
      <c r="C163" s="7" t="s">
        <v>112</v>
      </c>
      <c r="D163" s="4" t="s">
        <v>544</v>
      </c>
      <c r="E163" s="6">
        <v>140</v>
      </c>
      <c r="F163" s="6">
        <v>31</v>
      </c>
      <c r="G163" s="6">
        <v>1</v>
      </c>
      <c r="H163" s="6">
        <v>1</v>
      </c>
      <c r="I163" s="6">
        <v>20</v>
      </c>
      <c r="J163" s="6">
        <v>15</v>
      </c>
      <c r="K163" s="6">
        <v>0</v>
      </c>
      <c r="L163" s="6">
        <v>0</v>
      </c>
      <c r="M163" s="4" t="s">
        <v>545</v>
      </c>
      <c r="N163" s="2"/>
      <c r="O163" s="2"/>
      <c r="P163" s="2"/>
      <c r="Q163" s="2"/>
      <c r="R163" s="2"/>
      <c r="S163" s="2"/>
      <c r="T163" s="2"/>
      <c r="U163" s="2"/>
      <c r="V163" s="2"/>
      <c r="W163" s="2"/>
      <c r="X163" s="2"/>
      <c r="Y163" s="2"/>
      <c r="Z163" s="2"/>
    </row>
    <row r="164" spans="1:26" ht="19.5" customHeight="1">
      <c r="A164" s="4" t="s">
        <v>546</v>
      </c>
      <c r="B164" s="4" t="s">
        <v>547</v>
      </c>
      <c r="C164" s="6">
        <v>2</v>
      </c>
      <c r="D164" s="4" t="s">
        <v>76</v>
      </c>
      <c r="E164" s="6">
        <v>20</v>
      </c>
      <c r="F164" s="6">
        <v>2</v>
      </c>
      <c r="G164" s="6">
        <v>0</v>
      </c>
      <c r="H164" s="6">
        <v>1.5</v>
      </c>
      <c r="I164" s="6">
        <v>0</v>
      </c>
      <c r="J164" s="6">
        <v>0</v>
      </c>
      <c r="K164" s="6">
        <v>0</v>
      </c>
      <c r="L164" s="6">
        <v>0</v>
      </c>
      <c r="M164" s="4" t="s">
        <v>548</v>
      </c>
      <c r="N164" s="2"/>
      <c r="O164" s="2"/>
      <c r="P164" s="2"/>
      <c r="Q164" s="2"/>
      <c r="R164" s="2"/>
      <c r="S164" s="2"/>
      <c r="T164" s="2"/>
      <c r="U164" s="2"/>
      <c r="V164" s="2"/>
      <c r="W164" s="2"/>
      <c r="X164" s="2"/>
      <c r="Y164" s="2"/>
      <c r="Z164" s="2"/>
    </row>
    <row r="165" spans="1:26" ht="19.5" customHeight="1">
      <c r="A165" s="4" t="s">
        <v>549</v>
      </c>
      <c r="B165" s="4" t="s">
        <v>550</v>
      </c>
      <c r="C165" s="6">
        <v>2</v>
      </c>
      <c r="D165" s="4" t="s">
        <v>544</v>
      </c>
      <c r="E165" s="6">
        <v>140</v>
      </c>
      <c r="F165" s="6">
        <v>32</v>
      </c>
      <c r="G165" s="6">
        <v>1</v>
      </c>
      <c r="H165" s="6">
        <v>1</v>
      </c>
      <c r="I165" s="6">
        <v>20</v>
      </c>
      <c r="J165" s="6">
        <v>15</v>
      </c>
      <c r="K165" s="6">
        <v>0</v>
      </c>
      <c r="L165" s="6">
        <v>0</v>
      </c>
      <c r="M165" s="12" t="s">
        <v>551</v>
      </c>
      <c r="N165" s="2"/>
      <c r="O165" s="2"/>
      <c r="P165" s="2"/>
      <c r="Q165" s="2"/>
      <c r="R165" s="2"/>
      <c r="S165" s="2"/>
      <c r="T165" s="2"/>
      <c r="U165" s="2"/>
      <c r="V165" s="2"/>
      <c r="W165" s="2"/>
      <c r="X165" s="2"/>
      <c r="Y165" s="2"/>
      <c r="Z165" s="2"/>
    </row>
    <row r="166" spans="1:26" ht="19.5" customHeight="1">
      <c r="A166" s="4" t="s">
        <v>552</v>
      </c>
      <c r="B166" s="4" t="s">
        <v>553</v>
      </c>
      <c r="C166" s="6">
        <v>2</v>
      </c>
      <c r="D166" s="4" t="s">
        <v>554</v>
      </c>
      <c r="E166" s="6">
        <v>40</v>
      </c>
      <c r="F166" s="6">
        <v>10</v>
      </c>
      <c r="G166" s="6">
        <v>0</v>
      </c>
      <c r="H166" s="6">
        <v>0</v>
      </c>
      <c r="I166" s="6">
        <v>10</v>
      </c>
      <c r="J166" s="6">
        <v>160</v>
      </c>
      <c r="K166" s="6">
        <v>0</v>
      </c>
      <c r="L166" s="6">
        <v>0</v>
      </c>
      <c r="M166" s="12" t="s">
        <v>555</v>
      </c>
      <c r="N166" s="2"/>
      <c r="O166" s="2"/>
      <c r="P166" s="2"/>
      <c r="Q166" s="2"/>
      <c r="R166" s="2"/>
      <c r="S166" s="2"/>
      <c r="T166" s="2"/>
      <c r="U166" s="2"/>
      <c r="V166" s="2"/>
      <c r="W166" s="2"/>
      <c r="X166" s="2"/>
      <c r="Y166" s="2"/>
      <c r="Z166" s="2"/>
    </row>
    <row r="167" spans="1:26" ht="19.5" customHeight="1">
      <c r="A167" s="9" t="s">
        <v>556</v>
      </c>
      <c r="B167" s="10" t="s">
        <v>557</v>
      </c>
      <c r="C167" s="6">
        <v>2</v>
      </c>
      <c r="D167" s="4" t="s">
        <v>558</v>
      </c>
      <c r="E167" s="6">
        <v>15</v>
      </c>
      <c r="F167" s="6">
        <v>4</v>
      </c>
      <c r="G167" s="6">
        <v>0</v>
      </c>
      <c r="H167" s="6">
        <v>0</v>
      </c>
      <c r="I167" s="6">
        <v>4</v>
      </c>
      <c r="J167" s="6">
        <v>40</v>
      </c>
      <c r="K167" s="6">
        <v>0</v>
      </c>
      <c r="L167" s="6">
        <v>0</v>
      </c>
      <c r="M167" s="4" t="s">
        <v>559</v>
      </c>
      <c r="N167" s="2"/>
      <c r="O167" s="2"/>
      <c r="P167" s="2"/>
      <c r="Q167" s="2"/>
      <c r="R167" s="2"/>
      <c r="S167" s="2"/>
      <c r="T167" s="2"/>
      <c r="U167" s="2"/>
      <c r="V167" s="2"/>
      <c r="W167" s="2"/>
      <c r="X167" s="2"/>
      <c r="Y167" s="2"/>
      <c r="Z167" s="2"/>
    </row>
    <row r="168" spans="1:26" ht="19.5" customHeight="1">
      <c r="A168" s="4" t="s">
        <v>560</v>
      </c>
      <c r="B168" s="4" t="s">
        <v>561</v>
      </c>
      <c r="C168" s="6">
        <v>2</v>
      </c>
      <c r="D168" s="4" t="s">
        <v>562</v>
      </c>
      <c r="E168" s="6">
        <v>140</v>
      </c>
      <c r="F168" s="6">
        <v>25</v>
      </c>
      <c r="G168" s="6">
        <v>3</v>
      </c>
      <c r="H168" s="6">
        <v>5</v>
      </c>
      <c r="I168" s="6">
        <v>3</v>
      </c>
      <c r="J168" s="6">
        <v>310</v>
      </c>
      <c r="K168" s="6">
        <v>7</v>
      </c>
      <c r="L168" s="6">
        <v>0</v>
      </c>
      <c r="M168" s="4" t="s">
        <v>563</v>
      </c>
      <c r="N168" s="2"/>
      <c r="O168" s="2"/>
      <c r="P168" s="2"/>
      <c r="Q168" s="2"/>
      <c r="R168" s="2"/>
      <c r="S168" s="2"/>
      <c r="T168" s="2"/>
      <c r="U168" s="2"/>
      <c r="V168" s="2"/>
      <c r="W168" s="2"/>
      <c r="X168" s="2"/>
      <c r="Y168" s="2"/>
      <c r="Z168" s="2"/>
    </row>
    <row r="169" spans="1:26" ht="19.5" customHeight="1">
      <c r="A169" s="4" t="s">
        <v>564</v>
      </c>
      <c r="B169" s="4" t="s">
        <v>565</v>
      </c>
      <c r="C169" s="6">
        <v>2</v>
      </c>
      <c r="D169" s="4" t="s">
        <v>562</v>
      </c>
      <c r="E169" s="6">
        <v>140</v>
      </c>
      <c r="F169" s="6">
        <v>25</v>
      </c>
      <c r="G169" s="6">
        <v>3</v>
      </c>
      <c r="H169" s="6">
        <v>5</v>
      </c>
      <c r="I169" s="6">
        <v>3</v>
      </c>
      <c r="J169" s="6">
        <v>310</v>
      </c>
      <c r="K169" s="6">
        <v>7</v>
      </c>
      <c r="L169" s="6">
        <v>0</v>
      </c>
      <c r="M169" s="12" t="s">
        <v>566</v>
      </c>
      <c r="N169" s="2"/>
      <c r="O169" s="2"/>
      <c r="P169" s="2"/>
      <c r="Q169" s="2"/>
      <c r="R169" s="2"/>
      <c r="S169" s="2"/>
      <c r="T169" s="2"/>
      <c r="U169" s="2"/>
      <c r="V169" s="2"/>
      <c r="W169" s="2"/>
      <c r="X169" s="2"/>
      <c r="Y169" s="2"/>
      <c r="Z169" s="2"/>
    </row>
    <row r="170" spans="1:26" ht="19.5" customHeight="1">
      <c r="A170" s="4" t="s">
        <v>567</v>
      </c>
      <c r="B170" s="4" t="s">
        <v>568</v>
      </c>
      <c r="C170" s="6">
        <v>2</v>
      </c>
      <c r="D170" s="4" t="s">
        <v>569</v>
      </c>
      <c r="E170" s="6">
        <v>70</v>
      </c>
      <c r="F170" s="6">
        <v>0</v>
      </c>
      <c r="G170" s="6">
        <v>6</v>
      </c>
      <c r="H170" s="6">
        <v>5</v>
      </c>
      <c r="I170" s="6">
        <v>0</v>
      </c>
      <c r="J170" s="6">
        <v>310</v>
      </c>
      <c r="K170" s="6">
        <v>0</v>
      </c>
      <c r="L170" s="6">
        <v>10</v>
      </c>
      <c r="M170" s="4" t="s">
        <v>570</v>
      </c>
      <c r="N170" s="2"/>
      <c r="O170" s="2"/>
      <c r="P170" s="2"/>
      <c r="Q170" s="2"/>
      <c r="R170" s="2"/>
      <c r="S170" s="2"/>
      <c r="T170" s="2"/>
      <c r="U170" s="2"/>
      <c r="V170" s="2"/>
      <c r="W170" s="2"/>
      <c r="X170" s="2"/>
      <c r="Y170" s="2"/>
      <c r="Z170" s="2"/>
    </row>
    <row r="171" spans="1:26" ht="19.5" customHeight="1">
      <c r="A171" s="4" t="s">
        <v>571</v>
      </c>
      <c r="B171" s="4" t="s">
        <v>572</v>
      </c>
      <c r="C171" s="6">
        <v>2</v>
      </c>
      <c r="D171" s="4" t="s">
        <v>31</v>
      </c>
      <c r="E171" s="6">
        <v>15</v>
      </c>
      <c r="F171" s="6">
        <v>2</v>
      </c>
      <c r="G171" s="6">
        <v>0</v>
      </c>
      <c r="H171" s="6">
        <v>1</v>
      </c>
      <c r="I171" s="6">
        <v>0.5</v>
      </c>
      <c r="J171" s="6">
        <v>200</v>
      </c>
      <c r="K171" s="6">
        <v>0.5</v>
      </c>
      <c r="L171" s="6">
        <v>0</v>
      </c>
      <c r="M171" s="4" t="s">
        <v>573</v>
      </c>
      <c r="N171" s="2"/>
      <c r="O171" s="2"/>
      <c r="P171" s="2"/>
      <c r="Q171" s="2"/>
      <c r="R171" s="2"/>
      <c r="S171" s="2"/>
      <c r="T171" s="2"/>
      <c r="U171" s="2"/>
      <c r="V171" s="2"/>
      <c r="W171" s="2"/>
      <c r="X171" s="2"/>
      <c r="Y171" s="2"/>
      <c r="Z171" s="2"/>
    </row>
    <row r="172" spans="1:26" ht="19.5" customHeight="1">
      <c r="A172" s="4" t="s">
        <v>574</v>
      </c>
      <c r="B172" s="4" t="s">
        <v>575</v>
      </c>
      <c r="C172" s="6">
        <v>2</v>
      </c>
      <c r="D172" s="4" t="s">
        <v>467</v>
      </c>
      <c r="E172" s="6">
        <v>60</v>
      </c>
      <c r="F172" s="6">
        <v>15</v>
      </c>
      <c r="G172" s="6">
        <v>2</v>
      </c>
      <c r="H172" s="6">
        <v>0</v>
      </c>
      <c r="I172" s="6">
        <v>0</v>
      </c>
      <c r="J172" s="6">
        <v>70</v>
      </c>
      <c r="K172" s="6">
        <v>3</v>
      </c>
      <c r="L172" s="6">
        <v>0</v>
      </c>
      <c r="M172" s="4" t="s">
        <v>576</v>
      </c>
      <c r="N172" s="2"/>
      <c r="O172" s="2"/>
      <c r="P172" s="2"/>
      <c r="Q172" s="2"/>
      <c r="R172" s="2"/>
      <c r="S172" s="2"/>
      <c r="T172" s="2"/>
      <c r="U172" s="2"/>
      <c r="V172" s="2"/>
      <c r="W172" s="2"/>
      <c r="X172" s="2"/>
      <c r="Y172" s="2"/>
      <c r="Z172" s="2"/>
    </row>
    <row r="173" spans="1:26" ht="19.5" customHeight="1">
      <c r="A173" s="4" t="s">
        <v>577</v>
      </c>
      <c r="B173" s="4" t="s">
        <v>578</v>
      </c>
      <c r="C173" s="6">
        <v>2</v>
      </c>
      <c r="D173" s="4" t="s">
        <v>31</v>
      </c>
      <c r="E173" s="6">
        <v>15</v>
      </c>
      <c r="F173" s="6">
        <v>0</v>
      </c>
      <c r="G173" s="6">
        <v>0</v>
      </c>
      <c r="H173" s="6">
        <v>1.5</v>
      </c>
      <c r="I173" s="6">
        <v>0</v>
      </c>
      <c r="J173" s="6">
        <v>30</v>
      </c>
      <c r="K173" s="6">
        <v>0</v>
      </c>
      <c r="L173" s="6">
        <v>0</v>
      </c>
      <c r="M173" s="4" t="s">
        <v>579</v>
      </c>
      <c r="N173" s="2"/>
      <c r="O173" s="2"/>
      <c r="P173" s="2"/>
      <c r="Q173" s="2"/>
      <c r="R173" s="2"/>
      <c r="S173" s="2"/>
      <c r="T173" s="2"/>
      <c r="U173" s="2"/>
      <c r="V173" s="2"/>
      <c r="W173" s="2"/>
      <c r="X173" s="2"/>
      <c r="Y173" s="2"/>
      <c r="Z173" s="2"/>
    </row>
    <row r="174" spans="1:26" ht="19.5" customHeight="1">
      <c r="A174" s="4" t="s">
        <v>580</v>
      </c>
      <c r="B174" s="4" t="s">
        <v>581</v>
      </c>
      <c r="C174" s="6">
        <v>2</v>
      </c>
      <c r="D174" s="4" t="s">
        <v>582</v>
      </c>
      <c r="E174" s="6">
        <v>140</v>
      </c>
      <c r="F174" s="6">
        <v>16</v>
      </c>
      <c r="G174" s="6">
        <v>7</v>
      </c>
      <c r="H174" s="6">
        <v>7</v>
      </c>
      <c r="I174" s="6">
        <v>0</v>
      </c>
      <c r="J174" s="6">
        <v>340</v>
      </c>
      <c r="K174" s="6">
        <v>5</v>
      </c>
      <c r="L174" s="6">
        <v>100</v>
      </c>
      <c r="M174" s="4" t="s">
        <v>583</v>
      </c>
      <c r="N174" s="2"/>
      <c r="O174" s="2"/>
      <c r="P174" s="2"/>
      <c r="Q174" s="2"/>
      <c r="R174" s="2"/>
      <c r="S174" s="2"/>
      <c r="T174" s="2"/>
      <c r="U174" s="2"/>
      <c r="V174" s="2"/>
      <c r="W174" s="2"/>
      <c r="X174" s="2"/>
      <c r="Y174" s="2"/>
      <c r="Z174" s="2"/>
    </row>
    <row r="175" spans="1:26" ht="19.5" customHeight="1">
      <c r="A175" s="4" t="s">
        <v>584</v>
      </c>
      <c r="B175" s="4" t="s">
        <v>585</v>
      </c>
      <c r="C175" s="6">
        <v>2</v>
      </c>
      <c r="D175" s="4" t="s">
        <v>440</v>
      </c>
      <c r="E175" s="6">
        <v>120</v>
      </c>
      <c r="F175" s="6">
        <v>1</v>
      </c>
      <c r="G175" s="6">
        <v>7</v>
      </c>
      <c r="H175" s="6">
        <v>10</v>
      </c>
      <c r="I175" s="6">
        <v>1</v>
      </c>
      <c r="J175" s="6">
        <v>390</v>
      </c>
      <c r="K175" s="6">
        <v>0</v>
      </c>
      <c r="L175" s="6">
        <v>30</v>
      </c>
      <c r="M175" s="4" t="s">
        <v>586</v>
      </c>
      <c r="N175" s="2"/>
      <c r="O175" s="2"/>
      <c r="P175" s="2"/>
      <c r="Q175" s="2"/>
      <c r="R175" s="2"/>
      <c r="S175" s="2"/>
      <c r="T175" s="2"/>
      <c r="U175" s="2"/>
      <c r="V175" s="2"/>
      <c r="W175" s="2"/>
      <c r="X175" s="2"/>
      <c r="Y175" s="2"/>
      <c r="Z175" s="2"/>
    </row>
    <row r="176" spans="1:26" ht="19.5" customHeight="1">
      <c r="A176" s="4" t="s">
        <v>587</v>
      </c>
      <c r="B176" s="4" t="s">
        <v>575</v>
      </c>
      <c r="C176" s="7" t="s">
        <v>112</v>
      </c>
      <c r="D176" s="4" t="s">
        <v>467</v>
      </c>
      <c r="E176" s="6">
        <v>60</v>
      </c>
      <c r="F176" s="6">
        <v>15</v>
      </c>
      <c r="G176" s="6">
        <v>2</v>
      </c>
      <c r="H176" s="6">
        <v>0</v>
      </c>
      <c r="I176" s="6">
        <v>0</v>
      </c>
      <c r="J176" s="6">
        <v>70</v>
      </c>
      <c r="K176" s="6">
        <v>3</v>
      </c>
      <c r="L176" s="6">
        <v>0</v>
      </c>
      <c r="M176" s="4" t="s">
        <v>576</v>
      </c>
      <c r="N176" s="2"/>
      <c r="O176" s="2"/>
      <c r="P176" s="2"/>
      <c r="Q176" s="2"/>
      <c r="R176" s="2"/>
      <c r="S176" s="2"/>
      <c r="T176" s="2"/>
      <c r="U176" s="2"/>
      <c r="V176" s="2"/>
      <c r="W176" s="2"/>
      <c r="X176" s="2"/>
      <c r="Y176" s="2"/>
      <c r="Z176" s="2"/>
    </row>
    <row r="177" spans="1:26" ht="19.5" customHeight="1">
      <c r="A177" s="4" t="s">
        <v>588</v>
      </c>
      <c r="B177" s="4" t="s">
        <v>589</v>
      </c>
      <c r="C177" s="6">
        <v>2</v>
      </c>
      <c r="D177" s="4" t="s">
        <v>236</v>
      </c>
      <c r="E177" s="6">
        <v>80</v>
      </c>
      <c r="F177" s="6">
        <v>12</v>
      </c>
      <c r="G177" s="6">
        <v>2</v>
      </c>
      <c r="H177" s="6">
        <v>2.5</v>
      </c>
      <c r="I177" s="6">
        <v>7</v>
      </c>
      <c r="J177" s="6">
        <v>0</v>
      </c>
      <c r="K177" s="6">
        <v>2</v>
      </c>
      <c r="L177" s="6">
        <v>0</v>
      </c>
      <c r="M177" s="4" t="s">
        <v>590</v>
      </c>
      <c r="N177" s="2"/>
      <c r="O177" s="2"/>
      <c r="P177" s="2"/>
      <c r="Q177" s="2"/>
      <c r="R177" s="2"/>
      <c r="S177" s="2"/>
      <c r="T177" s="2"/>
      <c r="U177" s="2"/>
      <c r="V177" s="2"/>
      <c r="W177" s="2"/>
      <c r="X177" s="2"/>
      <c r="Y177" s="2"/>
      <c r="Z177" s="2"/>
    </row>
    <row r="178" spans="1:26" ht="19.5" customHeight="1">
      <c r="A178" s="4" t="s">
        <v>591</v>
      </c>
      <c r="B178" s="4" t="s">
        <v>592</v>
      </c>
      <c r="C178" s="6">
        <v>1.75</v>
      </c>
      <c r="D178" s="4" t="s">
        <v>62</v>
      </c>
      <c r="E178" s="6">
        <v>140</v>
      </c>
      <c r="F178" s="6">
        <v>17</v>
      </c>
      <c r="G178" s="6">
        <v>3</v>
      </c>
      <c r="H178" s="6">
        <v>8</v>
      </c>
      <c r="I178" s="6">
        <v>1</v>
      </c>
      <c r="J178" s="6">
        <v>160</v>
      </c>
      <c r="K178" s="6">
        <v>2</v>
      </c>
      <c r="L178" s="6">
        <v>0</v>
      </c>
      <c r="M178" s="4" t="s">
        <v>593</v>
      </c>
      <c r="N178" s="2"/>
      <c r="O178" s="2"/>
      <c r="P178" s="2"/>
      <c r="Q178" s="2"/>
      <c r="R178" s="2"/>
      <c r="S178" s="2"/>
      <c r="T178" s="2"/>
      <c r="U178" s="2"/>
      <c r="V178" s="2"/>
      <c r="W178" s="2"/>
      <c r="X178" s="2"/>
      <c r="Y178" s="2"/>
      <c r="Z178" s="2"/>
    </row>
    <row r="179" spans="1:26" ht="19.5" customHeight="1">
      <c r="A179" s="4" t="s">
        <v>594</v>
      </c>
      <c r="B179" s="4" t="s">
        <v>595</v>
      </c>
      <c r="C179" s="6">
        <v>1.25</v>
      </c>
      <c r="D179" s="4" t="s">
        <v>17</v>
      </c>
      <c r="E179" s="6">
        <v>160</v>
      </c>
      <c r="F179" s="6">
        <v>18</v>
      </c>
      <c r="G179" s="6">
        <v>10</v>
      </c>
      <c r="H179" s="6">
        <v>5</v>
      </c>
      <c r="I179" s="6">
        <v>2</v>
      </c>
      <c r="J179" s="6">
        <v>330</v>
      </c>
      <c r="K179" s="6">
        <v>1</v>
      </c>
      <c r="L179" s="6">
        <v>15</v>
      </c>
      <c r="M179" s="4" t="s">
        <v>596</v>
      </c>
      <c r="N179" s="2"/>
      <c r="O179" s="2"/>
      <c r="P179" s="2"/>
      <c r="Q179" s="2"/>
      <c r="R179" s="2"/>
      <c r="S179" s="2"/>
      <c r="T179" s="2"/>
      <c r="U179" s="2"/>
      <c r="V179" s="2"/>
      <c r="W179" s="2"/>
      <c r="X179" s="2"/>
      <c r="Y179" s="2"/>
      <c r="Z179" s="2"/>
    </row>
    <row r="180" spans="1:26" ht="19.5" customHeight="1">
      <c r="A180" s="4" t="s">
        <v>597</v>
      </c>
      <c r="B180" s="4" t="s">
        <v>598</v>
      </c>
      <c r="C180" s="6">
        <v>1</v>
      </c>
      <c r="D180" s="4" t="s">
        <v>599</v>
      </c>
      <c r="E180" s="6">
        <v>250</v>
      </c>
      <c r="F180" s="6">
        <v>20</v>
      </c>
      <c r="G180" s="6">
        <v>3</v>
      </c>
      <c r="H180" s="6">
        <v>18</v>
      </c>
      <c r="I180" s="6">
        <v>19</v>
      </c>
      <c r="J180" s="6">
        <v>40</v>
      </c>
      <c r="K180" s="6">
        <v>0</v>
      </c>
      <c r="L180" s="6">
        <v>45</v>
      </c>
      <c r="M180" s="4" t="s">
        <v>600</v>
      </c>
      <c r="N180" s="2"/>
      <c r="O180" s="2"/>
      <c r="P180" s="2"/>
      <c r="Q180" s="2"/>
      <c r="R180" s="2"/>
      <c r="S180" s="2"/>
      <c r="T180" s="2"/>
      <c r="U180" s="2"/>
      <c r="V180" s="2"/>
      <c r="W180" s="2"/>
      <c r="X180" s="2"/>
      <c r="Y180" s="2"/>
      <c r="Z180" s="2"/>
    </row>
    <row r="181" spans="1:26" ht="19.5" customHeight="1">
      <c r="A181" s="4" t="s">
        <v>601</v>
      </c>
      <c r="B181" s="4" t="s">
        <v>602</v>
      </c>
      <c r="C181" s="6">
        <v>1</v>
      </c>
      <c r="D181" s="4" t="s">
        <v>17</v>
      </c>
      <c r="E181" s="6">
        <v>120</v>
      </c>
      <c r="F181" s="6">
        <v>23</v>
      </c>
      <c r="G181" s="6">
        <v>2</v>
      </c>
      <c r="H181" s="6">
        <v>2.5</v>
      </c>
      <c r="I181" s="6">
        <v>7</v>
      </c>
      <c r="J181" s="6">
        <v>190</v>
      </c>
      <c r="K181" s="6">
        <v>3</v>
      </c>
      <c r="L181" s="6">
        <v>0</v>
      </c>
      <c r="M181" s="4" t="s">
        <v>603</v>
      </c>
      <c r="N181" s="2"/>
      <c r="O181" s="2"/>
      <c r="P181" s="2"/>
      <c r="Q181" s="2"/>
      <c r="R181" s="2"/>
      <c r="S181" s="2"/>
      <c r="T181" s="2"/>
      <c r="U181" s="2"/>
      <c r="V181" s="2"/>
      <c r="W181" s="2"/>
      <c r="X181" s="2"/>
      <c r="Y181" s="2"/>
      <c r="Z181" s="2"/>
    </row>
    <row r="182" spans="1:26" ht="19.5" customHeight="1">
      <c r="A182" s="4" t="s">
        <v>604</v>
      </c>
      <c r="B182" s="4" t="s">
        <v>605</v>
      </c>
      <c r="C182" s="6">
        <v>1</v>
      </c>
      <c r="D182" s="4" t="s">
        <v>606</v>
      </c>
      <c r="E182" s="6">
        <v>330</v>
      </c>
      <c r="F182" s="6">
        <v>24</v>
      </c>
      <c r="G182" s="6">
        <v>7</v>
      </c>
      <c r="H182" s="6">
        <v>23</v>
      </c>
      <c r="I182" s="6">
        <v>9</v>
      </c>
      <c r="J182" s="8">
        <v>1300</v>
      </c>
      <c r="K182" s="6">
        <v>4</v>
      </c>
      <c r="L182" s="6">
        <v>0</v>
      </c>
      <c r="M182" s="4" t="s">
        <v>607</v>
      </c>
      <c r="N182" s="2"/>
      <c r="O182" s="2"/>
      <c r="P182" s="2"/>
      <c r="Q182" s="2"/>
      <c r="R182" s="2"/>
      <c r="S182" s="2"/>
      <c r="T182" s="2"/>
      <c r="U182" s="2"/>
      <c r="V182" s="2"/>
      <c r="W182" s="2"/>
      <c r="X182" s="2"/>
      <c r="Y182" s="2"/>
      <c r="Z182" s="2"/>
    </row>
    <row r="183" spans="1:26" ht="19.5" customHeight="1">
      <c r="A183" s="4" t="s">
        <v>608</v>
      </c>
      <c r="B183" s="4" t="s">
        <v>609</v>
      </c>
      <c r="C183" s="7" t="s">
        <v>176</v>
      </c>
      <c r="D183" s="4" t="s">
        <v>17</v>
      </c>
      <c r="E183" s="6">
        <v>170</v>
      </c>
      <c r="F183" s="6">
        <v>22</v>
      </c>
      <c r="G183" s="6">
        <v>10</v>
      </c>
      <c r="H183" s="6">
        <v>5</v>
      </c>
      <c r="I183" s="6">
        <v>2</v>
      </c>
      <c r="J183" s="6">
        <v>410</v>
      </c>
      <c r="K183" s="6">
        <v>2</v>
      </c>
      <c r="L183" s="6">
        <v>15</v>
      </c>
      <c r="M183" s="4" t="s">
        <v>610</v>
      </c>
      <c r="N183" s="2"/>
      <c r="O183" s="2"/>
      <c r="P183" s="2"/>
      <c r="Q183" s="2"/>
      <c r="R183" s="2"/>
      <c r="S183" s="2"/>
      <c r="T183" s="2"/>
      <c r="U183" s="2"/>
      <c r="V183" s="2"/>
      <c r="W183" s="2"/>
      <c r="X183" s="2"/>
      <c r="Y183" s="2"/>
      <c r="Z183" s="2"/>
    </row>
    <row r="184" spans="1:26" ht="19.5" customHeight="1">
      <c r="A184" s="4" t="s">
        <v>611</v>
      </c>
      <c r="B184" s="4" t="s">
        <v>612</v>
      </c>
      <c r="C184" s="6">
        <v>1</v>
      </c>
      <c r="D184" s="4" t="s">
        <v>613</v>
      </c>
      <c r="E184" s="6">
        <v>190</v>
      </c>
      <c r="F184" s="6">
        <v>15</v>
      </c>
      <c r="G184" s="6">
        <v>23</v>
      </c>
      <c r="H184" s="6">
        <v>4</v>
      </c>
      <c r="I184" s="6">
        <v>8</v>
      </c>
      <c r="J184" s="6">
        <v>500</v>
      </c>
      <c r="K184" s="6">
        <v>4</v>
      </c>
      <c r="L184" s="6">
        <v>75</v>
      </c>
      <c r="M184" s="4" t="s">
        <v>614</v>
      </c>
      <c r="N184" s="2"/>
      <c r="O184" s="2"/>
      <c r="P184" s="2"/>
      <c r="Q184" s="2"/>
      <c r="R184" s="2"/>
      <c r="S184" s="2"/>
      <c r="T184" s="2"/>
      <c r="U184" s="2"/>
      <c r="V184" s="2"/>
      <c r="W184" s="2"/>
      <c r="X184" s="2"/>
      <c r="Y184" s="2"/>
      <c r="Z184" s="2"/>
    </row>
    <row r="185" spans="1:26" ht="19.5" customHeight="1">
      <c r="A185" s="4" t="s">
        <v>615</v>
      </c>
      <c r="B185" s="4" t="s">
        <v>616</v>
      </c>
      <c r="C185" s="6">
        <v>1</v>
      </c>
      <c r="D185" s="4" t="s">
        <v>617</v>
      </c>
      <c r="E185" s="6">
        <v>90</v>
      </c>
      <c r="F185" s="6">
        <v>17</v>
      </c>
      <c r="G185" s="6">
        <v>4</v>
      </c>
      <c r="H185" s="6">
        <v>1.5</v>
      </c>
      <c r="I185" s="6">
        <v>3</v>
      </c>
      <c r="J185" s="6">
        <v>80</v>
      </c>
      <c r="K185" s="6">
        <v>4</v>
      </c>
      <c r="L185" s="6">
        <v>0</v>
      </c>
      <c r="M185" s="4" t="s">
        <v>618</v>
      </c>
      <c r="N185" s="2"/>
      <c r="O185" s="2"/>
      <c r="P185" s="2"/>
      <c r="Q185" s="2"/>
      <c r="R185" s="2"/>
      <c r="S185" s="2"/>
      <c r="T185" s="2"/>
      <c r="U185" s="2"/>
      <c r="V185" s="2"/>
      <c r="W185" s="2"/>
      <c r="X185" s="2"/>
      <c r="Y185" s="2"/>
      <c r="Z185" s="2"/>
    </row>
    <row r="186" spans="1:26" ht="19.5" customHeight="1">
      <c r="A186" s="4" t="s">
        <v>619</v>
      </c>
      <c r="B186" s="4" t="s">
        <v>620</v>
      </c>
      <c r="C186" s="7" t="s">
        <v>176</v>
      </c>
      <c r="D186" s="4" t="s">
        <v>613</v>
      </c>
      <c r="E186" s="6">
        <v>190</v>
      </c>
      <c r="F186" s="6">
        <v>8</v>
      </c>
      <c r="G186" s="6">
        <v>28</v>
      </c>
      <c r="H186" s="6">
        <v>5</v>
      </c>
      <c r="I186" s="6">
        <v>2</v>
      </c>
      <c r="J186" s="6">
        <v>600</v>
      </c>
      <c r="K186" s="6">
        <v>4</v>
      </c>
      <c r="L186" s="6">
        <v>85</v>
      </c>
      <c r="M186" s="4" t="s">
        <v>621</v>
      </c>
      <c r="N186" s="2"/>
      <c r="O186" s="2"/>
      <c r="P186" s="2"/>
      <c r="Q186" s="2"/>
      <c r="R186" s="2"/>
      <c r="S186" s="2"/>
      <c r="T186" s="2"/>
      <c r="U186" s="2"/>
      <c r="V186" s="2"/>
      <c r="W186" s="2"/>
      <c r="X186" s="2"/>
      <c r="Y186" s="2"/>
      <c r="Z186" s="2"/>
    </row>
    <row r="187" spans="1:26" ht="19.5" customHeight="1">
      <c r="A187" s="4" t="s">
        <v>622</v>
      </c>
      <c r="B187" s="4" t="s">
        <v>623</v>
      </c>
      <c r="C187" s="6">
        <v>1</v>
      </c>
      <c r="D187" s="4" t="s">
        <v>624</v>
      </c>
      <c r="E187" s="6">
        <v>160</v>
      </c>
      <c r="F187" s="6">
        <v>18</v>
      </c>
      <c r="G187" s="6">
        <v>5</v>
      </c>
      <c r="H187" s="6">
        <v>12</v>
      </c>
      <c r="I187" s="6">
        <v>1</v>
      </c>
      <c r="J187" s="6">
        <v>280</v>
      </c>
      <c r="K187" s="7" t="s">
        <v>174</v>
      </c>
      <c r="L187" s="6">
        <v>70</v>
      </c>
      <c r="M187" s="12" t="s">
        <v>625</v>
      </c>
      <c r="N187" s="2"/>
      <c r="O187" s="2"/>
      <c r="P187" s="2"/>
      <c r="Q187" s="2"/>
      <c r="R187" s="2"/>
      <c r="S187" s="2"/>
      <c r="T187" s="2"/>
      <c r="U187" s="2"/>
      <c r="V187" s="2"/>
      <c r="W187" s="2"/>
      <c r="X187" s="2"/>
      <c r="Y187" s="2"/>
      <c r="Z187" s="2"/>
    </row>
    <row r="188" spans="1:26" ht="19.5" customHeight="1">
      <c r="A188" s="4" t="s">
        <v>626</v>
      </c>
      <c r="B188" s="4" t="s">
        <v>627</v>
      </c>
      <c r="C188" s="6">
        <v>1</v>
      </c>
      <c r="D188" s="4" t="s">
        <v>628</v>
      </c>
      <c r="E188" s="6">
        <v>60</v>
      </c>
      <c r="F188" s="6">
        <v>1</v>
      </c>
      <c r="G188" s="6">
        <v>5</v>
      </c>
      <c r="H188" s="6">
        <v>4</v>
      </c>
      <c r="I188" s="6">
        <v>1</v>
      </c>
      <c r="J188" s="6">
        <v>220</v>
      </c>
      <c r="K188" s="6">
        <v>0</v>
      </c>
      <c r="L188" s="6">
        <v>25</v>
      </c>
      <c r="M188" s="12" t="s">
        <v>629</v>
      </c>
      <c r="N188" s="2"/>
      <c r="O188" s="2"/>
      <c r="P188" s="2"/>
      <c r="Q188" s="2"/>
      <c r="R188" s="2"/>
      <c r="S188" s="2"/>
      <c r="T188" s="2"/>
      <c r="U188" s="2"/>
      <c r="V188" s="2"/>
      <c r="W188" s="2"/>
      <c r="X188" s="2"/>
      <c r="Y188" s="2"/>
      <c r="Z188" s="2"/>
    </row>
    <row r="189" spans="1:26" ht="19.5" customHeight="1">
      <c r="A189" s="4" t="s">
        <v>630</v>
      </c>
      <c r="B189" s="4" t="s">
        <v>631</v>
      </c>
      <c r="C189" s="6">
        <v>1</v>
      </c>
      <c r="D189" s="4" t="s">
        <v>200</v>
      </c>
      <c r="E189" s="6">
        <v>110</v>
      </c>
      <c r="F189" s="6">
        <v>21</v>
      </c>
      <c r="G189" s="6">
        <v>3</v>
      </c>
      <c r="H189" s="6">
        <v>2</v>
      </c>
      <c r="I189" s="7" t="s">
        <v>173</v>
      </c>
      <c r="J189" s="6">
        <v>125</v>
      </c>
      <c r="K189" s="6">
        <v>2</v>
      </c>
      <c r="L189" s="6">
        <v>25</v>
      </c>
      <c r="M189" s="4" t="s">
        <v>632</v>
      </c>
      <c r="N189" s="2"/>
      <c r="O189" s="2"/>
      <c r="P189" s="2"/>
      <c r="Q189" s="2"/>
      <c r="R189" s="2"/>
      <c r="S189" s="2"/>
      <c r="T189" s="2"/>
      <c r="U189" s="2"/>
      <c r="V189" s="2"/>
      <c r="W189" s="2"/>
      <c r="X189" s="2"/>
      <c r="Y189" s="2"/>
      <c r="Z189" s="2"/>
    </row>
    <row r="190" spans="1:26" ht="19.5" customHeight="1">
      <c r="A190" s="4" t="s">
        <v>633</v>
      </c>
      <c r="B190" s="4" t="s">
        <v>634</v>
      </c>
      <c r="C190" s="7" t="s">
        <v>176</v>
      </c>
      <c r="D190" s="4" t="s">
        <v>606</v>
      </c>
      <c r="E190" s="6">
        <v>0</v>
      </c>
      <c r="F190" s="6">
        <v>0</v>
      </c>
      <c r="G190" s="6">
        <v>0</v>
      </c>
      <c r="H190" s="6">
        <v>0</v>
      </c>
      <c r="I190" s="6">
        <v>0</v>
      </c>
      <c r="J190" s="6">
        <v>35</v>
      </c>
      <c r="K190" s="6">
        <v>0</v>
      </c>
      <c r="L190" s="6">
        <v>0</v>
      </c>
      <c r="M190" s="12" t="s">
        <v>635</v>
      </c>
      <c r="N190" s="2"/>
      <c r="O190" s="2"/>
      <c r="P190" s="2"/>
      <c r="Q190" s="2"/>
      <c r="R190" s="2"/>
      <c r="S190" s="2"/>
      <c r="T190" s="2"/>
      <c r="U190" s="2"/>
      <c r="V190" s="2"/>
      <c r="W190" s="2"/>
      <c r="X190" s="2"/>
      <c r="Y190" s="2"/>
      <c r="Z190" s="2"/>
    </row>
    <row r="191" spans="1:26" ht="19.5" customHeight="1">
      <c r="A191" s="4" t="s">
        <v>636</v>
      </c>
      <c r="B191" s="4" t="s">
        <v>637</v>
      </c>
      <c r="C191" s="7" t="s">
        <v>176</v>
      </c>
      <c r="D191" s="4" t="s">
        <v>606</v>
      </c>
      <c r="E191" s="6">
        <v>0</v>
      </c>
      <c r="F191" s="6">
        <v>0</v>
      </c>
      <c r="G191" s="6">
        <v>0</v>
      </c>
      <c r="H191" s="6">
        <v>0</v>
      </c>
      <c r="I191" s="6">
        <v>0</v>
      </c>
      <c r="J191" s="6">
        <v>0</v>
      </c>
      <c r="K191" s="6">
        <v>0</v>
      </c>
      <c r="L191" s="6">
        <v>0</v>
      </c>
      <c r="M191" s="4" t="s">
        <v>638</v>
      </c>
      <c r="N191" s="2"/>
      <c r="O191" s="2"/>
      <c r="P191" s="2"/>
      <c r="Q191" s="2"/>
      <c r="R191" s="2"/>
      <c r="S191" s="2"/>
      <c r="T191" s="2"/>
      <c r="U191" s="2"/>
      <c r="V191" s="2"/>
      <c r="W191" s="2"/>
      <c r="X191" s="2"/>
      <c r="Y191" s="2"/>
      <c r="Z191" s="2"/>
    </row>
    <row r="192" spans="1:26" ht="19.5" customHeight="1">
      <c r="A192" s="4" t="s">
        <v>639</v>
      </c>
      <c r="B192" s="4" t="s">
        <v>640</v>
      </c>
      <c r="C192" s="6">
        <v>1</v>
      </c>
      <c r="D192" s="4" t="s">
        <v>76</v>
      </c>
      <c r="E192" s="6">
        <v>10</v>
      </c>
      <c r="F192" s="6">
        <v>0</v>
      </c>
      <c r="G192" s="6">
        <v>0</v>
      </c>
      <c r="H192" s="6">
        <v>1</v>
      </c>
      <c r="I192" s="6">
        <v>0</v>
      </c>
      <c r="J192" s="6">
        <v>35</v>
      </c>
      <c r="K192" s="6">
        <v>0</v>
      </c>
      <c r="L192" s="6">
        <v>0</v>
      </c>
      <c r="M192" s="4" t="s">
        <v>641</v>
      </c>
      <c r="N192" s="2"/>
      <c r="O192" s="2"/>
      <c r="P192" s="2"/>
      <c r="Q192" s="2"/>
      <c r="R192" s="2"/>
      <c r="S192" s="2"/>
      <c r="T192" s="2"/>
      <c r="U192" s="2"/>
      <c r="V192" s="2"/>
      <c r="W192" s="2"/>
      <c r="X192" s="2"/>
      <c r="Y192" s="2"/>
      <c r="Z192" s="2"/>
    </row>
    <row r="193" spans="1:26" ht="19.5" customHeight="1">
      <c r="A193" s="4" t="s">
        <v>642</v>
      </c>
      <c r="B193" s="4" t="s">
        <v>643</v>
      </c>
      <c r="C193" s="7" t="s">
        <v>176</v>
      </c>
      <c r="D193" s="4" t="s">
        <v>624</v>
      </c>
      <c r="E193" s="6">
        <v>180</v>
      </c>
      <c r="F193" s="6">
        <v>19</v>
      </c>
      <c r="G193" s="6">
        <v>5</v>
      </c>
      <c r="H193" s="6">
        <v>13</v>
      </c>
      <c r="I193" s="6">
        <v>0</v>
      </c>
      <c r="J193" s="6">
        <v>260</v>
      </c>
      <c r="K193" s="6">
        <v>4</v>
      </c>
      <c r="L193" s="6">
        <v>70</v>
      </c>
      <c r="M193" s="4" t="s">
        <v>644</v>
      </c>
      <c r="N193" s="2"/>
      <c r="O193" s="2"/>
      <c r="P193" s="2"/>
      <c r="Q193" s="2"/>
      <c r="R193" s="2"/>
      <c r="S193" s="2"/>
      <c r="T193" s="2"/>
      <c r="U193" s="2"/>
      <c r="V193" s="2"/>
      <c r="W193" s="2"/>
      <c r="X193" s="2"/>
      <c r="Y193" s="2"/>
      <c r="Z193" s="2"/>
    </row>
    <row r="194" spans="1:26" ht="19.5" customHeight="1">
      <c r="A194" s="4" t="s">
        <v>645</v>
      </c>
      <c r="B194" s="4" t="s">
        <v>646</v>
      </c>
      <c r="C194" s="6">
        <v>1</v>
      </c>
      <c r="D194" s="4" t="s">
        <v>606</v>
      </c>
      <c r="E194" s="6">
        <v>5</v>
      </c>
      <c r="F194" s="6">
        <v>9</v>
      </c>
      <c r="G194" s="6">
        <v>0</v>
      </c>
      <c r="H194" s="6">
        <v>0</v>
      </c>
      <c r="I194" s="6">
        <v>1</v>
      </c>
      <c r="J194" s="6">
        <v>10</v>
      </c>
      <c r="K194" s="6">
        <v>0</v>
      </c>
      <c r="L194" s="6">
        <v>0</v>
      </c>
      <c r="M194" s="4" t="s">
        <v>647</v>
      </c>
      <c r="N194" s="2"/>
      <c r="O194" s="2"/>
      <c r="P194" s="2"/>
      <c r="Q194" s="2"/>
      <c r="R194" s="2"/>
      <c r="S194" s="2"/>
      <c r="T194" s="2"/>
      <c r="U194" s="2"/>
      <c r="V194" s="2"/>
      <c r="W194" s="2"/>
      <c r="X194" s="2"/>
      <c r="Y194" s="2"/>
      <c r="Z194" s="2"/>
    </row>
    <row r="195" spans="1:26" ht="19.5" customHeight="1">
      <c r="A195" s="4" t="s">
        <v>648</v>
      </c>
      <c r="B195" s="4" t="s">
        <v>649</v>
      </c>
      <c r="C195" s="6">
        <v>1</v>
      </c>
      <c r="D195" s="4" t="s">
        <v>205</v>
      </c>
      <c r="E195" s="6">
        <v>45</v>
      </c>
      <c r="F195" s="6">
        <v>0</v>
      </c>
      <c r="G195" s="6">
        <v>5</v>
      </c>
      <c r="H195" s="6">
        <v>3</v>
      </c>
      <c r="I195" s="6">
        <v>0</v>
      </c>
      <c r="J195" s="6">
        <v>150</v>
      </c>
      <c r="K195" s="6">
        <v>0</v>
      </c>
      <c r="L195" s="6">
        <v>10</v>
      </c>
      <c r="M195" s="4" t="s">
        <v>650</v>
      </c>
      <c r="N195" s="2"/>
      <c r="O195" s="2"/>
      <c r="P195" s="2"/>
      <c r="Q195" s="2"/>
      <c r="R195" s="2"/>
      <c r="S195" s="2"/>
      <c r="T195" s="2"/>
      <c r="U195" s="2"/>
      <c r="V195" s="2"/>
      <c r="W195" s="2"/>
      <c r="X195" s="2"/>
      <c r="Y195" s="2"/>
      <c r="Z195" s="2"/>
    </row>
    <row r="196" spans="1:26" ht="19.5" customHeight="1">
      <c r="A196" s="4" t="s">
        <v>651</v>
      </c>
      <c r="B196" s="4" t="s">
        <v>652</v>
      </c>
      <c r="C196" s="6">
        <v>1</v>
      </c>
      <c r="D196" s="4" t="s">
        <v>31</v>
      </c>
      <c r="E196" s="6">
        <v>25</v>
      </c>
      <c r="F196" s="6">
        <v>6</v>
      </c>
      <c r="G196" s="6">
        <v>0</v>
      </c>
      <c r="H196" s="6">
        <v>0</v>
      </c>
      <c r="I196" s="6">
        <v>6</v>
      </c>
      <c r="J196" s="6">
        <v>0</v>
      </c>
      <c r="K196" s="6">
        <v>0</v>
      </c>
      <c r="L196" s="6">
        <v>0</v>
      </c>
      <c r="M196" s="4" t="s">
        <v>653</v>
      </c>
      <c r="N196" s="2"/>
      <c r="O196" s="2"/>
      <c r="P196" s="2"/>
      <c r="Q196" s="2"/>
      <c r="R196" s="2"/>
      <c r="S196" s="2"/>
      <c r="T196" s="2"/>
      <c r="U196" s="2"/>
      <c r="V196" s="2"/>
      <c r="W196" s="2"/>
      <c r="X196" s="2"/>
      <c r="Y196" s="2"/>
      <c r="Z196" s="2"/>
    </row>
    <row r="197" spans="1:26" ht="19.5" customHeight="1">
      <c r="A197" s="4" t="s">
        <v>654</v>
      </c>
      <c r="B197" s="4" t="s">
        <v>655</v>
      </c>
      <c r="C197" s="6">
        <v>1</v>
      </c>
      <c r="D197" s="4" t="s">
        <v>31</v>
      </c>
      <c r="E197" s="6">
        <v>25</v>
      </c>
      <c r="F197" s="6">
        <v>3</v>
      </c>
      <c r="G197" s="6">
        <v>1</v>
      </c>
      <c r="H197" s="6">
        <v>1</v>
      </c>
      <c r="I197" s="6">
        <v>0</v>
      </c>
      <c r="J197" s="6">
        <v>90</v>
      </c>
      <c r="K197" s="6">
        <v>0</v>
      </c>
      <c r="L197" s="6">
        <v>0</v>
      </c>
      <c r="M197" s="4" t="s">
        <v>656</v>
      </c>
      <c r="N197" s="2"/>
      <c r="O197" s="2"/>
      <c r="P197" s="2"/>
      <c r="Q197" s="2"/>
      <c r="R197" s="2"/>
      <c r="S197" s="2"/>
      <c r="T197" s="2"/>
      <c r="U197" s="2"/>
      <c r="V197" s="2"/>
      <c r="W197" s="2"/>
      <c r="X197" s="2"/>
      <c r="Y197" s="2"/>
      <c r="Z197" s="2"/>
    </row>
    <row r="198" spans="1:26" ht="19.5" customHeight="1">
      <c r="A198" s="4" t="s">
        <v>657</v>
      </c>
      <c r="B198" s="4" t="s">
        <v>658</v>
      </c>
      <c r="C198" s="6">
        <v>1</v>
      </c>
      <c r="D198" s="4" t="s">
        <v>17</v>
      </c>
      <c r="E198" s="6">
        <v>20</v>
      </c>
      <c r="F198" s="6">
        <v>2</v>
      </c>
      <c r="G198" s="6">
        <v>1</v>
      </c>
      <c r="H198" s="6">
        <v>1</v>
      </c>
      <c r="I198" s="6">
        <v>1</v>
      </c>
      <c r="J198" s="6">
        <v>115</v>
      </c>
      <c r="K198" s="6">
        <v>0</v>
      </c>
      <c r="L198" s="6">
        <v>5</v>
      </c>
      <c r="M198" s="4" t="s">
        <v>659</v>
      </c>
      <c r="N198" s="2"/>
      <c r="O198" s="2"/>
      <c r="P198" s="2"/>
      <c r="Q198" s="2"/>
      <c r="R198" s="2"/>
      <c r="S198" s="2"/>
      <c r="T198" s="2"/>
      <c r="U198" s="2"/>
      <c r="V198" s="2"/>
      <c r="W198" s="2"/>
      <c r="X198" s="2"/>
      <c r="Y198" s="2"/>
      <c r="Z198" s="2"/>
    </row>
    <row r="199" spans="1:26" ht="19.5" customHeight="1">
      <c r="A199" s="4" t="s">
        <v>660</v>
      </c>
      <c r="B199" s="4" t="s">
        <v>661</v>
      </c>
      <c r="C199" s="6">
        <v>1</v>
      </c>
      <c r="D199" s="4" t="s">
        <v>205</v>
      </c>
      <c r="E199" s="6">
        <v>5</v>
      </c>
      <c r="F199" s="6">
        <v>1</v>
      </c>
      <c r="G199" s="6">
        <v>0</v>
      </c>
      <c r="H199" s="6">
        <v>0</v>
      </c>
      <c r="I199" s="6">
        <v>0</v>
      </c>
      <c r="J199" s="6">
        <v>280</v>
      </c>
      <c r="K199" s="6">
        <v>0</v>
      </c>
      <c r="L199" s="6">
        <v>0</v>
      </c>
      <c r="M199" s="4" t="s">
        <v>662</v>
      </c>
      <c r="N199" s="2"/>
      <c r="O199" s="2"/>
      <c r="P199" s="2"/>
      <c r="Q199" s="2"/>
      <c r="R199" s="2"/>
      <c r="S199" s="2"/>
      <c r="T199" s="2"/>
      <c r="U199" s="2"/>
      <c r="V199" s="2"/>
      <c r="W199" s="2"/>
      <c r="X199" s="2"/>
      <c r="Y199" s="2"/>
      <c r="Z199" s="2"/>
    </row>
    <row r="200" spans="1:26" ht="19.5" customHeight="1">
      <c r="A200" s="4" t="s">
        <v>663</v>
      </c>
      <c r="B200" s="4" t="s">
        <v>664</v>
      </c>
      <c r="C200" s="6">
        <v>1</v>
      </c>
      <c r="D200" s="4" t="s">
        <v>205</v>
      </c>
      <c r="E200" s="6">
        <v>10</v>
      </c>
      <c r="F200" s="6">
        <v>2</v>
      </c>
      <c r="G200" s="6">
        <v>0</v>
      </c>
      <c r="H200" s="6">
        <v>0</v>
      </c>
      <c r="I200" s="6">
        <v>0</v>
      </c>
      <c r="J200" s="6">
        <v>180</v>
      </c>
      <c r="K200" s="6">
        <v>0</v>
      </c>
      <c r="L200" s="6">
        <v>0</v>
      </c>
      <c r="M200" s="4" t="s">
        <v>665</v>
      </c>
      <c r="N200" s="2"/>
      <c r="O200" s="2"/>
      <c r="P200" s="2"/>
      <c r="Q200" s="2"/>
      <c r="R200" s="2"/>
      <c r="S200" s="2"/>
      <c r="T200" s="2"/>
      <c r="U200" s="2"/>
      <c r="V200" s="2"/>
      <c r="W200" s="2"/>
      <c r="X200" s="2"/>
      <c r="Y200" s="2"/>
      <c r="Z200" s="2"/>
    </row>
    <row r="201" spans="1:26" ht="19.5" customHeight="1">
      <c r="A201" s="4" t="s">
        <v>666</v>
      </c>
      <c r="B201" s="4" t="s">
        <v>667</v>
      </c>
      <c r="C201" s="7" t="s">
        <v>176</v>
      </c>
      <c r="D201" s="4" t="s">
        <v>31</v>
      </c>
      <c r="E201" s="6">
        <v>51</v>
      </c>
      <c r="F201" s="6">
        <v>4</v>
      </c>
      <c r="G201" s="6">
        <v>1</v>
      </c>
      <c r="H201" s="6">
        <v>4</v>
      </c>
      <c r="I201" s="6">
        <v>0</v>
      </c>
      <c r="J201" s="6">
        <v>16</v>
      </c>
      <c r="K201" s="6">
        <v>1</v>
      </c>
      <c r="L201" s="6">
        <v>0</v>
      </c>
      <c r="M201" s="4" t="s">
        <v>668</v>
      </c>
      <c r="N201" s="2"/>
      <c r="O201" s="2"/>
      <c r="P201" s="2"/>
      <c r="Q201" s="2"/>
      <c r="R201" s="2"/>
      <c r="S201" s="2"/>
      <c r="T201" s="2"/>
      <c r="U201" s="2"/>
      <c r="V201" s="2"/>
      <c r="W201" s="2"/>
      <c r="X201" s="2"/>
      <c r="Y201" s="2"/>
      <c r="Z201" s="2"/>
    </row>
    <row r="202" spans="1:26" ht="19.5" customHeight="1">
      <c r="A202" s="4" t="s">
        <v>669</v>
      </c>
      <c r="B202" s="4" t="s">
        <v>670</v>
      </c>
      <c r="C202" s="7" t="s">
        <v>176</v>
      </c>
      <c r="D202" s="4" t="s">
        <v>205</v>
      </c>
      <c r="E202" s="6">
        <v>30</v>
      </c>
      <c r="F202" s="6">
        <v>6</v>
      </c>
      <c r="G202" s="6">
        <v>0</v>
      </c>
      <c r="H202" s="6">
        <v>0</v>
      </c>
      <c r="I202" s="6">
        <v>2</v>
      </c>
      <c r="J202" s="6">
        <v>10</v>
      </c>
      <c r="K202" s="6">
        <v>1</v>
      </c>
      <c r="L202" s="6">
        <v>0</v>
      </c>
      <c r="M202" s="4" t="s">
        <v>671</v>
      </c>
      <c r="N202" s="2"/>
      <c r="O202" s="2"/>
      <c r="P202" s="2"/>
      <c r="Q202" s="2"/>
      <c r="R202" s="2"/>
      <c r="S202" s="2"/>
      <c r="T202" s="2"/>
      <c r="U202" s="2"/>
      <c r="V202" s="2"/>
      <c r="W202" s="2"/>
      <c r="X202" s="2"/>
      <c r="Y202" s="2"/>
      <c r="Z202" s="2"/>
    </row>
    <row r="203" spans="1:26" ht="19.5" customHeight="1">
      <c r="A203" s="4" t="s">
        <v>672</v>
      </c>
      <c r="B203" s="4" t="s">
        <v>673</v>
      </c>
      <c r="C203" s="6">
        <v>1</v>
      </c>
      <c r="D203" s="4" t="s">
        <v>17</v>
      </c>
      <c r="E203" s="6">
        <v>50</v>
      </c>
      <c r="F203" s="6">
        <v>1</v>
      </c>
      <c r="G203" s="6">
        <v>2</v>
      </c>
      <c r="H203" s="6">
        <v>0</v>
      </c>
      <c r="I203" s="6">
        <v>0</v>
      </c>
      <c r="J203" s="6">
        <v>70</v>
      </c>
      <c r="K203" s="6">
        <v>0</v>
      </c>
      <c r="L203" s="6">
        <v>0</v>
      </c>
      <c r="M203" s="4" t="s">
        <v>674</v>
      </c>
      <c r="N203" s="2"/>
      <c r="O203" s="2"/>
      <c r="P203" s="2"/>
      <c r="Q203" s="2"/>
      <c r="R203" s="2"/>
      <c r="S203" s="2"/>
      <c r="T203" s="2"/>
      <c r="U203" s="2"/>
      <c r="V203" s="2"/>
      <c r="W203" s="2"/>
      <c r="X203" s="2"/>
      <c r="Y203" s="2"/>
      <c r="Z203" s="2"/>
    </row>
    <row r="204" spans="1:26" ht="19.5" customHeight="1">
      <c r="A204" s="4" t="s">
        <v>675</v>
      </c>
      <c r="B204" s="4" t="s">
        <v>676</v>
      </c>
      <c r="C204" s="6">
        <v>1</v>
      </c>
      <c r="D204" s="4" t="s">
        <v>599</v>
      </c>
      <c r="E204" s="6">
        <v>160</v>
      </c>
      <c r="F204" s="6">
        <v>15</v>
      </c>
      <c r="G204" s="6">
        <v>6</v>
      </c>
      <c r="H204" s="6">
        <v>13</v>
      </c>
      <c r="I204" s="6">
        <v>2</v>
      </c>
      <c r="J204" s="6">
        <v>230</v>
      </c>
      <c r="K204" s="6">
        <v>7</v>
      </c>
      <c r="L204" s="6">
        <v>0</v>
      </c>
      <c r="M204" s="4" t="s">
        <v>677</v>
      </c>
      <c r="N204" s="2"/>
      <c r="O204" s="2"/>
      <c r="P204" s="2"/>
      <c r="Q204" s="2"/>
      <c r="R204" s="2"/>
      <c r="S204" s="2"/>
      <c r="T204" s="2"/>
      <c r="U204" s="2"/>
      <c r="V204" s="2"/>
      <c r="W204" s="2"/>
      <c r="X204" s="2"/>
      <c r="Y204" s="2"/>
      <c r="Z204" s="2"/>
    </row>
    <row r="205" spans="1:26" ht="19.5" customHeight="1">
      <c r="A205" s="4" t="s">
        <v>678</v>
      </c>
      <c r="B205" s="4" t="s">
        <v>679</v>
      </c>
      <c r="C205" s="6">
        <v>1</v>
      </c>
      <c r="D205" s="4" t="s">
        <v>205</v>
      </c>
      <c r="E205" s="6">
        <v>140</v>
      </c>
      <c r="F205" s="6">
        <v>21</v>
      </c>
      <c r="G205" s="6">
        <v>1</v>
      </c>
      <c r="H205" s="6">
        <v>6</v>
      </c>
      <c r="I205" s="6">
        <v>1</v>
      </c>
      <c r="J205" s="6">
        <v>135</v>
      </c>
      <c r="K205" s="6">
        <v>0</v>
      </c>
      <c r="L205" s="6">
        <v>0</v>
      </c>
      <c r="M205" s="4" t="s">
        <v>680</v>
      </c>
      <c r="N205" s="2"/>
      <c r="O205" s="2"/>
      <c r="P205" s="2"/>
      <c r="Q205" s="2"/>
      <c r="R205" s="2"/>
      <c r="S205" s="2"/>
      <c r="T205" s="2"/>
      <c r="U205" s="2"/>
      <c r="V205" s="2"/>
      <c r="W205" s="2"/>
      <c r="X205" s="2"/>
      <c r="Y205" s="2"/>
      <c r="Z205" s="2"/>
    </row>
    <row r="206" spans="1:26" ht="19.5" customHeight="1">
      <c r="A206" s="4" t="s">
        <v>681</v>
      </c>
      <c r="B206" s="4" t="s">
        <v>682</v>
      </c>
      <c r="C206" s="6">
        <v>1</v>
      </c>
      <c r="D206" s="4" t="s">
        <v>205</v>
      </c>
      <c r="E206" s="6">
        <v>180</v>
      </c>
      <c r="F206" s="6">
        <v>10</v>
      </c>
      <c r="G206" s="6">
        <v>2</v>
      </c>
      <c r="H206" s="6">
        <v>15</v>
      </c>
      <c r="I206" s="6">
        <v>1</v>
      </c>
      <c r="J206" s="6">
        <v>105</v>
      </c>
      <c r="K206" s="6">
        <v>5</v>
      </c>
      <c r="L206" s="6">
        <v>0</v>
      </c>
      <c r="M206" s="4" t="s">
        <v>683</v>
      </c>
      <c r="N206" s="2"/>
      <c r="O206" s="2"/>
      <c r="P206" s="2"/>
      <c r="Q206" s="2"/>
      <c r="R206" s="2"/>
      <c r="S206" s="2"/>
      <c r="T206" s="2"/>
      <c r="U206" s="2"/>
      <c r="V206" s="2"/>
      <c r="W206" s="2"/>
      <c r="X206" s="2"/>
      <c r="Y206" s="2"/>
      <c r="Z206" s="2"/>
    </row>
    <row r="207" spans="1:26" ht="19.5" customHeight="1">
      <c r="A207" s="4" t="s">
        <v>684</v>
      </c>
      <c r="B207" s="4" t="s">
        <v>685</v>
      </c>
      <c r="C207" s="6">
        <v>1</v>
      </c>
      <c r="D207" s="4" t="s">
        <v>686</v>
      </c>
      <c r="E207" s="6">
        <v>100</v>
      </c>
      <c r="F207" s="6">
        <v>0.5</v>
      </c>
      <c r="G207" s="6">
        <v>10</v>
      </c>
      <c r="H207" s="6">
        <v>2.5</v>
      </c>
      <c r="I207" s="6">
        <v>0</v>
      </c>
      <c r="J207" s="6">
        <v>290</v>
      </c>
      <c r="K207" s="6">
        <v>0</v>
      </c>
      <c r="L207" s="6">
        <v>22</v>
      </c>
      <c r="M207" s="4" t="s">
        <v>687</v>
      </c>
      <c r="N207" s="2"/>
      <c r="O207" s="2"/>
      <c r="P207" s="2"/>
      <c r="Q207" s="2"/>
      <c r="R207" s="2"/>
      <c r="S207" s="2"/>
      <c r="T207" s="2"/>
      <c r="U207" s="2"/>
      <c r="V207" s="2"/>
      <c r="W207" s="2"/>
      <c r="X207" s="2"/>
      <c r="Y207" s="2"/>
      <c r="Z207" s="2"/>
    </row>
    <row r="208" spans="1:26" ht="19.5" customHeight="1">
      <c r="A208" s="4" t="s">
        <v>688</v>
      </c>
      <c r="B208" s="4" t="s">
        <v>689</v>
      </c>
      <c r="C208" s="6">
        <v>1</v>
      </c>
      <c r="D208" s="4" t="s">
        <v>690</v>
      </c>
      <c r="E208" s="6">
        <v>290</v>
      </c>
      <c r="F208" s="6">
        <v>35</v>
      </c>
      <c r="G208" s="6">
        <v>19</v>
      </c>
      <c r="H208" s="6">
        <v>8</v>
      </c>
      <c r="I208" s="6">
        <v>6</v>
      </c>
      <c r="J208" s="6">
        <v>660</v>
      </c>
      <c r="K208" s="6">
        <v>7</v>
      </c>
      <c r="L208" s="6">
        <v>55</v>
      </c>
      <c r="M208" s="4" t="s">
        <v>691</v>
      </c>
      <c r="N208" s="2"/>
      <c r="O208" s="2"/>
      <c r="P208" s="2"/>
      <c r="Q208" s="2"/>
      <c r="R208" s="2"/>
      <c r="S208" s="2"/>
      <c r="T208" s="2"/>
      <c r="U208" s="2"/>
      <c r="V208" s="2"/>
      <c r="W208" s="2"/>
      <c r="X208" s="2"/>
      <c r="Y208" s="2"/>
      <c r="Z208" s="2"/>
    </row>
    <row r="209" spans="1:26" ht="19.5" customHeight="1">
      <c r="A209" s="4" t="s">
        <v>692</v>
      </c>
      <c r="B209" s="4" t="s">
        <v>693</v>
      </c>
      <c r="C209" s="6">
        <v>1</v>
      </c>
      <c r="D209" s="4" t="s">
        <v>599</v>
      </c>
      <c r="E209" s="6">
        <v>210</v>
      </c>
      <c r="F209" s="6">
        <v>11</v>
      </c>
      <c r="G209" s="6">
        <v>9</v>
      </c>
      <c r="H209" s="6">
        <v>15</v>
      </c>
      <c r="I209" s="6">
        <v>3</v>
      </c>
      <c r="J209" s="6">
        <v>55</v>
      </c>
      <c r="K209" s="6">
        <v>6</v>
      </c>
      <c r="L209" s="6">
        <v>0</v>
      </c>
      <c r="M209" s="4" t="s">
        <v>694</v>
      </c>
      <c r="N209" s="2"/>
      <c r="O209" s="2"/>
      <c r="P209" s="2"/>
      <c r="Q209" s="2"/>
      <c r="R209" s="2"/>
      <c r="S209" s="2"/>
      <c r="T209" s="2"/>
      <c r="U209" s="2"/>
      <c r="V209" s="2"/>
      <c r="W209" s="2"/>
      <c r="X209" s="2"/>
      <c r="Y209" s="2"/>
      <c r="Z209" s="2"/>
    </row>
    <row r="210" spans="1:26" ht="19.5" customHeight="1">
      <c r="A210" s="4" t="s">
        <v>695</v>
      </c>
      <c r="B210" s="4" t="s">
        <v>696</v>
      </c>
      <c r="C210" s="6">
        <v>1</v>
      </c>
      <c r="D210" s="4" t="s">
        <v>599</v>
      </c>
      <c r="E210" s="6">
        <v>210</v>
      </c>
      <c r="F210" s="6">
        <v>11</v>
      </c>
      <c r="G210" s="6">
        <v>9</v>
      </c>
      <c r="H210" s="6">
        <v>15</v>
      </c>
      <c r="I210" s="6">
        <v>3</v>
      </c>
      <c r="J210" s="6">
        <v>40</v>
      </c>
      <c r="K210" s="6">
        <v>6</v>
      </c>
      <c r="L210" s="6">
        <v>0</v>
      </c>
      <c r="M210" s="4" t="s">
        <v>697</v>
      </c>
      <c r="N210" s="2"/>
      <c r="O210" s="2"/>
      <c r="P210" s="2"/>
      <c r="Q210" s="2"/>
      <c r="R210" s="2"/>
      <c r="S210" s="2"/>
      <c r="T210" s="2"/>
      <c r="U210" s="2"/>
      <c r="V210" s="2"/>
      <c r="W210" s="2"/>
      <c r="X210" s="2"/>
      <c r="Y210" s="2"/>
      <c r="Z210" s="2"/>
    </row>
    <row r="211" spans="1:26" ht="19.5" customHeight="1">
      <c r="A211" s="4" t="s">
        <v>698</v>
      </c>
      <c r="B211" s="4" t="s">
        <v>699</v>
      </c>
      <c r="C211" s="7" t="s">
        <v>176</v>
      </c>
      <c r="D211" s="4" t="s">
        <v>599</v>
      </c>
      <c r="E211" s="6">
        <v>210</v>
      </c>
      <c r="F211" s="6">
        <v>11</v>
      </c>
      <c r="G211" s="6">
        <v>9</v>
      </c>
      <c r="H211" s="6">
        <v>16</v>
      </c>
      <c r="I211" s="6">
        <v>2</v>
      </c>
      <c r="J211" s="6">
        <v>110</v>
      </c>
      <c r="K211" s="6">
        <v>6</v>
      </c>
      <c r="L211" s="6">
        <v>0</v>
      </c>
      <c r="M211" s="4" t="s">
        <v>700</v>
      </c>
      <c r="N211" s="2"/>
      <c r="O211" s="2"/>
      <c r="P211" s="2"/>
      <c r="Q211" s="2"/>
      <c r="R211" s="2"/>
      <c r="S211" s="2"/>
      <c r="T211" s="2"/>
      <c r="U211" s="2"/>
      <c r="V211" s="2"/>
      <c r="W211" s="2"/>
      <c r="X211" s="2"/>
      <c r="Y211" s="2"/>
      <c r="Z211" s="2"/>
    </row>
    <row r="212" spans="1:26" ht="19.5" customHeight="1">
      <c r="A212" s="4" t="s">
        <v>701</v>
      </c>
      <c r="B212" s="4" t="s">
        <v>702</v>
      </c>
      <c r="C212" s="6">
        <v>1</v>
      </c>
      <c r="D212" s="4" t="s">
        <v>599</v>
      </c>
      <c r="E212" s="6">
        <v>210</v>
      </c>
      <c r="F212" s="6">
        <v>11</v>
      </c>
      <c r="G212" s="6">
        <v>9</v>
      </c>
      <c r="H212" s="6">
        <v>16</v>
      </c>
      <c r="I212" s="6">
        <v>1</v>
      </c>
      <c r="J212" s="6">
        <v>50</v>
      </c>
      <c r="K212" s="6">
        <v>6</v>
      </c>
      <c r="L212" s="6">
        <v>0</v>
      </c>
      <c r="M212" s="4" t="s">
        <v>703</v>
      </c>
      <c r="N212" s="2"/>
      <c r="O212" s="2"/>
      <c r="P212" s="2"/>
      <c r="Q212" s="2"/>
      <c r="R212" s="2"/>
      <c r="S212" s="2"/>
      <c r="T212" s="2"/>
      <c r="U212" s="2"/>
      <c r="V212" s="2"/>
      <c r="W212" s="2"/>
      <c r="X212" s="2"/>
      <c r="Y212" s="2"/>
      <c r="Z212" s="2"/>
    </row>
    <row r="213" spans="1:26" ht="19.5" customHeight="1">
      <c r="A213" s="4" t="s">
        <v>704</v>
      </c>
      <c r="B213" s="4" t="s">
        <v>705</v>
      </c>
      <c r="C213" s="6">
        <v>1</v>
      </c>
      <c r="D213" s="4" t="s">
        <v>624</v>
      </c>
      <c r="E213" s="6">
        <v>180</v>
      </c>
      <c r="F213" s="6">
        <v>17</v>
      </c>
      <c r="G213" s="6">
        <v>5</v>
      </c>
      <c r="H213" s="6">
        <v>14</v>
      </c>
      <c r="I213" s="6">
        <v>1</v>
      </c>
      <c r="J213" s="6">
        <v>290</v>
      </c>
      <c r="K213" s="6">
        <v>4</v>
      </c>
      <c r="L213" s="6">
        <v>65</v>
      </c>
      <c r="M213" s="4" t="s">
        <v>706</v>
      </c>
      <c r="N213" s="2"/>
      <c r="O213" s="2"/>
      <c r="P213" s="2"/>
      <c r="Q213" s="2"/>
      <c r="R213" s="2"/>
      <c r="S213" s="2"/>
      <c r="T213" s="2"/>
      <c r="U213" s="2"/>
      <c r="V213" s="2"/>
      <c r="W213" s="2"/>
      <c r="X213" s="2"/>
      <c r="Y213" s="2"/>
      <c r="Z213" s="2"/>
    </row>
    <row r="214" spans="1:26" ht="19.5" customHeight="1">
      <c r="A214" s="4" t="s">
        <v>707</v>
      </c>
      <c r="B214" s="4" t="s">
        <v>708</v>
      </c>
      <c r="C214" s="6">
        <v>1</v>
      </c>
      <c r="D214" s="4" t="s">
        <v>205</v>
      </c>
      <c r="E214" s="6">
        <v>120</v>
      </c>
      <c r="F214" s="6">
        <v>10</v>
      </c>
      <c r="G214" s="6">
        <v>4</v>
      </c>
      <c r="H214" s="6">
        <v>8</v>
      </c>
      <c r="I214" s="7" t="s">
        <v>172</v>
      </c>
      <c r="J214" s="6">
        <v>40</v>
      </c>
      <c r="K214" s="6">
        <v>1</v>
      </c>
      <c r="L214" s="6">
        <v>0</v>
      </c>
      <c r="M214" s="4" t="s">
        <v>709</v>
      </c>
      <c r="N214" s="2"/>
      <c r="O214" s="2"/>
      <c r="P214" s="2"/>
      <c r="Q214" s="2"/>
      <c r="R214" s="2"/>
      <c r="S214" s="2"/>
      <c r="T214" s="2"/>
      <c r="U214" s="2"/>
      <c r="V214" s="2"/>
      <c r="W214" s="2"/>
      <c r="X214" s="2"/>
      <c r="Y214" s="2"/>
      <c r="Z214" s="2"/>
    </row>
    <row r="215" spans="1:26" ht="19.5" customHeight="1">
      <c r="A215" s="4" t="s">
        <v>710</v>
      </c>
      <c r="B215" s="4" t="s">
        <v>711</v>
      </c>
      <c r="C215" s="6">
        <v>1</v>
      </c>
      <c r="D215" s="4" t="s">
        <v>212</v>
      </c>
      <c r="E215" s="6">
        <v>160</v>
      </c>
      <c r="F215" s="6">
        <v>0</v>
      </c>
      <c r="G215" s="6">
        <v>32</v>
      </c>
      <c r="H215" s="6">
        <v>4</v>
      </c>
      <c r="I215" s="6">
        <v>0</v>
      </c>
      <c r="J215" s="6">
        <v>460</v>
      </c>
      <c r="K215" s="6">
        <v>0</v>
      </c>
      <c r="L215" s="6">
        <v>80</v>
      </c>
      <c r="M215" s="4" t="s">
        <v>712</v>
      </c>
      <c r="N215" s="2"/>
      <c r="O215" s="2"/>
      <c r="P215" s="2"/>
      <c r="Q215" s="2"/>
      <c r="R215" s="2"/>
      <c r="S215" s="2"/>
      <c r="T215" s="2"/>
      <c r="U215" s="2"/>
      <c r="V215" s="2"/>
      <c r="W215" s="2"/>
      <c r="X215" s="2"/>
      <c r="Y215" s="2"/>
      <c r="Z215" s="2"/>
    </row>
    <row r="216" spans="1:26" ht="19.5" customHeight="1">
      <c r="A216" s="4" t="s">
        <v>713</v>
      </c>
      <c r="B216" s="4" t="s">
        <v>714</v>
      </c>
      <c r="C216" s="6">
        <v>1</v>
      </c>
      <c r="D216" s="4" t="s">
        <v>17</v>
      </c>
      <c r="E216" s="6">
        <v>40</v>
      </c>
      <c r="F216" s="6">
        <v>7</v>
      </c>
      <c r="G216" s="6">
        <v>2</v>
      </c>
      <c r="H216" s="6">
        <v>0</v>
      </c>
      <c r="I216" s="6">
        <v>0</v>
      </c>
      <c r="J216" s="6">
        <v>55</v>
      </c>
      <c r="K216" s="6">
        <v>0</v>
      </c>
      <c r="L216" s="6">
        <v>0</v>
      </c>
      <c r="M216" s="4" t="s">
        <v>715</v>
      </c>
      <c r="N216" s="2"/>
      <c r="O216" s="2"/>
      <c r="P216" s="2"/>
      <c r="Q216" s="2"/>
      <c r="R216" s="2"/>
      <c r="S216" s="2"/>
      <c r="T216" s="2"/>
      <c r="U216" s="2"/>
      <c r="V216" s="2"/>
      <c r="W216" s="2"/>
      <c r="X216" s="2"/>
      <c r="Y216" s="2"/>
      <c r="Z216" s="2"/>
    </row>
    <row r="217" spans="1:26" ht="19.5" customHeight="1">
      <c r="A217" s="4" t="s">
        <v>716</v>
      </c>
      <c r="B217" s="4" t="s">
        <v>717</v>
      </c>
      <c r="C217" s="6">
        <v>1</v>
      </c>
      <c r="D217" s="4" t="s">
        <v>17</v>
      </c>
      <c r="E217" s="6">
        <v>25</v>
      </c>
      <c r="F217" s="6">
        <v>6</v>
      </c>
      <c r="G217" s="6">
        <v>0</v>
      </c>
      <c r="H217" s="6">
        <v>0</v>
      </c>
      <c r="I217" s="6">
        <v>4</v>
      </c>
      <c r="J217" s="6">
        <v>210</v>
      </c>
      <c r="K217" s="6">
        <v>0</v>
      </c>
      <c r="L217" s="6">
        <v>0</v>
      </c>
      <c r="M217" s="4" t="s">
        <v>718</v>
      </c>
      <c r="N217" s="2"/>
      <c r="O217" s="2"/>
      <c r="P217" s="2"/>
      <c r="Q217" s="2"/>
      <c r="R217" s="2"/>
      <c r="S217" s="2"/>
      <c r="T217" s="2"/>
      <c r="U217" s="2"/>
      <c r="V217" s="2"/>
      <c r="W217" s="2"/>
      <c r="X217" s="2"/>
      <c r="Y217" s="2"/>
      <c r="Z217" s="2"/>
    </row>
    <row r="218" spans="1:26" ht="19.5" customHeight="1">
      <c r="A218" s="4" t="s">
        <v>719</v>
      </c>
      <c r="B218" s="4" t="s">
        <v>720</v>
      </c>
      <c r="C218" s="6">
        <v>1</v>
      </c>
      <c r="D218" s="4" t="s">
        <v>212</v>
      </c>
      <c r="E218" s="6">
        <v>180</v>
      </c>
      <c r="F218" s="6">
        <v>1</v>
      </c>
      <c r="G218" s="6">
        <v>3</v>
      </c>
      <c r="H218" s="6">
        <v>5</v>
      </c>
      <c r="I218" s="6">
        <v>0</v>
      </c>
      <c r="J218" s="6">
        <v>700</v>
      </c>
      <c r="K218" s="6">
        <v>0</v>
      </c>
      <c r="L218" s="6">
        <v>80</v>
      </c>
      <c r="M218" s="4" t="s">
        <v>721</v>
      </c>
      <c r="N218" s="2"/>
      <c r="O218" s="2"/>
      <c r="P218" s="2"/>
      <c r="Q218" s="2"/>
      <c r="R218" s="2"/>
      <c r="S218" s="2"/>
      <c r="T218" s="2"/>
      <c r="U218" s="2"/>
      <c r="V218" s="2"/>
      <c r="W218" s="2"/>
      <c r="X218" s="2"/>
      <c r="Y218" s="2"/>
      <c r="Z218" s="2"/>
    </row>
    <row r="219" spans="1:26" ht="19.5" customHeight="1">
      <c r="A219" s="4" t="s">
        <v>722</v>
      </c>
      <c r="B219" s="4" t="s">
        <v>723</v>
      </c>
      <c r="C219" s="6">
        <v>1</v>
      </c>
      <c r="D219" s="12" t="s">
        <v>606</v>
      </c>
      <c r="E219" s="7" t="s">
        <v>18</v>
      </c>
      <c r="F219" s="6">
        <v>0</v>
      </c>
      <c r="G219" s="7" t="s">
        <v>18</v>
      </c>
      <c r="H219" s="6">
        <v>0</v>
      </c>
      <c r="I219" s="7" t="s">
        <v>18</v>
      </c>
      <c r="J219" s="7" t="s">
        <v>296</v>
      </c>
      <c r="K219" s="7" t="s">
        <v>18</v>
      </c>
      <c r="L219" s="7" t="s">
        <v>18</v>
      </c>
      <c r="M219" s="12" t="s">
        <v>724</v>
      </c>
      <c r="N219" s="2"/>
      <c r="O219" s="2"/>
      <c r="P219" s="2"/>
      <c r="Q219" s="2"/>
      <c r="R219" s="2"/>
      <c r="S219" s="2"/>
      <c r="T219" s="2"/>
      <c r="U219" s="2"/>
      <c r="V219" s="2"/>
      <c r="W219" s="2"/>
      <c r="X219" s="2"/>
      <c r="Y219" s="2"/>
      <c r="Z219" s="2"/>
    </row>
    <row r="220" spans="1:26" ht="19.5" customHeight="1">
      <c r="A220" s="4" t="s">
        <v>725</v>
      </c>
      <c r="B220" s="4" t="s">
        <v>726</v>
      </c>
      <c r="C220" s="7" t="s">
        <v>176</v>
      </c>
      <c r="D220" s="4" t="s">
        <v>727</v>
      </c>
      <c r="E220" s="6">
        <v>0</v>
      </c>
      <c r="F220" s="6">
        <v>0</v>
      </c>
      <c r="G220" s="6">
        <v>0</v>
      </c>
      <c r="H220" s="6">
        <v>0</v>
      </c>
      <c r="I220" s="6">
        <v>0</v>
      </c>
      <c r="J220" s="6">
        <v>0</v>
      </c>
      <c r="K220" s="6">
        <v>0</v>
      </c>
      <c r="L220" s="6">
        <v>0</v>
      </c>
      <c r="M220" s="4" t="s">
        <v>728</v>
      </c>
      <c r="N220" s="2"/>
      <c r="O220" s="2"/>
      <c r="P220" s="2"/>
      <c r="Q220" s="2"/>
      <c r="R220" s="2"/>
      <c r="S220" s="2"/>
      <c r="T220" s="2"/>
      <c r="U220" s="2"/>
      <c r="V220" s="2"/>
      <c r="W220" s="2"/>
      <c r="X220" s="2"/>
      <c r="Y220" s="2"/>
      <c r="Z220" s="2"/>
    </row>
    <row r="221" spans="1:26" ht="19.5" customHeight="1">
      <c r="A221" s="4" t="s">
        <v>729</v>
      </c>
      <c r="B221" s="4" t="s">
        <v>730</v>
      </c>
      <c r="C221" s="7" t="s">
        <v>176</v>
      </c>
      <c r="D221" s="4" t="s">
        <v>606</v>
      </c>
      <c r="E221" s="6">
        <v>0</v>
      </c>
      <c r="F221" s="6">
        <v>0</v>
      </c>
      <c r="G221" s="6">
        <v>0</v>
      </c>
      <c r="H221" s="6">
        <v>0</v>
      </c>
      <c r="I221" s="6">
        <v>0</v>
      </c>
      <c r="J221" s="6">
        <v>0</v>
      </c>
      <c r="K221" s="6">
        <v>0</v>
      </c>
      <c r="L221" s="6">
        <v>0</v>
      </c>
      <c r="M221" s="4" t="s">
        <v>731</v>
      </c>
      <c r="N221" s="2"/>
      <c r="O221" s="2"/>
      <c r="P221" s="2"/>
      <c r="Q221" s="2"/>
      <c r="R221" s="2"/>
      <c r="S221" s="2"/>
      <c r="T221" s="2"/>
      <c r="U221" s="2"/>
      <c r="V221" s="2"/>
      <c r="W221" s="2"/>
      <c r="X221" s="2"/>
      <c r="Y221" s="2"/>
      <c r="Z221" s="2"/>
    </row>
    <row r="222" spans="1:26" ht="19.5" customHeight="1">
      <c r="A222" s="4" t="s">
        <v>732</v>
      </c>
      <c r="B222" s="4" t="s">
        <v>733</v>
      </c>
      <c r="C222" s="7" t="s">
        <v>176</v>
      </c>
      <c r="D222" s="4" t="s">
        <v>17</v>
      </c>
      <c r="E222" s="6">
        <v>35</v>
      </c>
      <c r="F222" s="6">
        <v>0</v>
      </c>
      <c r="G222" s="6">
        <v>9</v>
      </c>
      <c r="H222" s="6">
        <v>0</v>
      </c>
      <c r="I222" s="6">
        <v>0</v>
      </c>
      <c r="J222" s="6">
        <v>85</v>
      </c>
      <c r="K222" s="6">
        <v>0</v>
      </c>
      <c r="L222" s="6">
        <v>0</v>
      </c>
      <c r="M222" s="4" t="s">
        <v>734</v>
      </c>
      <c r="N222" s="2"/>
      <c r="O222" s="2"/>
      <c r="P222" s="2"/>
      <c r="Q222" s="2"/>
      <c r="R222" s="2"/>
      <c r="S222" s="2"/>
      <c r="T222" s="2"/>
      <c r="U222" s="2"/>
      <c r="V222" s="2"/>
      <c r="W222" s="2"/>
      <c r="X222" s="2"/>
      <c r="Y222" s="2"/>
      <c r="Z222" s="2"/>
    </row>
    <row r="223" spans="1:26" ht="19.5" customHeight="1">
      <c r="A223" s="4" t="s">
        <v>735</v>
      </c>
      <c r="B223" s="4" t="s">
        <v>736</v>
      </c>
      <c r="C223" s="7" t="s">
        <v>176</v>
      </c>
      <c r="D223" s="4" t="s">
        <v>17</v>
      </c>
      <c r="E223" s="6">
        <v>50</v>
      </c>
      <c r="F223" s="6">
        <v>2</v>
      </c>
      <c r="G223" s="6">
        <v>11</v>
      </c>
      <c r="H223" s="6">
        <v>0</v>
      </c>
      <c r="I223" s="6">
        <v>0</v>
      </c>
      <c r="J223" s="6">
        <v>220</v>
      </c>
      <c r="K223" s="6">
        <v>0</v>
      </c>
      <c r="L223" s="6">
        <v>3</v>
      </c>
      <c r="M223" s="4" t="s">
        <v>737</v>
      </c>
      <c r="N223" s="2"/>
      <c r="O223" s="2"/>
      <c r="P223" s="2"/>
      <c r="Q223" s="2"/>
      <c r="R223" s="2"/>
      <c r="S223" s="2"/>
      <c r="T223" s="2"/>
      <c r="U223" s="2"/>
      <c r="V223" s="2"/>
      <c r="W223" s="2"/>
      <c r="X223" s="2"/>
      <c r="Y223" s="2"/>
      <c r="Z223" s="2"/>
    </row>
    <row r="224" spans="1:26" ht="19.5" customHeight="1">
      <c r="A224" s="4" t="s">
        <v>738</v>
      </c>
      <c r="B224" s="4" t="s">
        <v>739</v>
      </c>
      <c r="C224" s="7" t="s">
        <v>176</v>
      </c>
      <c r="D224" s="4" t="s">
        <v>599</v>
      </c>
      <c r="E224" s="6">
        <v>250</v>
      </c>
      <c r="F224" s="6">
        <v>34</v>
      </c>
      <c r="G224" s="6">
        <v>5</v>
      </c>
      <c r="H224" s="6">
        <v>11</v>
      </c>
      <c r="I224" s="6">
        <v>9</v>
      </c>
      <c r="J224" s="6">
        <v>0</v>
      </c>
      <c r="K224" s="6">
        <v>1</v>
      </c>
      <c r="L224" s="6">
        <v>0</v>
      </c>
      <c r="M224" s="4" t="s">
        <v>740</v>
      </c>
      <c r="N224" s="2"/>
      <c r="O224" s="2"/>
      <c r="P224" s="2"/>
      <c r="Q224" s="2"/>
      <c r="R224" s="2"/>
      <c r="S224" s="2"/>
      <c r="T224" s="2"/>
      <c r="U224" s="2"/>
      <c r="V224" s="2"/>
      <c r="W224" s="2"/>
      <c r="X224" s="2"/>
      <c r="Y224" s="2"/>
      <c r="Z224" s="2"/>
    </row>
    <row r="225" spans="1:26" ht="19.5" customHeight="1">
      <c r="A225" s="4" t="s">
        <v>741</v>
      </c>
      <c r="B225" s="4" t="s">
        <v>742</v>
      </c>
      <c r="C225" s="6">
        <v>1</v>
      </c>
      <c r="D225" s="4" t="s">
        <v>599</v>
      </c>
      <c r="E225" s="6">
        <v>270</v>
      </c>
      <c r="F225" s="6">
        <v>38</v>
      </c>
      <c r="G225" s="6">
        <v>10</v>
      </c>
      <c r="H225" s="6">
        <v>9</v>
      </c>
      <c r="I225" s="6">
        <v>11</v>
      </c>
      <c r="J225" s="6">
        <v>25</v>
      </c>
      <c r="K225" s="6">
        <v>3</v>
      </c>
      <c r="L225" s="6">
        <v>0</v>
      </c>
      <c r="M225" s="4" t="s">
        <v>743</v>
      </c>
      <c r="N225" s="2"/>
      <c r="O225" s="2"/>
      <c r="P225" s="2"/>
      <c r="Q225" s="2"/>
      <c r="R225" s="2"/>
      <c r="S225" s="2"/>
      <c r="T225" s="2"/>
      <c r="U225" s="2"/>
      <c r="V225" s="2"/>
      <c r="W225" s="2"/>
      <c r="X225" s="2"/>
      <c r="Y225" s="2"/>
      <c r="Z225" s="2"/>
    </row>
    <row r="226" spans="1:26" ht="19.5" customHeight="1">
      <c r="A226" s="4" t="s">
        <v>744</v>
      </c>
      <c r="B226" s="4" t="s">
        <v>745</v>
      </c>
      <c r="C226" s="6">
        <v>1</v>
      </c>
      <c r="D226" s="4" t="s">
        <v>606</v>
      </c>
      <c r="E226" s="6">
        <v>5</v>
      </c>
      <c r="F226" s="6">
        <v>1</v>
      </c>
      <c r="G226" s="6">
        <v>0</v>
      </c>
      <c r="H226" s="6">
        <v>0</v>
      </c>
      <c r="I226" s="6">
        <v>0</v>
      </c>
      <c r="J226" s="6">
        <v>0</v>
      </c>
      <c r="K226" s="6">
        <v>0</v>
      </c>
      <c r="L226" s="6">
        <v>0</v>
      </c>
      <c r="M226" s="4" t="s">
        <v>746</v>
      </c>
      <c r="N226" s="2"/>
      <c r="O226" s="2"/>
      <c r="P226" s="2"/>
      <c r="Q226" s="2"/>
      <c r="R226" s="2"/>
      <c r="S226" s="2"/>
      <c r="T226" s="2"/>
      <c r="U226" s="2"/>
      <c r="V226" s="2"/>
      <c r="W226" s="2"/>
      <c r="X226" s="2"/>
      <c r="Y226" s="2"/>
      <c r="Z226" s="2"/>
    </row>
    <row r="227" spans="1:26" ht="19.5" customHeight="1">
      <c r="A227" s="4" t="s">
        <v>747</v>
      </c>
      <c r="B227" s="4" t="s">
        <v>748</v>
      </c>
      <c r="C227" s="6">
        <v>1</v>
      </c>
      <c r="D227" s="4" t="s">
        <v>31</v>
      </c>
      <c r="E227" s="6">
        <v>15</v>
      </c>
      <c r="F227" s="6">
        <v>0</v>
      </c>
      <c r="G227" s="6">
        <v>4</v>
      </c>
      <c r="H227" s="6">
        <v>0</v>
      </c>
      <c r="I227" s="6">
        <v>0</v>
      </c>
      <c r="J227" s="6">
        <v>1440</v>
      </c>
      <c r="K227" s="6">
        <v>0</v>
      </c>
      <c r="L227" s="6">
        <v>0</v>
      </c>
      <c r="M227" s="4" t="s">
        <v>749</v>
      </c>
      <c r="N227" s="2"/>
      <c r="O227" s="2"/>
      <c r="P227" s="2"/>
      <c r="Q227" s="2"/>
      <c r="R227" s="2"/>
      <c r="S227" s="2"/>
      <c r="T227" s="2"/>
      <c r="U227" s="2"/>
      <c r="V227" s="2"/>
      <c r="W227" s="2"/>
      <c r="X227" s="2"/>
      <c r="Y227" s="2"/>
      <c r="Z227" s="2"/>
    </row>
    <row r="228" spans="1:26" ht="19.5" customHeight="1">
      <c r="A228" s="4" t="s">
        <v>750</v>
      </c>
      <c r="B228" s="4" t="s">
        <v>751</v>
      </c>
      <c r="C228" s="6">
        <v>1</v>
      </c>
      <c r="D228" s="4" t="s">
        <v>599</v>
      </c>
      <c r="E228" s="6">
        <v>210</v>
      </c>
      <c r="F228" s="6">
        <v>11</v>
      </c>
      <c r="G228" s="6">
        <v>9</v>
      </c>
      <c r="H228" s="6">
        <v>15</v>
      </c>
      <c r="I228" s="6">
        <v>3</v>
      </c>
      <c r="J228" s="6">
        <v>80</v>
      </c>
      <c r="K228" s="6">
        <v>6</v>
      </c>
      <c r="L228" s="6">
        <v>0</v>
      </c>
      <c r="M228" s="4" t="s">
        <v>752</v>
      </c>
      <c r="N228" s="2"/>
      <c r="O228" s="2"/>
      <c r="P228" s="2"/>
      <c r="Q228" s="2"/>
      <c r="R228" s="2"/>
      <c r="S228" s="2"/>
      <c r="T228" s="2"/>
      <c r="U228" s="2"/>
      <c r="V228" s="2"/>
      <c r="W228" s="2"/>
      <c r="X228" s="2"/>
      <c r="Y228" s="2"/>
      <c r="Z228" s="2"/>
    </row>
    <row r="229" spans="1:26" ht="19.5" customHeight="1">
      <c r="A229" s="4" t="s">
        <v>753</v>
      </c>
      <c r="B229" s="4" t="s">
        <v>754</v>
      </c>
      <c r="C229" s="6">
        <v>1</v>
      </c>
      <c r="D229" s="4" t="s">
        <v>599</v>
      </c>
      <c r="E229" s="6">
        <v>210</v>
      </c>
      <c r="F229" s="6">
        <v>10</v>
      </c>
      <c r="G229" s="6">
        <v>9</v>
      </c>
      <c r="H229" s="6">
        <v>16</v>
      </c>
      <c r="I229" s="6">
        <v>2</v>
      </c>
      <c r="J229" s="6">
        <v>110</v>
      </c>
      <c r="K229" s="6">
        <v>6</v>
      </c>
      <c r="L229" s="6">
        <v>0</v>
      </c>
      <c r="M229" s="4" t="s">
        <v>755</v>
      </c>
      <c r="N229" s="2"/>
      <c r="O229" s="2"/>
      <c r="P229" s="2"/>
      <c r="Q229" s="2"/>
      <c r="R229" s="2"/>
      <c r="S229" s="2"/>
      <c r="T229" s="2"/>
      <c r="U229" s="2"/>
      <c r="V229" s="2"/>
      <c r="W229" s="2"/>
      <c r="X229" s="2"/>
      <c r="Y229" s="2"/>
      <c r="Z229" s="2"/>
    </row>
    <row r="230" spans="1:26" ht="19.5" customHeight="1">
      <c r="A230" s="4" t="s">
        <v>756</v>
      </c>
      <c r="B230" s="4" t="s">
        <v>757</v>
      </c>
      <c r="C230" s="6">
        <v>1</v>
      </c>
      <c r="D230" s="4" t="s">
        <v>599</v>
      </c>
      <c r="E230" s="6">
        <v>290</v>
      </c>
      <c r="F230" s="6">
        <v>39</v>
      </c>
      <c r="G230" s="6">
        <v>11</v>
      </c>
      <c r="H230" s="6">
        <v>11</v>
      </c>
      <c r="I230" s="6">
        <v>14</v>
      </c>
      <c r="J230" s="6">
        <v>10</v>
      </c>
      <c r="K230" s="6">
        <v>2</v>
      </c>
      <c r="L230" s="6">
        <v>0</v>
      </c>
      <c r="M230" s="4" t="s">
        <v>758</v>
      </c>
      <c r="N230" s="2"/>
      <c r="O230" s="2"/>
      <c r="P230" s="2"/>
      <c r="Q230" s="2"/>
      <c r="R230" s="2"/>
      <c r="S230" s="2"/>
      <c r="T230" s="2"/>
      <c r="U230" s="2"/>
      <c r="V230" s="2"/>
      <c r="W230" s="2"/>
      <c r="X230" s="2"/>
      <c r="Y230" s="2"/>
      <c r="Z230" s="2"/>
    </row>
    <row r="231" spans="1:26" ht="19.5" customHeight="1">
      <c r="A231" s="4" t="s">
        <v>759</v>
      </c>
      <c r="B231" s="4" t="s">
        <v>760</v>
      </c>
      <c r="C231" s="6">
        <v>1</v>
      </c>
      <c r="D231" s="4" t="s">
        <v>76</v>
      </c>
      <c r="E231" s="6">
        <v>15</v>
      </c>
      <c r="F231" s="6">
        <v>0</v>
      </c>
      <c r="G231" s="6">
        <v>3</v>
      </c>
      <c r="H231" s="6">
        <v>0</v>
      </c>
      <c r="I231" s="6">
        <v>0</v>
      </c>
      <c r="J231" s="6">
        <v>1570</v>
      </c>
      <c r="K231" s="6">
        <v>0</v>
      </c>
      <c r="L231" s="6">
        <v>0</v>
      </c>
      <c r="M231" s="4" t="s">
        <v>761</v>
      </c>
      <c r="N231" s="2"/>
      <c r="O231" s="2"/>
      <c r="P231" s="2"/>
      <c r="Q231" s="2"/>
      <c r="R231" s="2"/>
      <c r="S231" s="2"/>
      <c r="T231" s="2"/>
      <c r="U231" s="2"/>
      <c r="V231" s="2"/>
      <c r="W231" s="2"/>
      <c r="X231" s="2"/>
      <c r="Y231" s="2"/>
      <c r="Z231" s="2"/>
    </row>
    <row r="232" spans="1:26" ht="19.5" customHeight="1">
      <c r="A232" s="4" t="s">
        <v>762</v>
      </c>
      <c r="B232" s="4" t="s">
        <v>763</v>
      </c>
      <c r="C232" s="6">
        <v>1</v>
      </c>
      <c r="D232" s="4" t="s">
        <v>76</v>
      </c>
      <c r="E232" s="6">
        <v>0</v>
      </c>
      <c r="F232" s="6">
        <v>0</v>
      </c>
      <c r="G232" s="6">
        <v>0</v>
      </c>
      <c r="H232" s="6">
        <v>0</v>
      </c>
      <c r="I232" s="6">
        <v>0</v>
      </c>
      <c r="J232" s="6">
        <v>490</v>
      </c>
      <c r="K232" s="6">
        <v>0</v>
      </c>
      <c r="L232" s="6">
        <v>0</v>
      </c>
      <c r="M232" s="4" t="s">
        <v>764</v>
      </c>
      <c r="N232" s="2"/>
      <c r="O232" s="2"/>
      <c r="P232" s="2"/>
      <c r="Q232" s="2"/>
      <c r="R232" s="2"/>
      <c r="S232" s="2"/>
      <c r="T232" s="2"/>
      <c r="U232" s="2"/>
      <c r="V232" s="2"/>
      <c r="W232" s="2"/>
      <c r="X232" s="2"/>
      <c r="Y232" s="2"/>
      <c r="Z232" s="2"/>
    </row>
    <row r="233" spans="1:26" ht="19.5" customHeight="1">
      <c r="A233" s="4" t="s">
        <v>765</v>
      </c>
      <c r="B233" s="4" t="s">
        <v>766</v>
      </c>
      <c r="C233" s="6">
        <v>1</v>
      </c>
      <c r="D233" s="4" t="s">
        <v>31</v>
      </c>
      <c r="E233" s="6">
        <v>15</v>
      </c>
      <c r="F233" s="6">
        <v>0</v>
      </c>
      <c r="G233" s="6">
        <v>3</v>
      </c>
      <c r="H233" s="6">
        <v>0</v>
      </c>
      <c r="I233" s="6">
        <v>0</v>
      </c>
      <c r="J233" s="6">
        <v>1520</v>
      </c>
      <c r="K233" s="6">
        <v>0</v>
      </c>
      <c r="L233" s="6">
        <v>0</v>
      </c>
      <c r="M233" s="4" t="s">
        <v>767</v>
      </c>
      <c r="N233" s="2"/>
      <c r="O233" s="2"/>
      <c r="P233" s="2"/>
      <c r="Q233" s="2"/>
      <c r="R233" s="2"/>
      <c r="S233" s="2"/>
      <c r="T233" s="2"/>
      <c r="U233" s="2"/>
      <c r="V233" s="2"/>
      <c r="W233" s="2"/>
      <c r="X233" s="2"/>
      <c r="Y233" s="2"/>
      <c r="Z233" s="2"/>
    </row>
    <row r="234" spans="1:26" ht="19.5" customHeight="1">
      <c r="A234" s="4" t="s">
        <v>768</v>
      </c>
      <c r="B234" s="4" t="s">
        <v>769</v>
      </c>
      <c r="C234" s="6">
        <v>1</v>
      </c>
      <c r="D234" s="4" t="s">
        <v>31</v>
      </c>
      <c r="E234" s="6">
        <v>10</v>
      </c>
      <c r="F234" s="6">
        <v>1</v>
      </c>
      <c r="G234" s="6">
        <v>2</v>
      </c>
      <c r="H234" s="6">
        <v>0</v>
      </c>
      <c r="I234" s="6">
        <v>0</v>
      </c>
      <c r="J234" s="6">
        <v>1370</v>
      </c>
      <c r="K234" s="6">
        <v>0</v>
      </c>
      <c r="L234" s="6">
        <v>0</v>
      </c>
      <c r="M234" s="4" t="s">
        <v>770</v>
      </c>
      <c r="N234" s="2"/>
      <c r="O234" s="2"/>
      <c r="P234" s="2"/>
      <c r="Q234" s="2"/>
      <c r="R234" s="2"/>
      <c r="S234" s="2"/>
      <c r="T234" s="2"/>
      <c r="U234" s="2"/>
      <c r="V234" s="2"/>
      <c r="W234" s="2"/>
      <c r="X234" s="2"/>
      <c r="Y234" s="2"/>
      <c r="Z234" s="2"/>
    </row>
    <row r="235" spans="1:26" ht="19.5" customHeight="1">
      <c r="A235" s="4" t="s">
        <v>771</v>
      </c>
      <c r="B235" s="4" t="s">
        <v>772</v>
      </c>
      <c r="C235" s="6">
        <v>1</v>
      </c>
      <c r="D235" s="4" t="s">
        <v>31</v>
      </c>
      <c r="E235" s="6">
        <v>68</v>
      </c>
      <c r="F235" s="6">
        <v>9</v>
      </c>
      <c r="G235" s="6">
        <v>1</v>
      </c>
      <c r="H235" s="6">
        <v>3</v>
      </c>
      <c r="I235" s="6">
        <v>9</v>
      </c>
      <c r="J235" s="6">
        <v>10</v>
      </c>
      <c r="K235" s="6">
        <v>0</v>
      </c>
      <c r="L235" s="6">
        <v>0</v>
      </c>
      <c r="M235" s="4" t="s">
        <v>773</v>
      </c>
      <c r="N235" s="2"/>
      <c r="O235" s="2"/>
      <c r="P235" s="2"/>
      <c r="Q235" s="2"/>
      <c r="R235" s="2"/>
      <c r="S235" s="2"/>
      <c r="T235" s="2"/>
      <c r="U235" s="2"/>
      <c r="V235" s="2"/>
      <c r="W235" s="2"/>
      <c r="X235" s="2"/>
      <c r="Y235" s="2"/>
      <c r="Z235" s="2"/>
    </row>
    <row r="236" spans="1:26" ht="19.5" customHeight="1">
      <c r="A236" s="4" t="s">
        <v>774</v>
      </c>
      <c r="B236" s="4" t="s">
        <v>775</v>
      </c>
      <c r="C236" s="6">
        <v>1</v>
      </c>
      <c r="D236" s="4" t="s">
        <v>599</v>
      </c>
      <c r="E236" s="6">
        <v>160</v>
      </c>
      <c r="F236" s="6">
        <v>15</v>
      </c>
      <c r="G236" s="6">
        <v>6</v>
      </c>
      <c r="H236" s="6">
        <v>13</v>
      </c>
      <c r="I236" s="6">
        <v>2</v>
      </c>
      <c r="J236" s="6">
        <v>230</v>
      </c>
      <c r="K236" s="6">
        <v>7</v>
      </c>
      <c r="L236" s="6">
        <v>0</v>
      </c>
      <c r="M236" s="4" t="s">
        <v>677</v>
      </c>
      <c r="N236" s="2"/>
      <c r="O236" s="2"/>
      <c r="P236" s="2"/>
      <c r="Q236" s="2"/>
      <c r="R236" s="2"/>
      <c r="S236" s="2"/>
      <c r="T236" s="2"/>
      <c r="U236" s="2"/>
      <c r="V236" s="2"/>
      <c r="W236" s="2"/>
      <c r="X236" s="2"/>
      <c r="Y236" s="2"/>
      <c r="Z236" s="2"/>
    </row>
    <row r="237" spans="1:26" ht="19.5" customHeight="1">
      <c r="A237" s="4" t="s">
        <v>776</v>
      </c>
      <c r="B237" s="4" t="s">
        <v>777</v>
      </c>
      <c r="C237" s="6">
        <v>1</v>
      </c>
      <c r="D237" s="4" t="s">
        <v>778</v>
      </c>
      <c r="E237" s="6">
        <v>270</v>
      </c>
      <c r="F237" s="6">
        <v>40</v>
      </c>
      <c r="G237" s="6">
        <v>15</v>
      </c>
      <c r="H237" s="6">
        <v>6</v>
      </c>
      <c r="I237" s="6">
        <v>4</v>
      </c>
      <c r="J237" s="6">
        <v>540</v>
      </c>
      <c r="K237" s="6">
        <v>1</v>
      </c>
      <c r="L237" s="6">
        <v>20</v>
      </c>
      <c r="M237" s="4" t="s">
        <v>779</v>
      </c>
      <c r="N237" s="2"/>
      <c r="O237" s="2"/>
      <c r="P237" s="2"/>
      <c r="Q237" s="2"/>
      <c r="R237" s="2"/>
      <c r="S237" s="2"/>
      <c r="T237" s="2"/>
      <c r="U237" s="2"/>
      <c r="V237" s="2"/>
      <c r="W237" s="2"/>
      <c r="X237" s="2"/>
      <c r="Y237" s="2"/>
      <c r="Z237" s="2"/>
    </row>
    <row r="238" spans="1:26" ht="19.5" customHeight="1">
      <c r="A238" s="4" t="s">
        <v>780</v>
      </c>
      <c r="B238" s="4" t="s">
        <v>781</v>
      </c>
      <c r="C238" s="7" t="s">
        <v>176</v>
      </c>
      <c r="D238" s="4" t="s">
        <v>617</v>
      </c>
      <c r="E238" s="6">
        <v>70</v>
      </c>
      <c r="F238" s="6">
        <v>10</v>
      </c>
      <c r="G238" s="6">
        <v>2</v>
      </c>
      <c r="H238" s="6">
        <v>2</v>
      </c>
      <c r="I238" s="6">
        <v>7</v>
      </c>
      <c r="J238" s="6">
        <v>10</v>
      </c>
      <c r="K238" s="6">
        <v>4</v>
      </c>
      <c r="L238" s="6">
        <v>0</v>
      </c>
      <c r="M238" s="4" t="s">
        <v>782</v>
      </c>
      <c r="N238" s="2"/>
      <c r="O238" s="2"/>
      <c r="P238" s="2"/>
      <c r="Q238" s="2"/>
      <c r="R238" s="2"/>
      <c r="S238" s="2"/>
      <c r="T238" s="2"/>
      <c r="U238" s="2"/>
      <c r="V238" s="2"/>
      <c r="W238" s="2"/>
      <c r="X238" s="2"/>
      <c r="Y238" s="2"/>
      <c r="Z238" s="2"/>
    </row>
    <row r="239" spans="1:26" ht="19.5" customHeight="1">
      <c r="A239" s="4" t="s">
        <v>783</v>
      </c>
      <c r="B239" s="4" t="s">
        <v>784</v>
      </c>
      <c r="C239" s="6">
        <v>1</v>
      </c>
      <c r="D239" s="4" t="s">
        <v>599</v>
      </c>
      <c r="E239" s="6">
        <v>100</v>
      </c>
      <c r="F239" s="6">
        <v>18</v>
      </c>
      <c r="G239" s="6">
        <v>1</v>
      </c>
      <c r="H239" s="6">
        <v>3</v>
      </c>
      <c r="I239" s="6">
        <v>10</v>
      </c>
      <c r="J239" s="6">
        <v>80</v>
      </c>
      <c r="K239" s="6">
        <v>0</v>
      </c>
      <c r="L239" s="6">
        <v>0</v>
      </c>
      <c r="M239" s="4" t="s">
        <v>785</v>
      </c>
      <c r="N239" s="2"/>
      <c r="O239" s="2"/>
      <c r="P239" s="2"/>
      <c r="Q239" s="2"/>
      <c r="R239" s="2"/>
      <c r="S239" s="2"/>
      <c r="T239" s="2"/>
      <c r="U239" s="2"/>
      <c r="V239" s="2"/>
      <c r="W239" s="2"/>
      <c r="X239" s="2"/>
      <c r="Y239" s="2"/>
      <c r="Z239" s="2"/>
    </row>
    <row r="240" spans="1:26" ht="19.5" customHeight="1">
      <c r="A240" s="4" t="s">
        <v>786</v>
      </c>
      <c r="B240" s="4" t="s">
        <v>787</v>
      </c>
      <c r="C240" s="6">
        <v>1</v>
      </c>
      <c r="D240" s="4" t="s">
        <v>606</v>
      </c>
      <c r="E240" s="6">
        <v>10</v>
      </c>
      <c r="F240" s="6">
        <v>3</v>
      </c>
      <c r="G240" s="6">
        <v>0</v>
      </c>
      <c r="H240" s="6">
        <v>0</v>
      </c>
      <c r="I240" s="6">
        <v>1</v>
      </c>
      <c r="J240" s="6">
        <v>0</v>
      </c>
      <c r="K240" s="6">
        <v>0</v>
      </c>
      <c r="L240" s="6">
        <v>0</v>
      </c>
      <c r="M240" s="4" t="s">
        <v>788</v>
      </c>
      <c r="N240" s="2"/>
      <c r="O240" s="2"/>
      <c r="P240" s="2"/>
      <c r="Q240" s="2"/>
      <c r="R240" s="2"/>
      <c r="S240" s="2"/>
      <c r="T240" s="2"/>
      <c r="U240" s="2"/>
      <c r="V240" s="2"/>
      <c r="W240" s="2"/>
      <c r="X240" s="2"/>
      <c r="Y240" s="2"/>
      <c r="Z240" s="2"/>
    </row>
    <row r="241" spans="1:26" ht="19.5" customHeight="1">
      <c r="A241" s="4" t="s">
        <v>789</v>
      </c>
      <c r="B241" s="4" t="s">
        <v>790</v>
      </c>
      <c r="C241" s="6">
        <v>1</v>
      </c>
      <c r="D241" s="4" t="s">
        <v>31</v>
      </c>
      <c r="E241" s="6">
        <v>50</v>
      </c>
      <c r="F241" s="6">
        <v>12</v>
      </c>
      <c r="G241" s="6">
        <v>0</v>
      </c>
      <c r="H241" s="6">
        <v>0</v>
      </c>
      <c r="I241" s="6">
        <v>12</v>
      </c>
      <c r="J241" s="6">
        <v>40</v>
      </c>
      <c r="K241" s="6">
        <v>0</v>
      </c>
      <c r="L241" s="6">
        <v>0</v>
      </c>
      <c r="M241" s="4" t="s">
        <v>791</v>
      </c>
      <c r="N241" s="2"/>
      <c r="O241" s="2"/>
      <c r="P241" s="2"/>
      <c r="Q241" s="2"/>
      <c r="R241" s="2"/>
      <c r="S241" s="2"/>
      <c r="T241" s="2"/>
      <c r="U241" s="2"/>
      <c r="V241" s="2"/>
      <c r="W241" s="2"/>
      <c r="X241" s="2"/>
      <c r="Y241" s="2"/>
      <c r="Z241" s="2"/>
    </row>
    <row r="242" spans="1:26" ht="19.5" customHeight="1">
      <c r="A242" s="4" t="s">
        <v>792</v>
      </c>
      <c r="B242" s="4" t="s">
        <v>793</v>
      </c>
      <c r="C242" s="7" t="s">
        <v>176</v>
      </c>
      <c r="D242" s="4" t="s">
        <v>31</v>
      </c>
      <c r="E242" s="6">
        <v>10</v>
      </c>
      <c r="F242" s="6">
        <v>1</v>
      </c>
      <c r="G242" s="6">
        <v>0</v>
      </c>
      <c r="H242" s="6">
        <v>0</v>
      </c>
      <c r="I242" s="6">
        <v>1</v>
      </c>
      <c r="J242" s="6">
        <v>60</v>
      </c>
      <c r="K242" s="6">
        <v>0</v>
      </c>
      <c r="L242" s="6">
        <v>0</v>
      </c>
      <c r="M242" s="4" t="s">
        <v>794</v>
      </c>
      <c r="N242" s="2"/>
      <c r="O242" s="2"/>
      <c r="P242" s="2"/>
      <c r="Q242" s="2"/>
      <c r="R242" s="2"/>
      <c r="S242" s="2"/>
      <c r="T242" s="2"/>
      <c r="U242" s="2"/>
      <c r="V242" s="2"/>
      <c r="W242" s="2"/>
      <c r="X242" s="2"/>
      <c r="Y242" s="2"/>
      <c r="Z242" s="2"/>
    </row>
    <row r="243" spans="1:26" ht="19.5" customHeight="1">
      <c r="A243" s="4" t="s">
        <v>795</v>
      </c>
      <c r="B243" s="4" t="s">
        <v>796</v>
      </c>
      <c r="C243" s="6">
        <v>1</v>
      </c>
      <c r="D243" s="4" t="s">
        <v>31</v>
      </c>
      <c r="E243" s="6">
        <v>10</v>
      </c>
      <c r="F243" s="6">
        <v>2</v>
      </c>
      <c r="G243" s="6">
        <v>0</v>
      </c>
      <c r="H243" s="6">
        <v>0</v>
      </c>
      <c r="I243" s="6">
        <v>1</v>
      </c>
      <c r="J243" s="6">
        <v>480</v>
      </c>
      <c r="K243" s="6">
        <v>0</v>
      </c>
      <c r="L243" s="6">
        <v>0</v>
      </c>
      <c r="M243" s="4" t="s">
        <v>797</v>
      </c>
      <c r="N243" s="2"/>
      <c r="O243" s="2"/>
      <c r="P243" s="2"/>
      <c r="Q243" s="2"/>
      <c r="R243" s="2"/>
      <c r="S243" s="2"/>
      <c r="T243" s="2"/>
      <c r="U243" s="2"/>
      <c r="V243" s="2"/>
      <c r="W243" s="2"/>
      <c r="X243" s="2"/>
      <c r="Y243" s="2"/>
      <c r="Z243" s="2"/>
    </row>
    <row r="244" spans="1:26" ht="19.5" customHeight="1">
      <c r="A244" s="4" t="s">
        <v>798</v>
      </c>
      <c r="B244" s="4" t="s">
        <v>799</v>
      </c>
      <c r="C244" s="7" t="s">
        <v>176</v>
      </c>
      <c r="D244" s="4" t="s">
        <v>205</v>
      </c>
      <c r="E244" s="6">
        <v>170</v>
      </c>
      <c r="F244" s="6">
        <v>2</v>
      </c>
      <c r="G244" s="6">
        <v>11</v>
      </c>
      <c r="H244" s="6">
        <v>14</v>
      </c>
      <c r="I244" s="6">
        <v>1</v>
      </c>
      <c r="J244" s="6">
        <v>350</v>
      </c>
      <c r="K244" s="6">
        <v>1</v>
      </c>
      <c r="L244" s="6">
        <v>45</v>
      </c>
      <c r="M244" s="4" t="s">
        <v>800</v>
      </c>
      <c r="N244" s="2"/>
      <c r="O244" s="2"/>
      <c r="P244" s="2"/>
      <c r="Q244" s="2"/>
      <c r="R244" s="2"/>
      <c r="S244" s="2"/>
      <c r="T244" s="2"/>
      <c r="U244" s="2"/>
      <c r="V244" s="2"/>
      <c r="W244" s="2"/>
      <c r="X244" s="2"/>
      <c r="Y244" s="2"/>
      <c r="Z244" s="2"/>
    </row>
    <row r="245" spans="1:26" ht="19.5" customHeight="1">
      <c r="A245" s="4" t="s">
        <v>801</v>
      </c>
      <c r="B245" s="4" t="s">
        <v>802</v>
      </c>
      <c r="C245" s="6">
        <v>1</v>
      </c>
      <c r="D245" s="4" t="s">
        <v>628</v>
      </c>
      <c r="E245" s="6">
        <v>260</v>
      </c>
      <c r="F245" s="6">
        <v>5</v>
      </c>
      <c r="G245" s="6">
        <v>20</v>
      </c>
      <c r="H245" s="6">
        <v>18</v>
      </c>
      <c r="I245" s="6">
        <v>0</v>
      </c>
      <c r="J245" s="6">
        <v>350</v>
      </c>
      <c r="K245" s="6">
        <v>2</v>
      </c>
      <c r="L245" s="7" t="s">
        <v>18</v>
      </c>
      <c r="M245" s="4" t="s">
        <v>803</v>
      </c>
      <c r="N245" s="2"/>
      <c r="O245" s="2"/>
      <c r="P245" s="2"/>
      <c r="Q245" s="2"/>
      <c r="R245" s="2"/>
      <c r="S245" s="2"/>
      <c r="T245" s="2"/>
      <c r="U245" s="2"/>
      <c r="V245" s="2"/>
      <c r="W245" s="2"/>
      <c r="X245" s="2"/>
      <c r="Y245" s="2"/>
      <c r="Z245" s="2"/>
    </row>
    <row r="246" spans="1:26" ht="19.5" customHeight="1">
      <c r="A246" s="4" t="s">
        <v>804</v>
      </c>
      <c r="B246" s="4" t="s">
        <v>805</v>
      </c>
      <c r="C246" s="6">
        <v>1</v>
      </c>
      <c r="D246" s="4" t="s">
        <v>599</v>
      </c>
      <c r="E246" s="6">
        <v>220</v>
      </c>
      <c r="F246" s="6">
        <v>14</v>
      </c>
      <c r="G246" s="6">
        <v>12</v>
      </c>
      <c r="H246" s="6">
        <v>15</v>
      </c>
      <c r="I246" s="6">
        <v>2</v>
      </c>
      <c r="J246" s="6">
        <v>110</v>
      </c>
      <c r="K246" s="6">
        <v>5</v>
      </c>
      <c r="L246" s="7" t="s">
        <v>18</v>
      </c>
      <c r="M246" s="4" t="s">
        <v>806</v>
      </c>
      <c r="N246" s="2"/>
      <c r="O246" s="2"/>
      <c r="P246" s="2"/>
      <c r="Q246" s="2"/>
      <c r="R246" s="2"/>
      <c r="S246" s="2"/>
      <c r="T246" s="2"/>
      <c r="U246" s="2"/>
      <c r="V246" s="2"/>
      <c r="W246" s="2"/>
      <c r="X246" s="2"/>
      <c r="Y246" s="2"/>
      <c r="Z246" s="2"/>
    </row>
    <row r="247" spans="1:26" ht="19.5" customHeight="1">
      <c r="A247" s="4" t="s">
        <v>807</v>
      </c>
      <c r="B247" s="4" t="s">
        <v>808</v>
      </c>
      <c r="C247" s="7" t="s">
        <v>176</v>
      </c>
      <c r="D247" s="4" t="s">
        <v>205</v>
      </c>
      <c r="E247" s="6">
        <v>170</v>
      </c>
      <c r="F247" s="6">
        <v>1</v>
      </c>
      <c r="G247" s="6">
        <v>11</v>
      </c>
      <c r="H247" s="6">
        <v>14</v>
      </c>
      <c r="I247" s="6">
        <v>0</v>
      </c>
      <c r="J247" s="6">
        <v>390</v>
      </c>
      <c r="K247" s="6">
        <v>0</v>
      </c>
      <c r="L247" s="6">
        <v>40</v>
      </c>
      <c r="M247" s="4" t="s">
        <v>809</v>
      </c>
      <c r="N247" s="2"/>
      <c r="O247" s="2"/>
      <c r="P247" s="2"/>
      <c r="Q247" s="2"/>
      <c r="R247" s="2"/>
      <c r="S247" s="2"/>
      <c r="T247" s="2"/>
      <c r="U247" s="2"/>
      <c r="V247" s="2"/>
      <c r="W247" s="2"/>
      <c r="X247" s="2"/>
      <c r="Y247" s="2"/>
      <c r="Z247" s="2"/>
    </row>
    <row r="248" spans="1:26" ht="19.5" customHeight="1">
      <c r="A248" s="4" t="s">
        <v>810</v>
      </c>
      <c r="B248" s="4" t="s">
        <v>811</v>
      </c>
      <c r="C248" s="6">
        <v>1</v>
      </c>
      <c r="D248" s="4" t="s">
        <v>205</v>
      </c>
      <c r="E248" s="6">
        <v>170</v>
      </c>
      <c r="F248" s="6">
        <v>2</v>
      </c>
      <c r="G248" s="6">
        <v>10</v>
      </c>
      <c r="H248" s="6">
        <v>14</v>
      </c>
      <c r="I248" s="6">
        <v>0</v>
      </c>
      <c r="J248" s="6">
        <v>360</v>
      </c>
      <c r="K248" s="6">
        <v>0</v>
      </c>
      <c r="L248" s="6">
        <v>40</v>
      </c>
      <c r="M248" s="4" t="s">
        <v>812</v>
      </c>
      <c r="N248" s="2"/>
      <c r="O248" s="2"/>
      <c r="P248" s="2"/>
      <c r="Q248" s="2"/>
      <c r="R248" s="2"/>
      <c r="S248" s="2"/>
      <c r="T248" s="2"/>
      <c r="U248" s="2"/>
      <c r="V248" s="2"/>
      <c r="W248" s="2"/>
      <c r="X248" s="2"/>
      <c r="Y248" s="2"/>
      <c r="Z248" s="2"/>
    </row>
    <row r="249" spans="1:26" ht="19.5" customHeight="1">
      <c r="A249" s="4" t="s">
        <v>813</v>
      </c>
      <c r="B249" s="4" t="s">
        <v>814</v>
      </c>
      <c r="C249" s="7" t="s">
        <v>176</v>
      </c>
      <c r="D249" s="4" t="s">
        <v>205</v>
      </c>
      <c r="E249" s="6">
        <v>170</v>
      </c>
      <c r="F249" s="6">
        <v>2</v>
      </c>
      <c r="G249" s="6">
        <v>11</v>
      </c>
      <c r="H249" s="6">
        <v>13</v>
      </c>
      <c r="I249" s="6">
        <v>0</v>
      </c>
      <c r="J249" s="6">
        <v>390</v>
      </c>
      <c r="K249" s="6">
        <v>0</v>
      </c>
      <c r="L249" s="6">
        <v>40</v>
      </c>
      <c r="M249" s="4" t="s">
        <v>815</v>
      </c>
      <c r="N249" s="2"/>
      <c r="O249" s="2"/>
      <c r="P249" s="2"/>
      <c r="Q249" s="2"/>
      <c r="R249" s="2"/>
      <c r="S249" s="2"/>
      <c r="T249" s="2"/>
      <c r="U249" s="2"/>
      <c r="V249" s="2"/>
      <c r="W249" s="2"/>
      <c r="X249" s="2"/>
      <c r="Y249" s="2"/>
      <c r="Z249" s="2"/>
    </row>
    <row r="250" spans="1:26" ht="19.5" customHeight="1">
      <c r="A250" s="4" t="s">
        <v>816</v>
      </c>
      <c r="B250" s="4" t="s">
        <v>817</v>
      </c>
      <c r="C250" s="6">
        <v>1</v>
      </c>
      <c r="D250" s="4" t="s">
        <v>205</v>
      </c>
      <c r="E250" s="6">
        <v>160</v>
      </c>
      <c r="F250" s="6">
        <v>1</v>
      </c>
      <c r="G250" s="6">
        <v>12</v>
      </c>
      <c r="H250" s="6">
        <v>12</v>
      </c>
      <c r="I250" s="6">
        <v>0</v>
      </c>
      <c r="J250" s="6">
        <v>310</v>
      </c>
      <c r="K250" s="6">
        <v>0</v>
      </c>
      <c r="L250" s="6">
        <v>40</v>
      </c>
      <c r="M250" s="4" t="s">
        <v>818</v>
      </c>
      <c r="N250" s="2"/>
      <c r="O250" s="2"/>
      <c r="P250" s="2"/>
      <c r="Q250" s="2"/>
      <c r="R250" s="2"/>
      <c r="S250" s="2"/>
      <c r="T250" s="2"/>
      <c r="U250" s="2"/>
      <c r="V250" s="2"/>
      <c r="W250" s="2"/>
      <c r="X250" s="2"/>
      <c r="Y250" s="2"/>
      <c r="Z250" s="2"/>
    </row>
    <row r="251" spans="1:26" ht="19.5" customHeight="1">
      <c r="A251" s="4" t="s">
        <v>819</v>
      </c>
      <c r="B251" s="4" t="s">
        <v>820</v>
      </c>
      <c r="C251" s="6">
        <v>1</v>
      </c>
      <c r="D251" s="4" t="s">
        <v>31</v>
      </c>
      <c r="E251" s="6">
        <v>20</v>
      </c>
      <c r="F251" s="6">
        <v>4</v>
      </c>
      <c r="G251" s="6">
        <v>0</v>
      </c>
      <c r="H251" s="6">
        <v>0</v>
      </c>
      <c r="I251" s="6">
        <v>3</v>
      </c>
      <c r="J251" s="6">
        <v>690</v>
      </c>
      <c r="K251" s="6">
        <v>0</v>
      </c>
      <c r="L251" s="7" t="s">
        <v>18</v>
      </c>
      <c r="M251" s="4" t="s">
        <v>821</v>
      </c>
      <c r="N251" s="2"/>
      <c r="O251" s="2"/>
      <c r="P251" s="2"/>
      <c r="Q251" s="2"/>
      <c r="R251" s="2"/>
      <c r="S251" s="2"/>
      <c r="T251" s="2"/>
      <c r="U251" s="2"/>
      <c r="V251" s="2"/>
      <c r="W251" s="2"/>
      <c r="X251" s="2"/>
      <c r="Y251" s="2"/>
      <c r="Z251" s="2"/>
    </row>
    <row r="252" spans="1:26" ht="19.5" customHeight="1">
      <c r="A252" s="4" t="s">
        <v>822</v>
      </c>
      <c r="B252" s="4" t="s">
        <v>823</v>
      </c>
      <c r="C252" s="6">
        <v>1</v>
      </c>
      <c r="D252" s="4" t="s">
        <v>76</v>
      </c>
      <c r="E252" s="6">
        <v>0</v>
      </c>
      <c r="F252" s="6">
        <v>0</v>
      </c>
      <c r="G252" s="6">
        <v>0</v>
      </c>
      <c r="H252" s="6">
        <v>0</v>
      </c>
      <c r="I252" s="6">
        <v>0</v>
      </c>
      <c r="J252" s="6">
        <v>90</v>
      </c>
      <c r="K252" s="6">
        <v>0</v>
      </c>
      <c r="L252" s="6">
        <v>0</v>
      </c>
      <c r="M252" s="4" t="s">
        <v>824</v>
      </c>
      <c r="N252" s="2"/>
      <c r="O252" s="2"/>
      <c r="P252" s="2"/>
      <c r="Q252" s="2"/>
      <c r="R252" s="2"/>
      <c r="S252" s="2"/>
      <c r="T252" s="2"/>
      <c r="U252" s="2"/>
      <c r="V252" s="2"/>
      <c r="W252" s="2"/>
      <c r="X252" s="2"/>
      <c r="Y252" s="2"/>
      <c r="Z252" s="2"/>
    </row>
    <row r="253" spans="1:26" ht="19.5" customHeight="1">
      <c r="A253" s="4" t="s">
        <v>825</v>
      </c>
      <c r="B253" s="4" t="s">
        <v>826</v>
      </c>
      <c r="C253" s="7" t="s">
        <v>176</v>
      </c>
      <c r="D253" s="4" t="s">
        <v>31</v>
      </c>
      <c r="E253" s="6">
        <v>25</v>
      </c>
      <c r="F253" s="6">
        <v>1</v>
      </c>
      <c r="G253" s="6">
        <v>0</v>
      </c>
      <c r="H253" s="6">
        <v>2</v>
      </c>
      <c r="I253" s="6">
        <v>0</v>
      </c>
      <c r="J253" s="6">
        <v>23</v>
      </c>
      <c r="K253" s="6">
        <v>0</v>
      </c>
      <c r="L253" s="6">
        <v>0</v>
      </c>
      <c r="M253" s="4" t="s">
        <v>827</v>
      </c>
      <c r="N253" s="2"/>
      <c r="O253" s="2"/>
      <c r="P253" s="2"/>
      <c r="Q253" s="2"/>
      <c r="R253" s="2"/>
      <c r="S253" s="2"/>
      <c r="T253" s="2"/>
      <c r="U253" s="2"/>
      <c r="V253" s="2"/>
      <c r="W253" s="2"/>
      <c r="X253" s="2"/>
      <c r="Y253" s="2"/>
      <c r="Z253" s="2"/>
    </row>
    <row r="254" spans="1:26" ht="19.5" customHeight="1">
      <c r="A254" s="4" t="s">
        <v>828</v>
      </c>
      <c r="B254" s="4" t="s">
        <v>829</v>
      </c>
      <c r="C254" s="6">
        <v>1</v>
      </c>
      <c r="D254" s="4" t="s">
        <v>31</v>
      </c>
      <c r="E254" s="6">
        <v>34</v>
      </c>
      <c r="F254" s="6">
        <v>8</v>
      </c>
      <c r="G254" s="6">
        <v>0</v>
      </c>
      <c r="H254" s="6">
        <v>0</v>
      </c>
      <c r="I254" s="6">
        <v>7.5</v>
      </c>
      <c r="J254" s="6">
        <v>550</v>
      </c>
      <c r="K254" s="6">
        <v>0</v>
      </c>
      <c r="L254" s="6">
        <v>0</v>
      </c>
      <c r="M254" s="4" t="s">
        <v>830</v>
      </c>
      <c r="N254" s="2"/>
      <c r="O254" s="2"/>
      <c r="P254" s="2"/>
      <c r="Q254" s="2"/>
      <c r="R254" s="2"/>
      <c r="S254" s="2"/>
      <c r="T254" s="2"/>
      <c r="U254" s="2"/>
      <c r="V254" s="2"/>
      <c r="W254" s="2"/>
      <c r="X254" s="2"/>
      <c r="Y254" s="2"/>
      <c r="Z254" s="2"/>
    </row>
    <row r="255" spans="1:26" ht="19.5" customHeight="1">
      <c r="A255" s="4" t="s">
        <v>831</v>
      </c>
      <c r="B255" s="4" t="s">
        <v>832</v>
      </c>
      <c r="C255" s="7" t="s">
        <v>176</v>
      </c>
      <c r="D255" s="4" t="s">
        <v>554</v>
      </c>
      <c r="E255" s="6">
        <v>15</v>
      </c>
      <c r="F255" s="6">
        <v>4</v>
      </c>
      <c r="G255" s="6">
        <v>0</v>
      </c>
      <c r="H255" s="6">
        <v>0</v>
      </c>
      <c r="I255" s="6">
        <v>4</v>
      </c>
      <c r="J255" s="6">
        <v>0</v>
      </c>
      <c r="K255" s="6">
        <v>0</v>
      </c>
      <c r="L255" s="6">
        <v>0</v>
      </c>
      <c r="M255" s="4" t="s">
        <v>833</v>
      </c>
      <c r="N255" s="2"/>
      <c r="O255" s="2"/>
      <c r="P255" s="2"/>
      <c r="Q255" s="2"/>
      <c r="R255" s="2"/>
      <c r="S255" s="2"/>
      <c r="T255" s="2"/>
      <c r="U255" s="2"/>
      <c r="V255" s="2"/>
      <c r="W255" s="2"/>
      <c r="X255" s="2"/>
      <c r="Y255" s="2"/>
      <c r="Z255" s="2"/>
    </row>
    <row r="256" spans="1:26" ht="19.5" customHeight="1">
      <c r="A256" s="4" t="s">
        <v>834</v>
      </c>
      <c r="B256" s="4" t="s">
        <v>835</v>
      </c>
      <c r="C256" s="7" t="s">
        <v>176</v>
      </c>
      <c r="D256" s="4" t="s">
        <v>599</v>
      </c>
      <c r="E256" s="6">
        <v>298</v>
      </c>
      <c r="F256" s="6">
        <v>32</v>
      </c>
      <c r="G256" s="6">
        <v>9</v>
      </c>
      <c r="H256" s="6">
        <v>17</v>
      </c>
      <c r="I256" s="6">
        <v>18</v>
      </c>
      <c r="J256" s="6">
        <v>17</v>
      </c>
      <c r="K256" s="6">
        <v>6</v>
      </c>
      <c r="L256" s="6">
        <v>0</v>
      </c>
      <c r="M256" s="4" t="s">
        <v>836</v>
      </c>
      <c r="N256" s="2"/>
      <c r="O256" s="2"/>
      <c r="P256" s="2"/>
      <c r="Q256" s="2"/>
      <c r="R256" s="2"/>
      <c r="S256" s="2"/>
      <c r="T256" s="2"/>
      <c r="U256" s="2"/>
      <c r="V256" s="2"/>
      <c r="W256" s="2"/>
      <c r="X256" s="2"/>
      <c r="Y256" s="2"/>
      <c r="Z256" s="2"/>
    </row>
    <row r="257" spans="1:26" ht="19.5" customHeight="1">
      <c r="A257" s="4" t="s">
        <v>837</v>
      </c>
      <c r="B257" s="4" t="s">
        <v>838</v>
      </c>
      <c r="C257" s="6">
        <v>1</v>
      </c>
      <c r="D257" s="4" t="s">
        <v>599</v>
      </c>
      <c r="E257" s="6">
        <v>249</v>
      </c>
      <c r="F257" s="6">
        <v>29</v>
      </c>
      <c r="G257" s="6">
        <v>8</v>
      </c>
      <c r="H257" s="6">
        <v>13</v>
      </c>
      <c r="I257" s="6">
        <v>14</v>
      </c>
      <c r="J257" s="6">
        <v>17</v>
      </c>
      <c r="K257" s="6">
        <v>5</v>
      </c>
      <c r="L257" s="6">
        <v>0</v>
      </c>
      <c r="M257" s="4" t="s">
        <v>839</v>
      </c>
      <c r="N257" s="2"/>
      <c r="O257" s="2"/>
      <c r="P257" s="2"/>
      <c r="Q257" s="2"/>
      <c r="R257" s="2"/>
      <c r="S257" s="2"/>
      <c r="T257" s="2"/>
      <c r="U257" s="2"/>
      <c r="V257" s="2"/>
      <c r="W257" s="2"/>
      <c r="X257" s="2"/>
      <c r="Y257" s="2"/>
      <c r="Z257" s="2"/>
    </row>
    <row r="258" spans="1:26" ht="19.5" customHeight="1">
      <c r="A258" s="4" t="s">
        <v>840</v>
      </c>
      <c r="B258" s="4" t="s">
        <v>841</v>
      </c>
      <c r="C258" s="6">
        <v>1</v>
      </c>
      <c r="D258" s="4" t="s">
        <v>842</v>
      </c>
      <c r="E258" s="6">
        <v>100</v>
      </c>
      <c r="F258" s="6">
        <v>12.6</v>
      </c>
      <c r="G258" s="6">
        <v>3</v>
      </c>
      <c r="H258" s="6">
        <v>4.9000000000000004</v>
      </c>
      <c r="I258" s="6">
        <v>5.7</v>
      </c>
      <c r="J258" s="6">
        <v>6</v>
      </c>
      <c r="K258" s="6">
        <v>2.1</v>
      </c>
      <c r="L258" s="6">
        <v>0</v>
      </c>
      <c r="M258" s="4" t="s">
        <v>839</v>
      </c>
      <c r="N258" s="2"/>
      <c r="O258" s="2"/>
      <c r="P258" s="2"/>
      <c r="Q258" s="2"/>
      <c r="R258" s="2"/>
      <c r="S258" s="2"/>
      <c r="T258" s="2"/>
      <c r="U258" s="2"/>
      <c r="V258" s="2"/>
      <c r="W258" s="2"/>
      <c r="X258" s="2"/>
      <c r="Y258" s="2"/>
      <c r="Z258" s="2"/>
    </row>
    <row r="259" spans="1:26" ht="19.5" customHeight="1">
      <c r="A259" s="4" t="s">
        <v>843</v>
      </c>
      <c r="B259" s="4" t="s">
        <v>844</v>
      </c>
      <c r="C259" s="6">
        <v>1</v>
      </c>
      <c r="D259" s="4" t="s">
        <v>842</v>
      </c>
      <c r="E259" s="6">
        <v>120</v>
      </c>
      <c r="F259" s="6">
        <v>13.8</v>
      </c>
      <c r="G259" s="6">
        <v>3.2</v>
      </c>
      <c r="H259" s="6">
        <v>6.4</v>
      </c>
      <c r="I259" s="6">
        <v>6.6</v>
      </c>
      <c r="J259" s="6">
        <v>6</v>
      </c>
      <c r="K259" s="6">
        <v>2.2999999999999998</v>
      </c>
      <c r="L259" s="6">
        <v>0</v>
      </c>
      <c r="M259" s="4" t="s">
        <v>836</v>
      </c>
      <c r="N259" s="2"/>
      <c r="O259" s="2"/>
      <c r="P259" s="2"/>
      <c r="Q259" s="2"/>
      <c r="R259" s="2"/>
      <c r="S259" s="2"/>
      <c r="T259" s="2"/>
      <c r="U259" s="2"/>
      <c r="V259" s="2"/>
      <c r="W259" s="2"/>
      <c r="X259" s="2"/>
      <c r="Y259" s="2"/>
      <c r="Z259" s="2"/>
    </row>
    <row r="260" spans="1:26" ht="19.5" customHeight="1">
      <c r="A260" s="4" t="s">
        <v>845</v>
      </c>
      <c r="B260" s="4" t="s">
        <v>846</v>
      </c>
      <c r="C260" s="6">
        <v>1</v>
      </c>
      <c r="D260" s="4" t="s">
        <v>17</v>
      </c>
      <c r="E260" s="6">
        <v>290</v>
      </c>
      <c r="F260" s="6">
        <v>25</v>
      </c>
      <c r="G260" s="6">
        <v>11</v>
      </c>
      <c r="H260" s="6">
        <v>16</v>
      </c>
      <c r="I260" s="6">
        <v>14</v>
      </c>
      <c r="J260" s="6">
        <v>940</v>
      </c>
      <c r="K260" s="6">
        <v>6</v>
      </c>
      <c r="L260" s="6">
        <v>0</v>
      </c>
      <c r="M260" s="4" t="s">
        <v>847</v>
      </c>
      <c r="N260" s="2"/>
      <c r="O260" s="2"/>
      <c r="P260" s="2"/>
      <c r="Q260" s="2"/>
      <c r="R260" s="2"/>
      <c r="S260" s="2"/>
      <c r="T260" s="2"/>
      <c r="U260" s="2"/>
      <c r="V260" s="2"/>
      <c r="W260" s="2"/>
      <c r="X260" s="2"/>
      <c r="Y260" s="2"/>
      <c r="Z260" s="2"/>
    </row>
    <row r="261" spans="1:26" ht="19.5" customHeight="1">
      <c r="A261" s="4" t="s">
        <v>848</v>
      </c>
      <c r="B261" s="4" t="s">
        <v>849</v>
      </c>
      <c r="C261" s="6">
        <v>1</v>
      </c>
      <c r="D261" s="4" t="s">
        <v>850</v>
      </c>
      <c r="E261" s="6">
        <v>0</v>
      </c>
      <c r="F261" s="6">
        <v>0</v>
      </c>
      <c r="G261" s="6">
        <v>0</v>
      </c>
      <c r="H261" s="6">
        <v>0</v>
      </c>
      <c r="I261" s="6">
        <v>0</v>
      </c>
      <c r="J261" s="6">
        <v>0</v>
      </c>
      <c r="K261" s="6">
        <v>0</v>
      </c>
      <c r="L261" s="6">
        <v>0</v>
      </c>
      <c r="M261" s="4" t="s">
        <v>851</v>
      </c>
      <c r="N261" s="2"/>
      <c r="O261" s="2"/>
      <c r="P261" s="2"/>
      <c r="Q261" s="2"/>
      <c r="R261" s="2"/>
      <c r="S261" s="2"/>
      <c r="T261" s="2"/>
      <c r="U261" s="2"/>
      <c r="V261" s="2"/>
      <c r="W261" s="2"/>
      <c r="X261" s="2"/>
      <c r="Y261" s="2"/>
      <c r="Z261" s="2"/>
    </row>
    <row r="262" spans="1:26" ht="19.5" customHeight="1">
      <c r="A262" s="9" t="s">
        <v>852</v>
      </c>
      <c r="B262" s="10" t="s">
        <v>853</v>
      </c>
      <c r="C262" s="6">
        <v>1</v>
      </c>
      <c r="D262" s="4" t="s">
        <v>854</v>
      </c>
      <c r="E262" s="6">
        <v>90</v>
      </c>
      <c r="F262" s="6">
        <v>19</v>
      </c>
      <c r="G262" s="6">
        <v>2</v>
      </c>
      <c r="H262" s="6">
        <v>0</v>
      </c>
      <c r="I262" s="6">
        <v>4</v>
      </c>
      <c r="J262" s="6">
        <v>230</v>
      </c>
      <c r="K262" s="6">
        <v>0</v>
      </c>
      <c r="L262" s="6">
        <v>0</v>
      </c>
      <c r="M262" s="4" t="s">
        <v>855</v>
      </c>
      <c r="N262" s="2"/>
      <c r="O262" s="2"/>
      <c r="P262" s="2"/>
      <c r="Q262" s="2"/>
      <c r="R262" s="2"/>
      <c r="S262" s="2"/>
      <c r="T262" s="2"/>
      <c r="U262" s="2"/>
      <c r="V262" s="2"/>
      <c r="W262" s="2"/>
      <c r="X262" s="2"/>
      <c r="Y262" s="2"/>
      <c r="Z262" s="2"/>
    </row>
    <row r="263" spans="1:26" ht="19.5" customHeight="1">
      <c r="A263" s="4" t="s">
        <v>856</v>
      </c>
      <c r="B263" s="4" t="s">
        <v>857</v>
      </c>
      <c r="C263" s="6">
        <v>1</v>
      </c>
      <c r="D263" s="4" t="s">
        <v>554</v>
      </c>
      <c r="E263" s="6">
        <v>15</v>
      </c>
      <c r="F263" s="6">
        <v>0</v>
      </c>
      <c r="G263" s="6">
        <v>0</v>
      </c>
      <c r="H263" s="6">
        <v>0</v>
      </c>
      <c r="I263" s="6">
        <v>0</v>
      </c>
      <c r="J263" s="6">
        <v>590</v>
      </c>
      <c r="K263" s="6">
        <v>0</v>
      </c>
      <c r="L263" s="6">
        <v>0</v>
      </c>
      <c r="M263" s="4" t="s">
        <v>858</v>
      </c>
      <c r="N263" s="2"/>
      <c r="O263" s="2"/>
      <c r="P263" s="2"/>
      <c r="Q263" s="2"/>
      <c r="R263" s="2"/>
      <c r="S263" s="2"/>
      <c r="T263" s="2"/>
      <c r="U263" s="2"/>
      <c r="V263" s="2"/>
      <c r="W263" s="2"/>
      <c r="X263" s="2"/>
      <c r="Y263" s="2"/>
      <c r="Z263" s="2"/>
    </row>
    <row r="264" spans="1:26" ht="43.5" customHeight="1">
      <c r="A264" s="4" t="s">
        <v>859</v>
      </c>
      <c r="B264" s="4" t="s">
        <v>860</v>
      </c>
      <c r="C264" s="7" t="s">
        <v>176</v>
      </c>
      <c r="D264" s="4" t="s">
        <v>624</v>
      </c>
      <c r="E264" s="6">
        <v>180</v>
      </c>
      <c r="F264" s="6">
        <v>19</v>
      </c>
      <c r="G264" s="6">
        <v>5</v>
      </c>
      <c r="H264" s="6">
        <v>13</v>
      </c>
      <c r="I264" s="6">
        <v>0.5</v>
      </c>
      <c r="J264" s="6">
        <v>260</v>
      </c>
      <c r="K264" s="6">
        <v>4</v>
      </c>
      <c r="L264" s="6">
        <v>70</v>
      </c>
      <c r="M264" s="4" t="s">
        <v>644</v>
      </c>
      <c r="N264" s="2"/>
      <c r="O264" s="2"/>
      <c r="P264" s="2"/>
      <c r="Q264" s="2"/>
      <c r="R264" s="2"/>
      <c r="S264" s="2"/>
      <c r="T264" s="2"/>
      <c r="U264" s="2"/>
      <c r="V264" s="2"/>
      <c r="W264" s="2"/>
      <c r="X264" s="2"/>
      <c r="Y264" s="2"/>
      <c r="Z264" s="2"/>
    </row>
    <row r="265" spans="1:26" ht="19.5" customHeight="1">
      <c r="A265" s="4" t="s">
        <v>861</v>
      </c>
      <c r="B265" s="4" t="s">
        <v>862</v>
      </c>
      <c r="C265" s="6">
        <v>1</v>
      </c>
      <c r="D265" s="4" t="s">
        <v>624</v>
      </c>
      <c r="E265" s="6">
        <v>180</v>
      </c>
      <c r="F265" s="6">
        <v>17</v>
      </c>
      <c r="G265" s="6">
        <v>5</v>
      </c>
      <c r="H265" s="6">
        <v>14</v>
      </c>
      <c r="I265" s="6">
        <v>1</v>
      </c>
      <c r="J265" s="6">
        <v>290</v>
      </c>
      <c r="K265" s="6">
        <v>4</v>
      </c>
      <c r="L265" s="6">
        <v>65</v>
      </c>
      <c r="M265" s="4" t="s">
        <v>706</v>
      </c>
      <c r="N265" s="2"/>
      <c r="O265" s="2"/>
      <c r="P265" s="2"/>
      <c r="Q265" s="2"/>
      <c r="R265" s="2"/>
      <c r="S265" s="2"/>
      <c r="T265" s="2"/>
      <c r="U265" s="2"/>
      <c r="V265" s="2"/>
      <c r="W265" s="2"/>
      <c r="X265" s="2"/>
      <c r="Y265" s="2"/>
      <c r="Z265" s="2"/>
    </row>
    <row r="266" spans="1:26" ht="19.5" customHeight="1">
      <c r="A266" s="4" t="s">
        <v>863</v>
      </c>
      <c r="B266" s="4" t="s">
        <v>864</v>
      </c>
      <c r="C266" s="6">
        <v>1</v>
      </c>
      <c r="D266" s="4" t="s">
        <v>624</v>
      </c>
      <c r="E266" s="6">
        <v>160</v>
      </c>
      <c r="F266" s="6">
        <v>18</v>
      </c>
      <c r="G266" s="6">
        <v>5</v>
      </c>
      <c r="H266" s="6">
        <v>12</v>
      </c>
      <c r="I266" s="6">
        <v>1</v>
      </c>
      <c r="J266" s="6">
        <v>280</v>
      </c>
      <c r="K266" s="6">
        <v>4</v>
      </c>
      <c r="L266" s="6">
        <v>70</v>
      </c>
      <c r="M266" s="4" t="s">
        <v>865</v>
      </c>
      <c r="N266" s="2"/>
      <c r="O266" s="2"/>
      <c r="P266" s="2"/>
      <c r="Q266" s="2"/>
      <c r="R266" s="2"/>
      <c r="S266" s="2"/>
      <c r="T266" s="2"/>
      <c r="U266" s="2"/>
      <c r="V266" s="2"/>
      <c r="W266" s="2"/>
      <c r="X266" s="2"/>
      <c r="Y266" s="2"/>
      <c r="Z266" s="2"/>
    </row>
    <row r="267" spans="1:26" ht="19.5" customHeight="1">
      <c r="A267" s="4" t="s">
        <v>866</v>
      </c>
      <c r="B267" s="4" t="s">
        <v>867</v>
      </c>
      <c r="C267" s="6">
        <v>1</v>
      </c>
      <c r="D267" s="4" t="s">
        <v>868</v>
      </c>
      <c r="E267" s="6">
        <v>90</v>
      </c>
      <c r="F267" s="6">
        <v>35</v>
      </c>
      <c r="G267" s="6">
        <v>3</v>
      </c>
      <c r="H267" s="6">
        <v>0</v>
      </c>
      <c r="I267" s="6">
        <v>3</v>
      </c>
      <c r="J267" s="6">
        <v>15</v>
      </c>
      <c r="K267" s="6">
        <v>28</v>
      </c>
      <c r="L267" s="6">
        <v>0</v>
      </c>
      <c r="M267" s="4" t="s">
        <v>869</v>
      </c>
      <c r="N267" s="2"/>
      <c r="O267" s="2"/>
      <c r="P267" s="2"/>
      <c r="Q267" s="2"/>
      <c r="R267" s="2"/>
      <c r="S267" s="2"/>
      <c r="T267" s="2"/>
      <c r="U267" s="2"/>
      <c r="V267" s="2"/>
      <c r="W267" s="2"/>
      <c r="X267" s="2"/>
      <c r="Y267" s="2"/>
      <c r="Z267" s="2"/>
    </row>
    <row r="268" spans="1:26" ht="19.5" customHeight="1">
      <c r="A268" s="4" t="s">
        <v>870</v>
      </c>
      <c r="B268" s="4" t="s">
        <v>871</v>
      </c>
      <c r="C268" s="6">
        <v>1</v>
      </c>
      <c r="D268" s="4" t="s">
        <v>599</v>
      </c>
      <c r="E268" s="6">
        <v>200</v>
      </c>
      <c r="F268" s="6">
        <v>21</v>
      </c>
      <c r="G268" s="6">
        <v>21</v>
      </c>
      <c r="H268" s="6">
        <v>8</v>
      </c>
      <c r="I268" s="6">
        <v>1</v>
      </c>
      <c r="J268" s="6">
        <v>280</v>
      </c>
      <c r="K268" s="6">
        <v>15</v>
      </c>
      <c r="L268" s="6">
        <v>5</v>
      </c>
      <c r="M268" s="4" t="s">
        <v>872</v>
      </c>
      <c r="N268" s="2"/>
      <c r="O268" s="2"/>
      <c r="P268" s="2"/>
      <c r="Q268" s="2"/>
      <c r="R268" s="2"/>
      <c r="S268" s="2"/>
      <c r="T268" s="2"/>
      <c r="U268" s="2"/>
      <c r="V268" s="2"/>
      <c r="W268" s="2"/>
      <c r="X268" s="2"/>
      <c r="Y268" s="2"/>
      <c r="Z268" s="2"/>
    </row>
    <row r="269" spans="1:26" ht="19.5" customHeight="1">
      <c r="A269" s="4" t="s">
        <v>873</v>
      </c>
      <c r="B269" s="4" t="s">
        <v>874</v>
      </c>
      <c r="C269" s="6">
        <v>1</v>
      </c>
      <c r="D269" s="4" t="s">
        <v>31</v>
      </c>
      <c r="E269" s="6">
        <v>15</v>
      </c>
      <c r="F269" s="6">
        <v>0</v>
      </c>
      <c r="G269" s="6">
        <v>4</v>
      </c>
      <c r="H269" s="6">
        <v>0</v>
      </c>
      <c r="I269" s="6">
        <v>0</v>
      </c>
      <c r="J269" s="6">
        <v>1490</v>
      </c>
      <c r="K269" s="6">
        <v>0</v>
      </c>
      <c r="L269" s="6">
        <v>0</v>
      </c>
      <c r="M269" s="4" t="s">
        <v>749</v>
      </c>
      <c r="N269" s="2"/>
      <c r="O269" s="2"/>
      <c r="P269" s="2"/>
      <c r="Q269" s="2"/>
      <c r="R269" s="2"/>
      <c r="S269" s="2"/>
      <c r="T269" s="2"/>
      <c r="U269" s="2"/>
      <c r="V269" s="2"/>
      <c r="W269" s="2"/>
      <c r="X269" s="2"/>
      <c r="Y269" s="2"/>
      <c r="Z269" s="2"/>
    </row>
    <row r="270" spans="1:26" ht="19.5" customHeight="1">
      <c r="A270" s="4" t="s">
        <v>875</v>
      </c>
      <c r="B270" s="4" t="s">
        <v>876</v>
      </c>
      <c r="C270" s="6">
        <v>1</v>
      </c>
      <c r="D270" s="4" t="s">
        <v>205</v>
      </c>
      <c r="E270" s="6">
        <v>130</v>
      </c>
      <c r="F270" s="6">
        <v>17</v>
      </c>
      <c r="G270" s="6">
        <v>4</v>
      </c>
      <c r="H270" s="6">
        <v>5</v>
      </c>
      <c r="I270" s="6">
        <v>3</v>
      </c>
      <c r="J270" s="6">
        <v>80</v>
      </c>
      <c r="K270" s="6">
        <v>3</v>
      </c>
      <c r="L270" s="6">
        <v>0</v>
      </c>
      <c r="M270" s="4" t="s">
        <v>877</v>
      </c>
      <c r="N270" s="2"/>
      <c r="O270" s="2"/>
      <c r="P270" s="2"/>
      <c r="Q270" s="2"/>
      <c r="R270" s="2"/>
      <c r="S270" s="2"/>
      <c r="T270" s="2"/>
      <c r="U270" s="2"/>
      <c r="V270" s="2"/>
      <c r="W270" s="2"/>
      <c r="X270" s="2"/>
      <c r="Y270" s="2"/>
      <c r="Z270" s="2"/>
    </row>
    <row r="271" spans="1:26" ht="19.5" customHeight="1">
      <c r="A271" s="4" t="s">
        <v>878</v>
      </c>
      <c r="B271" s="4" t="s">
        <v>879</v>
      </c>
      <c r="C271" s="6">
        <v>1</v>
      </c>
      <c r="D271" s="4" t="s">
        <v>880</v>
      </c>
      <c r="E271" s="6">
        <v>130</v>
      </c>
      <c r="F271" s="6">
        <v>18</v>
      </c>
      <c r="G271" s="6">
        <v>4</v>
      </c>
      <c r="H271" s="6">
        <v>5</v>
      </c>
      <c r="I271" s="6">
        <v>2</v>
      </c>
      <c r="J271" s="6">
        <v>170</v>
      </c>
      <c r="K271" s="6">
        <v>3</v>
      </c>
      <c r="L271" s="6">
        <v>0</v>
      </c>
      <c r="M271" s="4" t="s">
        <v>881</v>
      </c>
      <c r="N271" s="2"/>
      <c r="O271" s="2"/>
      <c r="P271" s="2"/>
      <c r="Q271" s="2"/>
      <c r="R271" s="2"/>
      <c r="S271" s="2"/>
      <c r="T271" s="2"/>
      <c r="U271" s="2"/>
      <c r="V271" s="2"/>
      <c r="W271" s="2"/>
      <c r="X271" s="2"/>
      <c r="Y271" s="2"/>
      <c r="Z271" s="2"/>
    </row>
    <row r="272" spans="1:26" ht="19.5" customHeight="1">
      <c r="A272" s="4" t="s">
        <v>882</v>
      </c>
      <c r="B272" s="4" t="s">
        <v>883</v>
      </c>
      <c r="C272" s="6">
        <v>1</v>
      </c>
      <c r="D272" s="4" t="s">
        <v>205</v>
      </c>
      <c r="E272" s="6">
        <v>80</v>
      </c>
      <c r="F272" s="7" t="s">
        <v>173</v>
      </c>
      <c r="G272" s="6">
        <v>3</v>
      </c>
      <c r="H272" s="6">
        <v>3</v>
      </c>
      <c r="I272" s="6">
        <v>4</v>
      </c>
      <c r="J272" s="6">
        <v>430</v>
      </c>
      <c r="K272" s="6">
        <v>0</v>
      </c>
      <c r="L272" s="6">
        <v>0</v>
      </c>
      <c r="M272" s="4" t="s">
        <v>884</v>
      </c>
      <c r="N272" s="2"/>
      <c r="O272" s="2"/>
      <c r="P272" s="2"/>
      <c r="Q272" s="2"/>
      <c r="R272" s="2"/>
      <c r="S272" s="2"/>
      <c r="T272" s="2"/>
      <c r="U272" s="2"/>
      <c r="V272" s="2"/>
      <c r="W272" s="2"/>
      <c r="X272" s="2"/>
      <c r="Y272" s="2"/>
      <c r="Z272" s="2"/>
    </row>
    <row r="273" spans="1:26" ht="19.5" customHeight="1">
      <c r="A273" s="4" t="s">
        <v>885</v>
      </c>
      <c r="B273" s="4" t="s">
        <v>886</v>
      </c>
      <c r="C273" s="6">
        <v>1</v>
      </c>
      <c r="D273" s="4" t="s">
        <v>205</v>
      </c>
      <c r="E273" s="6">
        <v>80</v>
      </c>
      <c r="F273" s="6">
        <v>7</v>
      </c>
      <c r="G273" s="6">
        <v>7</v>
      </c>
      <c r="H273" s="6">
        <v>3.5</v>
      </c>
      <c r="I273" s="6">
        <v>4</v>
      </c>
      <c r="J273" s="6">
        <v>480</v>
      </c>
      <c r="K273" s="6">
        <v>2</v>
      </c>
      <c r="L273" s="6">
        <v>0</v>
      </c>
      <c r="M273" s="4" t="s">
        <v>887</v>
      </c>
      <c r="N273" s="2"/>
      <c r="O273" s="2"/>
      <c r="P273" s="2"/>
      <c r="Q273" s="2"/>
      <c r="R273" s="2"/>
      <c r="S273" s="2"/>
      <c r="T273" s="2"/>
      <c r="U273" s="2"/>
      <c r="V273" s="2"/>
      <c r="W273" s="2"/>
      <c r="X273" s="2"/>
      <c r="Y273" s="2"/>
      <c r="Z273" s="2"/>
    </row>
    <row r="274" spans="1:26" ht="19.5" customHeight="1">
      <c r="A274" s="4" t="s">
        <v>888</v>
      </c>
      <c r="B274" s="4" t="s">
        <v>889</v>
      </c>
      <c r="C274" s="6">
        <v>1</v>
      </c>
      <c r="D274" s="4" t="s">
        <v>205</v>
      </c>
      <c r="E274" s="6">
        <v>70</v>
      </c>
      <c r="F274" s="6">
        <v>4</v>
      </c>
      <c r="G274" s="6">
        <v>7</v>
      </c>
      <c r="H274" s="6">
        <v>3.5</v>
      </c>
      <c r="I274" s="6">
        <v>1</v>
      </c>
      <c r="J274" s="6">
        <v>500</v>
      </c>
      <c r="K274" s="6">
        <v>2</v>
      </c>
      <c r="L274" s="6">
        <v>0</v>
      </c>
      <c r="M274" s="4" t="s">
        <v>890</v>
      </c>
      <c r="N274" s="2"/>
      <c r="O274" s="2"/>
      <c r="P274" s="2"/>
      <c r="Q274" s="2"/>
      <c r="R274" s="2"/>
      <c r="S274" s="2"/>
      <c r="T274" s="2"/>
      <c r="U274" s="2"/>
      <c r="V274" s="2"/>
      <c r="W274" s="2"/>
      <c r="X274" s="2"/>
      <c r="Y274" s="2"/>
      <c r="Z274" s="2"/>
    </row>
    <row r="275" spans="1:26" ht="19.5" customHeight="1">
      <c r="A275" s="4" t="s">
        <v>891</v>
      </c>
      <c r="B275" s="4" t="s">
        <v>892</v>
      </c>
      <c r="C275" s="6">
        <v>1</v>
      </c>
      <c r="D275" s="4" t="s">
        <v>31</v>
      </c>
      <c r="E275" s="6">
        <v>10</v>
      </c>
      <c r="F275" s="6">
        <v>1</v>
      </c>
      <c r="G275" s="6">
        <v>0</v>
      </c>
      <c r="H275" s="6">
        <v>0</v>
      </c>
      <c r="I275" s="6">
        <v>1</v>
      </c>
      <c r="J275" s="6">
        <v>200</v>
      </c>
      <c r="K275" s="6">
        <v>0</v>
      </c>
      <c r="L275" s="6">
        <v>0</v>
      </c>
      <c r="M275" s="4" t="s">
        <v>893</v>
      </c>
      <c r="N275" s="2"/>
      <c r="O275" s="2"/>
      <c r="P275" s="2"/>
      <c r="Q275" s="2"/>
      <c r="R275" s="2"/>
      <c r="S275" s="2"/>
      <c r="T275" s="2"/>
      <c r="U275" s="2"/>
      <c r="V275" s="2"/>
      <c r="W275" s="2"/>
      <c r="X275" s="2"/>
      <c r="Y275" s="2"/>
      <c r="Z275" s="2"/>
    </row>
    <row r="276" spans="1:26" ht="19.5" customHeight="1">
      <c r="A276" s="4" t="s">
        <v>894</v>
      </c>
      <c r="B276" s="4" t="s">
        <v>895</v>
      </c>
      <c r="C276" s="6">
        <v>1</v>
      </c>
      <c r="D276" s="4" t="s">
        <v>896</v>
      </c>
      <c r="E276" s="6">
        <v>60</v>
      </c>
      <c r="F276" s="6">
        <v>15</v>
      </c>
      <c r="G276" s="6">
        <v>0</v>
      </c>
      <c r="H276" s="6">
        <v>0</v>
      </c>
      <c r="I276" s="6">
        <v>14</v>
      </c>
      <c r="J276" s="6">
        <v>0</v>
      </c>
      <c r="K276" s="6">
        <v>1</v>
      </c>
      <c r="L276" s="6">
        <v>0</v>
      </c>
      <c r="M276" s="4" t="s">
        <v>897</v>
      </c>
      <c r="N276" s="2"/>
      <c r="O276" s="2"/>
      <c r="P276" s="2"/>
      <c r="Q276" s="2"/>
      <c r="R276" s="2"/>
      <c r="S276" s="2"/>
      <c r="T276" s="2"/>
      <c r="U276" s="2"/>
      <c r="V276" s="2"/>
      <c r="W276" s="2"/>
      <c r="X276" s="2"/>
      <c r="Y276" s="2"/>
      <c r="Z276" s="2"/>
    </row>
    <row r="277" spans="1:26" ht="19.5" customHeight="1">
      <c r="A277" s="4" t="s">
        <v>898</v>
      </c>
      <c r="B277" s="4" t="s">
        <v>899</v>
      </c>
      <c r="C277" s="6">
        <v>1</v>
      </c>
      <c r="D277" s="4" t="s">
        <v>599</v>
      </c>
      <c r="E277" s="6">
        <v>180</v>
      </c>
      <c r="F277" s="6">
        <v>29</v>
      </c>
      <c r="G277" s="6">
        <v>16</v>
      </c>
      <c r="H277" s="6">
        <v>9</v>
      </c>
      <c r="I277" s="6">
        <v>12</v>
      </c>
      <c r="J277" s="6">
        <v>230</v>
      </c>
      <c r="K277" s="6">
        <v>10</v>
      </c>
      <c r="L277" s="6">
        <v>10</v>
      </c>
      <c r="M277" s="4" t="s">
        <v>900</v>
      </c>
      <c r="N277" s="2"/>
      <c r="O277" s="2"/>
      <c r="P277" s="2"/>
      <c r="Q277" s="2"/>
      <c r="R277" s="2"/>
      <c r="S277" s="2"/>
      <c r="T277" s="2"/>
      <c r="U277" s="2"/>
      <c r="V277" s="2"/>
      <c r="W277" s="2"/>
      <c r="X277" s="2"/>
      <c r="Y277" s="2"/>
      <c r="Z277" s="2"/>
    </row>
    <row r="278" spans="1:26" ht="19.5" customHeight="1">
      <c r="A278" s="4" t="s">
        <v>901</v>
      </c>
      <c r="B278" s="4" t="s">
        <v>902</v>
      </c>
      <c r="C278" s="6">
        <v>1</v>
      </c>
      <c r="D278" s="4" t="s">
        <v>778</v>
      </c>
      <c r="E278" s="6">
        <v>160</v>
      </c>
      <c r="F278" s="6">
        <v>19</v>
      </c>
      <c r="G278" s="6">
        <v>11</v>
      </c>
      <c r="H278" s="6">
        <v>4.5</v>
      </c>
      <c r="I278" s="6">
        <v>17</v>
      </c>
      <c r="J278" s="6">
        <v>60</v>
      </c>
      <c r="K278" s="7" t="s">
        <v>176</v>
      </c>
      <c r="L278" s="6">
        <v>20</v>
      </c>
      <c r="M278" s="4" t="s">
        <v>903</v>
      </c>
      <c r="N278" s="2"/>
      <c r="O278" s="2"/>
      <c r="P278" s="2"/>
      <c r="Q278" s="2"/>
      <c r="R278" s="2"/>
      <c r="S278" s="2"/>
      <c r="T278" s="2"/>
      <c r="U278" s="2"/>
      <c r="V278" s="2"/>
      <c r="W278" s="2"/>
      <c r="X278" s="2"/>
      <c r="Y278" s="2"/>
      <c r="Z278" s="2"/>
    </row>
    <row r="279" spans="1:26" ht="19.5" customHeight="1">
      <c r="A279" s="4" t="s">
        <v>904</v>
      </c>
      <c r="B279" s="4" t="s">
        <v>905</v>
      </c>
      <c r="C279" s="6">
        <v>1</v>
      </c>
      <c r="D279" s="4" t="s">
        <v>599</v>
      </c>
      <c r="E279" s="6">
        <v>200</v>
      </c>
      <c r="F279" s="6">
        <v>22</v>
      </c>
      <c r="G279" s="6">
        <v>20</v>
      </c>
      <c r="H279" s="6">
        <v>8</v>
      </c>
      <c r="I279" s="6">
        <v>1</v>
      </c>
      <c r="J279" s="6">
        <v>210</v>
      </c>
      <c r="K279" s="6">
        <v>16</v>
      </c>
      <c r="L279" s="6">
        <v>5</v>
      </c>
      <c r="M279" s="4" t="s">
        <v>906</v>
      </c>
      <c r="N279" s="2"/>
      <c r="O279" s="2"/>
      <c r="P279" s="2"/>
      <c r="Q279" s="2"/>
      <c r="R279" s="2"/>
      <c r="S279" s="2"/>
      <c r="T279" s="2"/>
      <c r="U279" s="2"/>
      <c r="V279" s="2"/>
      <c r="W279" s="2"/>
      <c r="X279" s="2"/>
      <c r="Y279" s="2"/>
      <c r="Z279" s="2"/>
    </row>
    <row r="280" spans="1:26" ht="19.5" customHeight="1">
      <c r="A280" s="4" t="s">
        <v>907</v>
      </c>
      <c r="B280" s="4" t="s">
        <v>908</v>
      </c>
      <c r="C280" s="7" t="s">
        <v>176</v>
      </c>
      <c r="D280" s="4" t="s">
        <v>909</v>
      </c>
      <c r="E280" s="6">
        <v>200</v>
      </c>
      <c r="F280" s="6">
        <v>19</v>
      </c>
      <c r="G280" s="6">
        <v>16</v>
      </c>
      <c r="H280" s="6">
        <v>6</v>
      </c>
      <c r="I280" s="6">
        <v>2</v>
      </c>
      <c r="J280" s="6">
        <v>490</v>
      </c>
      <c r="K280" s="6">
        <v>2</v>
      </c>
      <c r="L280" s="6">
        <v>40</v>
      </c>
      <c r="M280" s="4" t="s">
        <v>910</v>
      </c>
      <c r="N280" s="2"/>
      <c r="O280" s="2"/>
      <c r="P280" s="2"/>
      <c r="Q280" s="2"/>
      <c r="R280" s="2"/>
      <c r="S280" s="2"/>
      <c r="T280" s="2"/>
      <c r="U280" s="2"/>
      <c r="V280" s="2"/>
      <c r="W280" s="2"/>
      <c r="X280" s="2"/>
      <c r="Y280" s="2"/>
      <c r="Z280" s="2"/>
    </row>
    <row r="281" spans="1:26" ht="19.5" customHeight="1">
      <c r="A281" s="4" t="s">
        <v>911</v>
      </c>
      <c r="B281" s="4" t="s">
        <v>912</v>
      </c>
      <c r="C281" s="6">
        <v>1</v>
      </c>
      <c r="D281" s="4" t="s">
        <v>909</v>
      </c>
      <c r="E281" s="6">
        <v>210</v>
      </c>
      <c r="F281" s="6">
        <v>17</v>
      </c>
      <c r="G281" s="6">
        <v>14</v>
      </c>
      <c r="H281" s="6">
        <v>10</v>
      </c>
      <c r="I281" s="7" t="s">
        <v>18</v>
      </c>
      <c r="J281" s="6">
        <v>510</v>
      </c>
      <c r="K281" s="6">
        <v>2</v>
      </c>
      <c r="L281" s="6">
        <v>90</v>
      </c>
      <c r="M281" s="4" t="s">
        <v>913</v>
      </c>
      <c r="N281" s="2"/>
      <c r="O281" s="2"/>
      <c r="P281" s="2"/>
      <c r="Q281" s="2"/>
      <c r="R281" s="2"/>
      <c r="S281" s="2"/>
      <c r="T281" s="2"/>
      <c r="U281" s="2"/>
      <c r="V281" s="2"/>
      <c r="W281" s="2"/>
      <c r="X281" s="2"/>
      <c r="Y281" s="2"/>
      <c r="Z281" s="2"/>
    </row>
    <row r="282" spans="1:26" ht="19.5" customHeight="1">
      <c r="A282" s="4" t="s">
        <v>914</v>
      </c>
      <c r="B282" s="4" t="s">
        <v>915</v>
      </c>
      <c r="C282" s="6">
        <v>1</v>
      </c>
      <c r="D282" s="4" t="s">
        <v>200</v>
      </c>
      <c r="E282" s="6">
        <v>60</v>
      </c>
      <c r="F282" s="6">
        <v>11</v>
      </c>
      <c r="G282" s="6">
        <v>2</v>
      </c>
      <c r="H282" s="6">
        <v>2</v>
      </c>
      <c r="I282" s="6">
        <v>5</v>
      </c>
      <c r="J282" s="6">
        <v>45</v>
      </c>
      <c r="K282" s="6">
        <v>1</v>
      </c>
      <c r="L282" s="6">
        <v>15</v>
      </c>
      <c r="M282" s="4" t="s">
        <v>916</v>
      </c>
      <c r="N282" s="2"/>
      <c r="O282" s="2"/>
      <c r="P282" s="2"/>
      <c r="Q282" s="2"/>
      <c r="R282" s="2"/>
      <c r="S282" s="2"/>
      <c r="T282" s="2"/>
      <c r="U282" s="2"/>
      <c r="V282" s="2"/>
      <c r="W282" s="2"/>
      <c r="X282" s="2"/>
      <c r="Y282" s="2"/>
      <c r="Z282" s="2"/>
    </row>
    <row r="283" spans="1:26" ht="19.5" customHeight="1">
      <c r="A283" s="4" t="s">
        <v>917</v>
      </c>
      <c r="B283" s="4" t="s">
        <v>918</v>
      </c>
      <c r="C283" s="6">
        <v>1</v>
      </c>
      <c r="D283" s="4" t="s">
        <v>624</v>
      </c>
      <c r="E283" s="6">
        <v>80</v>
      </c>
      <c r="F283" s="6">
        <v>8</v>
      </c>
      <c r="G283" s="6">
        <v>2</v>
      </c>
      <c r="H283" s="6">
        <v>4</v>
      </c>
      <c r="I283" s="6">
        <v>2</v>
      </c>
      <c r="J283" s="6">
        <v>80</v>
      </c>
      <c r="K283" s="6">
        <v>1</v>
      </c>
      <c r="L283" s="6">
        <v>25</v>
      </c>
      <c r="M283" s="4" t="s">
        <v>919</v>
      </c>
      <c r="N283" s="2"/>
      <c r="O283" s="2"/>
      <c r="P283" s="2"/>
      <c r="Q283" s="2"/>
      <c r="R283" s="2"/>
      <c r="S283" s="2"/>
      <c r="T283" s="2"/>
      <c r="U283" s="2"/>
      <c r="V283" s="2"/>
      <c r="W283" s="2"/>
      <c r="X283" s="2"/>
      <c r="Y283" s="2"/>
      <c r="Z283" s="2"/>
    </row>
    <row r="284" spans="1:26" ht="19.5" customHeight="1">
      <c r="A284" s="4" t="s">
        <v>920</v>
      </c>
      <c r="B284" s="4" t="s">
        <v>921</v>
      </c>
      <c r="C284" s="6">
        <v>1</v>
      </c>
      <c r="D284" s="4" t="s">
        <v>922</v>
      </c>
      <c r="E284" s="6">
        <v>80</v>
      </c>
      <c r="F284" s="6">
        <v>6</v>
      </c>
      <c r="G284" s="6">
        <v>5</v>
      </c>
      <c r="H284" s="6">
        <v>4.5</v>
      </c>
      <c r="I284" s="6">
        <v>1</v>
      </c>
      <c r="J284" s="6">
        <v>170</v>
      </c>
      <c r="K284" s="6">
        <v>1</v>
      </c>
      <c r="L284" s="6">
        <v>70</v>
      </c>
      <c r="M284" s="4" t="s">
        <v>923</v>
      </c>
      <c r="N284" s="2"/>
      <c r="O284" s="2"/>
      <c r="P284" s="2"/>
      <c r="Q284" s="2"/>
      <c r="R284" s="2"/>
      <c r="S284" s="2"/>
      <c r="T284" s="2"/>
      <c r="U284" s="2"/>
      <c r="V284" s="2"/>
      <c r="W284" s="2"/>
      <c r="X284" s="2"/>
      <c r="Y284" s="2"/>
      <c r="Z284" s="2"/>
    </row>
    <row r="285" spans="1:26" ht="19.5" customHeight="1">
      <c r="A285" s="4" t="s">
        <v>924</v>
      </c>
      <c r="B285" s="4" t="s">
        <v>925</v>
      </c>
      <c r="C285" s="6">
        <v>1</v>
      </c>
      <c r="D285" s="4" t="s">
        <v>909</v>
      </c>
      <c r="E285" s="6">
        <v>240</v>
      </c>
      <c r="F285" s="6">
        <v>20</v>
      </c>
      <c r="G285" s="6">
        <v>14</v>
      </c>
      <c r="H285" s="6">
        <v>12</v>
      </c>
      <c r="I285" s="6">
        <v>3</v>
      </c>
      <c r="J285" s="6">
        <v>700</v>
      </c>
      <c r="K285" s="6">
        <v>3</v>
      </c>
      <c r="L285" s="6">
        <v>160</v>
      </c>
      <c r="M285" s="4" t="s">
        <v>926</v>
      </c>
      <c r="N285" s="2"/>
      <c r="O285" s="2"/>
      <c r="P285" s="2"/>
      <c r="Q285" s="2"/>
      <c r="R285" s="2"/>
      <c r="S285" s="2"/>
      <c r="T285" s="2"/>
      <c r="U285" s="2"/>
      <c r="V285" s="2"/>
      <c r="W285" s="2"/>
      <c r="X285" s="2"/>
      <c r="Y285" s="2"/>
      <c r="Z285" s="2"/>
    </row>
    <row r="286" spans="1:26" ht="19.5" customHeight="1">
      <c r="A286" s="4" t="s">
        <v>927</v>
      </c>
      <c r="B286" s="4" t="s">
        <v>928</v>
      </c>
      <c r="C286" s="6">
        <v>1</v>
      </c>
      <c r="D286" s="4" t="s">
        <v>929</v>
      </c>
      <c r="E286" s="6">
        <v>80</v>
      </c>
      <c r="F286" s="6">
        <v>19</v>
      </c>
      <c r="G286" s="6">
        <v>3</v>
      </c>
      <c r="H286" s="7" t="s">
        <v>930</v>
      </c>
      <c r="I286" s="7" t="s">
        <v>125</v>
      </c>
      <c r="J286" s="6">
        <v>60</v>
      </c>
      <c r="K286" s="6">
        <v>2</v>
      </c>
      <c r="L286" s="6">
        <v>0</v>
      </c>
      <c r="M286" s="4" t="s">
        <v>931</v>
      </c>
      <c r="N286" s="2"/>
      <c r="O286" s="2"/>
      <c r="P286" s="2"/>
      <c r="Q286" s="2"/>
      <c r="R286" s="2"/>
      <c r="S286" s="2"/>
      <c r="T286" s="2"/>
      <c r="U286" s="2"/>
      <c r="V286" s="2"/>
      <c r="W286" s="2"/>
      <c r="X286" s="2"/>
      <c r="Y286" s="2"/>
      <c r="Z286" s="2"/>
    </row>
    <row r="287" spans="1:26" ht="19.5" customHeight="1">
      <c r="A287" s="4" t="s">
        <v>932</v>
      </c>
      <c r="B287" s="4" t="s">
        <v>933</v>
      </c>
      <c r="C287" s="6">
        <v>1</v>
      </c>
      <c r="D287" s="4" t="s">
        <v>778</v>
      </c>
      <c r="E287" s="6">
        <v>110</v>
      </c>
      <c r="F287" s="6">
        <v>12</v>
      </c>
      <c r="G287" s="6">
        <v>15</v>
      </c>
      <c r="H287" s="6">
        <v>0</v>
      </c>
      <c r="I287" s="6">
        <v>9</v>
      </c>
      <c r="J287" s="6">
        <v>55</v>
      </c>
      <c r="K287" s="6">
        <v>0</v>
      </c>
      <c r="L287" s="6">
        <v>10</v>
      </c>
      <c r="M287" s="4" t="s">
        <v>934</v>
      </c>
      <c r="N287" s="2"/>
      <c r="O287" s="2"/>
      <c r="P287" s="2"/>
      <c r="Q287" s="2"/>
      <c r="R287" s="2"/>
      <c r="S287" s="2"/>
      <c r="T287" s="2"/>
      <c r="U287" s="2"/>
      <c r="V287" s="2"/>
      <c r="W287" s="2"/>
      <c r="X287" s="2"/>
      <c r="Y287" s="2"/>
      <c r="Z287" s="2"/>
    </row>
    <row r="288" spans="1:26" ht="19.5" customHeight="1">
      <c r="A288" s="4" t="s">
        <v>935</v>
      </c>
      <c r="B288" s="4" t="s">
        <v>936</v>
      </c>
      <c r="C288" s="6">
        <v>1</v>
      </c>
      <c r="D288" s="4" t="s">
        <v>617</v>
      </c>
      <c r="E288" s="6">
        <v>70</v>
      </c>
      <c r="F288" s="6">
        <v>10</v>
      </c>
      <c r="G288" s="6">
        <v>2</v>
      </c>
      <c r="H288" s="6">
        <v>2</v>
      </c>
      <c r="I288" s="6">
        <v>7</v>
      </c>
      <c r="J288" s="6">
        <v>8</v>
      </c>
      <c r="K288" s="6">
        <v>4</v>
      </c>
      <c r="L288" s="6">
        <v>0</v>
      </c>
      <c r="M288" s="4" t="s">
        <v>937</v>
      </c>
      <c r="N288" s="2"/>
      <c r="O288" s="2"/>
      <c r="P288" s="2"/>
      <c r="Q288" s="2"/>
      <c r="R288" s="2"/>
      <c r="S288" s="2"/>
      <c r="T288" s="2"/>
      <c r="U288" s="2"/>
      <c r="V288" s="2"/>
      <c r="W288" s="2"/>
      <c r="X288" s="2"/>
      <c r="Y288" s="2"/>
      <c r="Z288" s="2"/>
    </row>
    <row r="289" spans="1:26" ht="19.5" customHeight="1">
      <c r="A289" s="4" t="s">
        <v>938</v>
      </c>
      <c r="B289" s="4" t="s">
        <v>939</v>
      </c>
      <c r="C289" s="6">
        <v>1</v>
      </c>
      <c r="D289" s="4" t="s">
        <v>617</v>
      </c>
      <c r="E289" s="6">
        <v>70</v>
      </c>
      <c r="F289" s="6">
        <v>10</v>
      </c>
      <c r="G289" s="6">
        <v>2</v>
      </c>
      <c r="H289" s="6">
        <v>2</v>
      </c>
      <c r="I289" s="6">
        <v>7</v>
      </c>
      <c r="J289" s="6">
        <v>8</v>
      </c>
      <c r="K289" s="6">
        <v>4</v>
      </c>
      <c r="L289" s="6">
        <v>0</v>
      </c>
      <c r="M289" s="4" t="s">
        <v>940</v>
      </c>
      <c r="N289" s="2"/>
      <c r="O289" s="2"/>
      <c r="P289" s="2"/>
      <c r="Q289" s="2"/>
      <c r="R289" s="2"/>
      <c r="S289" s="2"/>
      <c r="T289" s="2"/>
      <c r="U289" s="2"/>
      <c r="V289" s="2"/>
      <c r="W289" s="2"/>
      <c r="X289" s="2"/>
      <c r="Y289" s="2"/>
      <c r="Z289" s="2"/>
    </row>
    <row r="290" spans="1:26" ht="19.5" customHeight="1">
      <c r="A290" s="4" t="s">
        <v>941</v>
      </c>
      <c r="B290" s="4" t="s">
        <v>942</v>
      </c>
      <c r="C290" s="6">
        <v>1</v>
      </c>
      <c r="D290" s="4" t="s">
        <v>613</v>
      </c>
      <c r="E290" s="6">
        <v>190</v>
      </c>
      <c r="F290" s="6">
        <v>21</v>
      </c>
      <c r="G290" s="6">
        <v>12</v>
      </c>
      <c r="H290" s="6">
        <v>6</v>
      </c>
      <c r="I290" s="6">
        <v>1</v>
      </c>
      <c r="J290" s="6">
        <v>430</v>
      </c>
      <c r="K290" s="6">
        <v>5</v>
      </c>
      <c r="L290" s="6">
        <v>5</v>
      </c>
      <c r="M290" s="4" t="s">
        <v>943</v>
      </c>
      <c r="N290" s="2"/>
      <c r="O290" s="2"/>
      <c r="P290" s="2"/>
      <c r="Q290" s="2"/>
      <c r="R290" s="2"/>
      <c r="S290" s="2"/>
      <c r="T290" s="2"/>
      <c r="U290" s="2"/>
      <c r="V290" s="2"/>
      <c r="W290" s="2"/>
      <c r="X290" s="2"/>
      <c r="Y290" s="2"/>
      <c r="Z290" s="2"/>
    </row>
    <row r="291" spans="1:26" ht="19.5" customHeight="1">
      <c r="A291" s="4" t="s">
        <v>944</v>
      </c>
      <c r="B291" s="4" t="s">
        <v>945</v>
      </c>
      <c r="C291" s="7" t="s">
        <v>176</v>
      </c>
      <c r="D291" s="4" t="s">
        <v>31</v>
      </c>
      <c r="E291" s="6">
        <v>5</v>
      </c>
      <c r="F291" s="6">
        <v>1</v>
      </c>
      <c r="G291" s="6">
        <v>0</v>
      </c>
      <c r="H291" s="6">
        <v>0</v>
      </c>
      <c r="I291" s="6">
        <v>0</v>
      </c>
      <c r="J291" s="6">
        <v>50</v>
      </c>
      <c r="K291" s="6">
        <v>0</v>
      </c>
      <c r="L291" s="6">
        <v>0</v>
      </c>
      <c r="M291" s="4" t="s">
        <v>946</v>
      </c>
      <c r="N291" s="2"/>
      <c r="O291" s="2"/>
      <c r="P291" s="2"/>
      <c r="Q291" s="2"/>
      <c r="R291" s="2"/>
      <c r="S291" s="2"/>
      <c r="T291" s="2"/>
      <c r="U291" s="2"/>
      <c r="V291" s="2"/>
      <c r="W291" s="2"/>
      <c r="X291" s="2"/>
      <c r="Y291" s="2"/>
      <c r="Z291" s="2"/>
    </row>
    <row r="292" spans="1:26" ht="19.5" customHeight="1">
      <c r="A292" s="4" t="s">
        <v>947</v>
      </c>
      <c r="B292" s="4" t="s">
        <v>948</v>
      </c>
      <c r="C292" s="6">
        <v>1</v>
      </c>
      <c r="D292" s="4" t="s">
        <v>949</v>
      </c>
      <c r="E292" s="6">
        <v>80</v>
      </c>
      <c r="F292" s="6">
        <v>14</v>
      </c>
      <c r="G292" s="6">
        <v>4</v>
      </c>
      <c r="H292" s="6">
        <v>0.5</v>
      </c>
      <c r="I292" s="6">
        <v>0</v>
      </c>
      <c r="J292" s="6">
        <v>170</v>
      </c>
      <c r="K292" s="6">
        <v>5</v>
      </c>
      <c r="L292" s="6">
        <v>0</v>
      </c>
      <c r="M292" s="4" t="s">
        <v>950</v>
      </c>
      <c r="N292" s="2"/>
      <c r="O292" s="2"/>
      <c r="P292" s="2"/>
      <c r="Q292" s="2"/>
      <c r="R292" s="2"/>
      <c r="S292" s="2"/>
      <c r="T292" s="2"/>
      <c r="U292" s="2"/>
      <c r="V292" s="2"/>
      <c r="W292" s="2"/>
      <c r="X292" s="2"/>
      <c r="Y292" s="2"/>
      <c r="Z292" s="2"/>
    </row>
    <row r="293" spans="1:26" ht="19.5" customHeight="1">
      <c r="A293" s="4" t="s">
        <v>951</v>
      </c>
      <c r="B293" s="4" t="s">
        <v>952</v>
      </c>
      <c r="C293" s="6">
        <v>1</v>
      </c>
      <c r="D293" s="4" t="s">
        <v>727</v>
      </c>
      <c r="E293" s="6">
        <v>0</v>
      </c>
      <c r="F293" s="6">
        <v>0</v>
      </c>
      <c r="G293" s="6">
        <v>0</v>
      </c>
      <c r="H293" s="6">
        <v>0</v>
      </c>
      <c r="I293" s="6">
        <v>0</v>
      </c>
      <c r="J293" s="6">
        <v>0</v>
      </c>
      <c r="K293" s="6">
        <v>0</v>
      </c>
      <c r="L293" s="6">
        <v>0</v>
      </c>
      <c r="M293" s="4" t="s">
        <v>953</v>
      </c>
      <c r="N293" s="2"/>
      <c r="O293" s="2"/>
      <c r="P293" s="2"/>
      <c r="Q293" s="2"/>
      <c r="R293" s="2"/>
      <c r="S293" s="2"/>
      <c r="T293" s="2"/>
      <c r="U293" s="2"/>
      <c r="V293" s="2"/>
      <c r="W293" s="2"/>
      <c r="X293" s="2"/>
      <c r="Y293" s="2"/>
      <c r="Z293" s="2"/>
    </row>
    <row r="294" spans="1:26" ht="19.5" customHeight="1">
      <c r="A294" s="4" t="s">
        <v>954</v>
      </c>
      <c r="B294" s="4" t="s">
        <v>955</v>
      </c>
      <c r="C294" s="6">
        <v>1</v>
      </c>
      <c r="D294" s="4" t="s">
        <v>956</v>
      </c>
      <c r="E294" s="6">
        <v>240</v>
      </c>
      <c r="F294" s="6">
        <v>20</v>
      </c>
      <c r="G294" s="6">
        <v>15</v>
      </c>
      <c r="H294" s="6">
        <v>16</v>
      </c>
      <c r="I294" s="6">
        <v>1</v>
      </c>
      <c r="J294" s="6">
        <v>190</v>
      </c>
      <c r="K294" s="6">
        <v>10</v>
      </c>
      <c r="L294" s="6">
        <v>30</v>
      </c>
      <c r="M294" s="4" t="s">
        <v>957</v>
      </c>
      <c r="N294" s="2"/>
      <c r="O294" s="2"/>
      <c r="P294" s="2"/>
      <c r="Q294" s="2"/>
      <c r="R294" s="2"/>
      <c r="S294" s="2"/>
      <c r="T294" s="2"/>
      <c r="U294" s="2"/>
      <c r="V294" s="2"/>
      <c r="W294" s="2"/>
      <c r="X294" s="2"/>
      <c r="Y294" s="2"/>
      <c r="Z294" s="2"/>
    </row>
    <row r="295" spans="1:26" ht="19.5" customHeight="1">
      <c r="A295" s="4" t="s">
        <v>958</v>
      </c>
      <c r="B295" s="4" t="s">
        <v>959</v>
      </c>
      <c r="C295" s="6">
        <v>1</v>
      </c>
      <c r="D295" s="4" t="s">
        <v>960</v>
      </c>
      <c r="E295" s="6">
        <v>15</v>
      </c>
      <c r="F295" s="6">
        <v>4</v>
      </c>
      <c r="G295" s="6">
        <v>0</v>
      </c>
      <c r="H295" s="6">
        <v>0</v>
      </c>
      <c r="I295" s="6">
        <v>0</v>
      </c>
      <c r="J295" s="6">
        <v>20</v>
      </c>
      <c r="K295" s="6">
        <v>0</v>
      </c>
      <c r="L295" s="6">
        <v>0</v>
      </c>
      <c r="M295" s="4" t="s">
        <v>961</v>
      </c>
      <c r="N295" s="2"/>
      <c r="O295" s="2"/>
      <c r="P295" s="2"/>
      <c r="Q295" s="2"/>
      <c r="R295" s="2"/>
      <c r="S295" s="2"/>
      <c r="T295" s="2"/>
      <c r="U295" s="2"/>
      <c r="V295" s="2"/>
      <c r="W295" s="2"/>
      <c r="X295" s="2"/>
      <c r="Y295" s="2"/>
      <c r="Z295" s="2"/>
    </row>
    <row r="296" spans="1:26" ht="19.5" customHeight="1">
      <c r="A296" s="4" t="s">
        <v>962</v>
      </c>
      <c r="B296" s="4" t="s">
        <v>963</v>
      </c>
      <c r="C296" s="6">
        <v>1</v>
      </c>
      <c r="D296" s="4" t="s">
        <v>778</v>
      </c>
      <c r="E296" s="6">
        <v>150</v>
      </c>
      <c r="F296" s="6">
        <v>10</v>
      </c>
      <c r="G296" s="6">
        <v>17</v>
      </c>
      <c r="H296" s="6">
        <v>5</v>
      </c>
      <c r="I296" s="6">
        <v>9</v>
      </c>
      <c r="J296" s="6">
        <v>350</v>
      </c>
      <c r="K296" s="6">
        <v>0</v>
      </c>
      <c r="L296" s="6">
        <v>25</v>
      </c>
      <c r="M296" s="4" t="s">
        <v>964</v>
      </c>
      <c r="N296" s="2"/>
      <c r="O296" s="2"/>
      <c r="P296" s="2"/>
      <c r="Q296" s="2"/>
      <c r="R296" s="2"/>
      <c r="S296" s="2"/>
      <c r="T296" s="2"/>
      <c r="U296" s="2"/>
      <c r="V296" s="2"/>
      <c r="W296" s="2"/>
      <c r="X296" s="2"/>
      <c r="Y296" s="2"/>
      <c r="Z296" s="2"/>
    </row>
    <row r="297" spans="1:26" ht="19.5" customHeight="1">
      <c r="A297" s="4" t="s">
        <v>965</v>
      </c>
      <c r="B297" s="4" t="s">
        <v>966</v>
      </c>
      <c r="C297" s="6">
        <v>1</v>
      </c>
      <c r="D297" s="4" t="s">
        <v>778</v>
      </c>
      <c r="E297" s="6">
        <v>120</v>
      </c>
      <c r="F297" s="6">
        <v>11</v>
      </c>
      <c r="G297" s="6">
        <v>12</v>
      </c>
      <c r="H297" s="6">
        <v>2.5</v>
      </c>
      <c r="I297" s="6">
        <v>9</v>
      </c>
      <c r="J297" s="6">
        <v>50</v>
      </c>
      <c r="K297" s="6">
        <v>0</v>
      </c>
      <c r="L297" s="6">
        <v>15</v>
      </c>
      <c r="M297" s="4" t="s">
        <v>967</v>
      </c>
      <c r="N297" s="2"/>
      <c r="O297" s="2"/>
      <c r="P297" s="2"/>
      <c r="Q297" s="2"/>
      <c r="R297" s="2"/>
      <c r="S297" s="2"/>
      <c r="T297" s="2"/>
      <c r="U297" s="2"/>
      <c r="V297" s="2"/>
      <c r="W297" s="2"/>
      <c r="X297" s="2"/>
      <c r="Y297" s="2"/>
      <c r="Z297" s="2"/>
    </row>
    <row r="298" spans="1:26" ht="19.5" customHeight="1">
      <c r="A298" s="4" t="s">
        <v>968</v>
      </c>
      <c r="B298" s="4" t="s">
        <v>969</v>
      </c>
      <c r="C298" s="7" t="s">
        <v>176</v>
      </c>
      <c r="D298" s="4" t="s">
        <v>727</v>
      </c>
      <c r="E298" s="6">
        <v>100</v>
      </c>
      <c r="F298" s="7" t="s">
        <v>970</v>
      </c>
      <c r="G298" s="6">
        <v>0</v>
      </c>
      <c r="H298" s="6">
        <v>0</v>
      </c>
      <c r="I298" s="6">
        <v>27</v>
      </c>
      <c r="J298" s="6">
        <v>0</v>
      </c>
      <c r="K298" s="6">
        <v>0</v>
      </c>
      <c r="L298" s="6">
        <v>0</v>
      </c>
      <c r="M298" s="4" t="s">
        <v>971</v>
      </c>
      <c r="N298" s="2"/>
      <c r="O298" s="2"/>
      <c r="P298" s="2"/>
      <c r="Q298" s="2"/>
      <c r="R298" s="2"/>
      <c r="S298" s="2"/>
      <c r="T298" s="2"/>
      <c r="U298" s="2"/>
      <c r="V298" s="2"/>
      <c r="W298" s="2"/>
      <c r="X298" s="2"/>
      <c r="Y298" s="2"/>
      <c r="Z298" s="2"/>
    </row>
    <row r="299" spans="1:26" ht="19.5" customHeight="1">
      <c r="A299" s="4" t="s">
        <v>972</v>
      </c>
      <c r="B299" s="4" t="s">
        <v>973</v>
      </c>
      <c r="C299" s="6">
        <v>1</v>
      </c>
      <c r="D299" s="4" t="s">
        <v>606</v>
      </c>
      <c r="E299" s="6">
        <v>0</v>
      </c>
      <c r="F299" s="6">
        <v>0</v>
      </c>
      <c r="G299" s="6">
        <v>0</v>
      </c>
      <c r="H299" s="6">
        <v>0</v>
      </c>
      <c r="I299" s="6">
        <v>0</v>
      </c>
      <c r="J299" s="6">
        <v>0</v>
      </c>
      <c r="K299" s="6">
        <v>0</v>
      </c>
      <c r="L299" s="6">
        <v>0</v>
      </c>
      <c r="M299" s="4" t="s">
        <v>974</v>
      </c>
      <c r="N299" s="2"/>
      <c r="O299" s="2"/>
      <c r="P299" s="2"/>
      <c r="Q299" s="2"/>
      <c r="R299" s="2"/>
      <c r="S299" s="2"/>
      <c r="T299" s="2"/>
      <c r="U299" s="2"/>
      <c r="V299" s="2"/>
      <c r="W299" s="2"/>
      <c r="X299" s="2"/>
      <c r="Y299" s="2"/>
      <c r="Z299" s="2"/>
    </row>
    <row r="300" spans="1:26" ht="19.5" customHeight="1">
      <c r="A300" s="4" t="s">
        <v>975</v>
      </c>
      <c r="B300" s="4" t="s">
        <v>976</v>
      </c>
      <c r="C300" s="6">
        <v>1</v>
      </c>
      <c r="D300" s="4" t="s">
        <v>606</v>
      </c>
      <c r="E300" s="6">
        <v>0</v>
      </c>
      <c r="F300" s="6">
        <v>0</v>
      </c>
      <c r="G300" s="6">
        <v>0</v>
      </c>
      <c r="H300" s="6">
        <v>0</v>
      </c>
      <c r="I300" s="6">
        <v>0</v>
      </c>
      <c r="J300" s="6">
        <v>25</v>
      </c>
      <c r="K300" s="6">
        <v>0</v>
      </c>
      <c r="L300" s="7" t="s">
        <v>18</v>
      </c>
      <c r="M300" s="4" t="s">
        <v>977</v>
      </c>
      <c r="N300" s="2"/>
      <c r="O300" s="2"/>
      <c r="P300" s="2"/>
      <c r="Q300" s="2"/>
      <c r="R300" s="2"/>
      <c r="S300" s="2"/>
      <c r="T300" s="2"/>
      <c r="U300" s="2"/>
      <c r="V300" s="2"/>
      <c r="W300" s="2"/>
      <c r="X300" s="2"/>
      <c r="Y300" s="2"/>
      <c r="Z300" s="2"/>
    </row>
    <row r="301" spans="1:26" ht="19.5" customHeight="1">
      <c r="A301" s="4" t="s">
        <v>978</v>
      </c>
      <c r="B301" s="4" t="s">
        <v>979</v>
      </c>
      <c r="C301" s="6">
        <v>1</v>
      </c>
      <c r="D301" s="4" t="s">
        <v>606</v>
      </c>
      <c r="E301" s="6">
        <v>0</v>
      </c>
      <c r="F301" s="6">
        <v>0</v>
      </c>
      <c r="G301" s="6">
        <v>0</v>
      </c>
      <c r="H301" s="6">
        <v>0</v>
      </c>
      <c r="I301" s="7" t="s">
        <v>18</v>
      </c>
      <c r="J301" s="6">
        <v>10</v>
      </c>
      <c r="K301" s="6">
        <v>0</v>
      </c>
      <c r="L301" s="6">
        <v>0</v>
      </c>
      <c r="M301" s="4" t="s">
        <v>980</v>
      </c>
      <c r="N301" s="2"/>
      <c r="O301" s="2"/>
      <c r="P301" s="2"/>
      <c r="Q301" s="2"/>
      <c r="R301" s="2"/>
      <c r="S301" s="2"/>
      <c r="T301" s="2"/>
      <c r="U301" s="2"/>
      <c r="V301" s="2"/>
      <c r="W301" s="2"/>
      <c r="X301" s="2"/>
      <c r="Y301" s="2"/>
      <c r="Z301" s="2"/>
    </row>
    <row r="302" spans="1:26" ht="19.5" customHeight="1">
      <c r="A302" s="4" t="s">
        <v>981</v>
      </c>
      <c r="B302" s="4" t="s">
        <v>982</v>
      </c>
      <c r="C302" s="6">
        <v>1</v>
      </c>
      <c r="D302" s="4" t="s">
        <v>606</v>
      </c>
      <c r="E302" s="6">
        <v>0</v>
      </c>
      <c r="F302" s="6">
        <v>0</v>
      </c>
      <c r="G302" s="6">
        <v>0</v>
      </c>
      <c r="H302" s="6">
        <v>0</v>
      </c>
      <c r="I302" s="6">
        <v>0</v>
      </c>
      <c r="J302" s="6">
        <v>0</v>
      </c>
      <c r="K302" s="6">
        <v>0</v>
      </c>
      <c r="L302" s="6">
        <v>0</v>
      </c>
      <c r="M302" s="4" t="s">
        <v>983</v>
      </c>
      <c r="N302" s="2"/>
      <c r="O302" s="2"/>
      <c r="P302" s="2"/>
      <c r="Q302" s="2"/>
      <c r="R302" s="2"/>
      <c r="S302" s="2"/>
      <c r="T302" s="2"/>
      <c r="U302" s="2"/>
      <c r="V302" s="2"/>
      <c r="W302" s="2"/>
      <c r="X302" s="2"/>
      <c r="Y302" s="2"/>
      <c r="Z302" s="2"/>
    </row>
    <row r="303" spans="1:26" ht="19.5" customHeight="1">
      <c r="A303" s="4" t="s">
        <v>984</v>
      </c>
      <c r="B303" s="4" t="s">
        <v>985</v>
      </c>
      <c r="C303" s="6">
        <v>1</v>
      </c>
      <c r="D303" s="4" t="s">
        <v>909</v>
      </c>
      <c r="E303" s="6">
        <v>280</v>
      </c>
      <c r="F303" s="6">
        <v>8</v>
      </c>
      <c r="G303" s="6">
        <v>14</v>
      </c>
      <c r="H303" s="6">
        <v>21</v>
      </c>
      <c r="I303" s="6">
        <v>4</v>
      </c>
      <c r="J303" s="6">
        <v>910</v>
      </c>
      <c r="K303" s="6">
        <v>1</v>
      </c>
      <c r="L303" s="6">
        <v>180</v>
      </c>
      <c r="M303" s="4" t="s">
        <v>986</v>
      </c>
      <c r="N303" s="2"/>
      <c r="O303" s="2"/>
      <c r="P303" s="2"/>
      <c r="Q303" s="2"/>
      <c r="R303" s="2"/>
      <c r="S303" s="2"/>
      <c r="T303" s="2"/>
      <c r="U303" s="2"/>
      <c r="V303" s="2"/>
      <c r="W303" s="2"/>
      <c r="X303" s="2"/>
      <c r="Y303" s="2"/>
      <c r="Z303" s="2"/>
    </row>
    <row r="304" spans="1:26" ht="19.5" customHeight="1">
      <c r="A304" s="4" t="s">
        <v>987</v>
      </c>
      <c r="B304" s="4" t="s">
        <v>988</v>
      </c>
      <c r="C304" s="6">
        <v>1</v>
      </c>
      <c r="D304" s="4" t="s">
        <v>31</v>
      </c>
      <c r="E304" s="6">
        <v>10</v>
      </c>
      <c r="F304" s="6">
        <v>0</v>
      </c>
      <c r="G304" s="6">
        <v>0</v>
      </c>
      <c r="H304" s="6">
        <v>1</v>
      </c>
      <c r="I304" s="6">
        <v>0</v>
      </c>
      <c r="J304" s="6">
        <v>5</v>
      </c>
      <c r="K304" s="6">
        <v>0</v>
      </c>
      <c r="L304" s="6">
        <v>0</v>
      </c>
      <c r="M304" s="4" t="s">
        <v>989</v>
      </c>
      <c r="N304" s="2"/>
      <c r="O304" s="2"/>
      <c r="P304" s="2"/>
      <c r="Q304" s="2"/>
      <c r="R304" s="2"/>
      <c r="S304" s="2"/>
      <c r="T304" s="2"/>
      <c r="U304" s="2"/>
      <c r="V304" s="2"/>
      <c r="W304" s="2"/>
      <c r="X304" s="2"/>
      <c r="Y304" s="2"/>
      <c r="Z304" s="2"/>
    </row>
    <row r="305" spans="1:26" ht="19.5" customHeight="1">
      <c r="A305" s="4" t="s">
        <v>990</v>
      </c>
      <c r="B305" s="4" t="s">
        <v>991</v>
      </c>
      <c r="C305" s="6">
        <v>1</v>
      </c>
      <c r="D305" s="4" t="s">
        <v>31</v>
      </c>
      <c r="E305" s="6">
        <v>54</v>
      </c>
      <c r="F305" s="6">
        <v>2</v>
      </c>
      <c r="G305" s="6">
        <v>0</v>
      </c>
      <c r="H305" s="6">
        <v>5</v>
      </c>
      <c r="I305" s="6">
        <v>2</v>
      </c>
      <c r="J305" s="6">
        <v>105</v>
      </c>
      <c r="K305" s="6">
        <v>0</v>
      </c>
      <c r="L305" s="6">
        <v>0</v>
      </c>
      <c r="M305" s="4" t="s">
        <v>992</v>
      </c>
      <c r="N305" s="2"/>
      <c r="O305" s="2"/>
      <c r="P305" s="2"/>
      <c r="Q305" s="2"/>
      <c r="R305" s="2"/>
      <c r="S305" s="2"/>
      <c r="T305" s="2"/>
      <c r="U305" s="2"/>
      <c r="V305" s="2"/>
      <c r="W305" s="2"/>
      <c r="X305" s="2"/>
      <c r="Y305" s="2"/>
      <c r="Z305" s="2"/>
    </row>
    <row r="306" spans="1:26" ht="19.5" customHeight="1">
      <c r="A306" s="4" t="s">
        <v>993</v>
      </c>
      <c r="B306" s="4" t="s">
        <v>994</v>
      </c>
      <c r="C306" s="6">
        <v>1</v>
      </c>
      <c r="D306" s="4" t="s">
        <v>31</v>
      </c>
      <c r="E306" s="6">
        <v>90</v>
      </c>
      <c r="F306" s="6">
        <v>1</v>
      </c>
      <c r="G306" s="6">
        <v>0</v>
      </c>
      <c r="H306" s="6">
        <v>10</v>
      </c>
      <c r="I306" s="6">
        <v>0</v>
      </c>
      <c r="J306" s="6">
        <v>100</v>
      </c>
      <c r="K306" s="6">
        <v>0</v>
      </c>
      <c r="L306" s="6">
        <v>15</v>
      </c>
      <c r="M306" s="4" t="s">
        <v>995</v>
      </c>
      <c r="N306" s="2"/>
      <c r="O306" s="2"/>
      <c r="P306" s="2"/>
      <c r="Q306" s="2"/>
      <c r="R306" s="2"/>
      <c r="S306" s="2"/>
      <c r="T306" s="2"/>
      <c r="U306" s="2"/>
      <c r="V306" s="2"/>
      <c r="W306" s="2"/>
      <c r="X306" s="2"/>
      <c r="Y306" s="2"/>
      <c r="Z306" s="2"/>
    </row>
    <row r="307" spans="1:26" ht="19.5" customHeight="1">
      <c r="A307" s="4" t="s">
        <v>996</v>
      </c>
      <c r="B307" s="4" t="s">
        <v>997</v>
      </c>
      <c r="C307" s="6">
        <v>1</v>
      </c>
      <c r="D307" s="4" t="s">
        <v>778</v>
      </c>
      <c r="E307" s="7" t="s">
        <v>998</v>
      </c>
      <c r="F307" s="7" t="s">
        <v>999</v>
      </c>
      <c r="G307" s="7" t="s">
        <v>112</v>
      </c>
      <c r="H307" s="7" t="s">
        <v>193</v>
      </c>
      <c r="I307" s="7" t="s">
        <v>293</v>
      </c>
      <c r="J307" s="7" t="s">
        <v>1000</v>
      </c>
      <c r="K307" s="7" t="s">
        <v>176</v>
      </c>
      <c r="L307" s="7" t="s">
        <v>18</v>
      </c>
      <c r="M307" s="4" t="s">
        <v>1001</v>
      </c>
      <c r="N307" s="2"/>
      <c r="O307" s="2"/>
      <c r="P307" s="2"/>
      <c r="Q307" s="2"/>
      <c r="R307" s="2"/>
      <c r="S307" s="2"/>
      <c r="T307" s="2"/>
      <c r="U307" s="2"/>
      <c r="V307" s="2"/>
      <c r="W307" s="2"/>
      <c r="X307" s="2"/>
      <c r="Y307" s="2"/>
      <c r="Z307" s="2"/>
    </row>
    <row r="308" spans="1:26" ht="19.5" customHeight="1">
      <c r="A308" s="4" t="s">
        <v>1002</v>
      </c>
      <c r="B308" s="4" t="s">
        <v>1003</v>
      </c>
      <c r="C308" s="6">
        <v>1</v>
      </c>
      <c r="D308" s="4" t="s">
        <v>31</v>
      </c>
      <c r="E308" s="6">
        <v>72</v>
      </c>
      <c r="F308" s="6">
        <v>15</v>
      </c>
      <c r="G308" s="6">
        <v>0</v>
      </c>
      <c r="H308" s="6">
        <v>0</v>
      </c>
      <c r="I308" s="6">
        <v>14</v>
      </c>
      <c r="J308" s="6">
        <v>0</v>
      </c>
      <c r="K308" s="6">
        <v>0</v>
      </c>
      <c r="L308" s="6">
        <v>0</v>
      </c>
      <c r="M308" s="4" t="s">
        <v>1004</v>
      </c>
      <c r="N308" s="2"/>
      <c r="O308" s="2"/>
      <c r="P308" s="2"/>
      <c r="Q308" s="2"/>
      <c r="R308" s="2"/>
      <c r="S308" s="2"/>
      <c r="T308" s="2"/>
      <c r="U308" s="2"/>
      <c r="V308" s="2"/>
      <c r="W308" s="2"/>
      <c r="X308" s="2"/>
      <c r="Y308" s="2"/>
      <c r="Z308" s="2"/>
    </row>
    <row r="309" spans="1:26" ht="19.5" customHeight="1">
      <c r="A309" s="4" t="s">
        <v>1005</v>
      </c>
      <c r="B309" s="4" t="s">
        <v>1006</v>
      </c>
      <c r="C309" s="6">
        <v>1</v>
      </c>
      <c r="D309" s="4" t="s">
        <v>17</v>
      </c>
      <c r="E309" s="6">
        <v>140</v>
      </c>
      <c r="F309" s="6">
        <v>22</v>
      </c>
      <c r="G309" s="6">
        <v>2</v>
      </c>
      <c r="H309" s="6">
        <v>3</v>
      </c>
      <c r="I309" s="6">
        <v>0</v>
      </c>
      <c r="J309" s="6">
        <v>460</v>
      </c>
      <c r="K309" s="6">
        <v>6</v>
      </c>
      <c r="L309" s="6">
        <v>0</v>
      </c>
      <c r="M309" s="4" t="s">
        <v>1007</v>
      </c>
      <c r="N309" s="2"/>
      <c r="O309" s="2"/>
      <c r="P309" s="2"/>
      <c r="Q309" s="2"/>
      <c r="R309" s="2"/>
      <c r="S309" s="2"/>
      <c r="T309" s="2"/>
      <c r="U309" s="2"/>
      <c r="V309" s="2"/>
      <c r="W309" s="2"/>
      <c r="X309" s="2"/>
      <c r="Y309" s="2"/>
      <c r="Z309" s="2"/>
    </row>
    <row r="310" spans="1:26" ht="19.5" customHeight="1">
      <c r="A310" s="4" t="s">
        <v>1008</v>
      </c>
      <c r="B310" s="4" t="s">
        <v>1009</v>
      </c>
      <c r="C310" s="6">
        <v>1</v>
      </c>
      <c r="D310" s="4" t="s">
        <v>17</v>
      </c>
      <c r="E310" s="6">
        <v>220</v>
      </c>
      <c r="F310" s="6">
        <v>36</v>
      </c>
      <c r="G310" s="6">
        <v>6</v>
      </c>
      <c r="H310" s="6">
        <v>6</v>
      </c>
      <c r="I310" s="6">
        <v>3</v>
      </c>
      <c r="J310" s="7" t="s">
        <v>1010</v>
      </c>
      <c r="K310" s="7" t="s">
        <v>174</v>
      </c>
      <c r="L310" s="7" t="s">
        <v>18</v>
      </c>
      <c r="M310" s="4" t="s">
        <v>1011</v>
      </c>
      <c r="N310" s="2"/>
      <c r="O310" s="2"/>
      <c r="P310" s="2"/>
      <c r="Q310" s="2"/>
      <c r="R310" s="2"/>
      <c r="S310" s="2"/>
      <c r="T310" s="2"/>
      <c r="U310" s="2"/>
      <c r="V310" s="2"/>
      <c r="W310" s="2"/>
      <c r="X310" s="2"/>
      <c r="Y310" s="2"/>
      <c r="Z310" s="2"/>
    </row>
    <row r="311" spans="1:26" ht="19.5" customHeight="1">
      <c r="A311" s="4" t="s">
        <v>1012</v>
      </c>
      <c r="B311" s="4" t="s">
        <v>1013</v>
      </c>
      <c r="C311" s="6">
        <v>1</v>
      </c>
      <c r="D311" s="4" t="s">
        <v>613</v>
      </c>
      <c r="E311" s="7" t="s">
        <v>1014</v>
      </c>
      <c r="F311" s="7" t="s">
        <v>1015</v>
      </c>
      <c r="G311" s="7" t="s">
        <v>201</v>
      </c>
      <c r="H311" s="7" t="s">
        <v>125</v>
      </c>
      <c r="I311" s="7" t="s">
        <v>400</v>
      </c>
      <c r="J311" s="7" t="s">
        <v>1016</v>
      </c>
      <c r="K311" s="7" t="s">
        <v>174</v>
      </c>
      <c r="L311" s="7" t="s">
        <v>296</v>
      </c>
      <c r="M311" s="4" t="s">
        <v>1017</v>
      </c>
      <c r="N311" s="2"/>
      <c r="O311" s="2"/>
      <c r="P311" s="2"/>
      <c r="Q311" s="2"/>
      <c r="R311" s="2"/>
      <c r="S311" s="2"/>
      <c r="T311" s="2"/>
      <c r="U311" s="2"/>
      <c r="V311" s="2"/>
      <c r="W311" s="2"/>
      <c r="X311" s="2"/>
      <c r="Y311" s="2"/>
      <c r="Z311" s="2"/>
    </row>
    <row r="312" spans="1:26" ht="19.5" customHeight="1">
      <c r="A312" s="4" t="s">
        <v>1018</v>
      </c>
      <c r="B312" s="4" t="s">
        <v>1019</v>
      </c>
      <c r="C312" s="6">
        <v>1</v>
      </c>
      <c r="D312" s="4" t="s">
        <v>606</v>
      </c>
      <c r="E312" s="6">
        <v>0</v>
      </c>
      <c r="F312" s="6">
        <v>0</v>
      </c>
      <c r="G312" s="6">
        <v>0</v>
      </c>
      <c r="H312" s="6">
        <v>0</v>
      </c>
      <c r="I312" s="6">
        <v>0</v>
      </c>
      <c r="J312" s="6">
        <v>0</v>
      </c>
      <c r="K312" s="6">
        <v>0</v>
      </c>
      <c r="L312" s="6">
        <v>0</v>
      </c>
      <c r="M312" s="4" t="s">
        <v>1020</v>
      </c>
      <c r="N312" s="2"/>
      <c r="O312" s="2"/>
      <c r="P312" s="2"/>
      <c r="Q312" s="2"/>
      <c r="R312" s="2"/>
      <c r="S312" s="2"/>
      <c r="T312" s="2"/>
      <c r="U312" s="2"/>
      <c r="V312" s="2"/>
      <c r="W312" s="2"/>
      <c r="X312" s="2"/>
      <c r="Y312" s="2"/>
      <c r="Z312" s="2"/>
    </row>
    <row r="313" spans="1:26" ht="19.5" customHeight="1">
      <c r="A313" s="4" t="s">
        <v>1021</v>
      </c>
      <c r="B313" s="4" t="s">
        <v>1022</v>
      </c>
      <c r="C313" s="6">
        <v>1</v>
      </c>
      <c r="D313" s="4" t="s">
        <v>17</v>
      </c>
      <c r="E313" s="6">
        <v>120</v>
      </c>
      <c r="F313" s="6">
        <v>16</v>
      </c>
      <c r="G313" s="6">
        <v>3</v>
      </c>
      <c r="H313" s="6">
        <v>5</v>
      </c>
      <c r="I313" s="6">
        <v>7</v>
      </c>
      <c r="J313" s="6">
        <v>100</v>
      </c>
      <c r="K313" s="6">
        <v>1</v>
      </c>
      <c r="L313" s="6">
        <v>0</v>
      </c>
      <c r="M313" s="4" t="s">
        <v>1023</v>
      </c>
      <c r="N313" s="2"/>
      <c r="O313" s="2"/>
      <c r="P313" s="2"/>
      <c r="Q313" s="2"/>
      <c r="R313" s="2"/>
      <c r="S313" s="2"/>
      <c r="T313" s="2"/>
      <c r="U313" s="2"/>
      <c r="V313" s="2"/>
      <c r="W313" s="2"/>
      <c r="X313" s="2"/>
      <c r="Y313" s="2"/>
      <c r="Z313" s="2"/>
    </row>
    <row r="314" spans="1:26" ht="19.5" customHeight="1">
      <c r="A314" s="4" t="s">
        <v>1024</v>
      </c>
      <c r="B314" s="4" t="s">
        <v>1025</v>
      </c>
      <c r="C314" s="6">
        <v>1</v>
      </c>
      <c r="D314" s="4" t="s">
        <v>606</v>
      </c>
      <c r="E314" s="6">
        <v>17</v>
      </c>
      <c r="F314" s="6">
        <v>4</v>
      </c>
      <c r="G314" s="6">
        <v>0</v>
      </c>
      <c r="H314" s="6">
        <v>0</v>
      </c>
      <c r="I314" s="6">
        <v>3</v>
      </c>
      <c r="J314" s="6">
        <v>0</v>
      </c>
      <c r="K314" s="6">
        <v>0</v>
      </c>
      <c r="L314" s="6">
        <v>0</v>
      </c>
      <c r="M314" s="4" t="s">
        <v>1026</v>
      </c>
      <c r="N314" s="2"/>
      <c r="O314" s="2"/>
      <c r="P314" s="2"/>
      <c r="Q314" s="2"/>
      <c r="R314" s="2"/>
      <c r="S314" s="2"/>
      <c r="T314" s="2"/>
      <c r="U314" s="2"/>
      <c r="V314" s="2"/>
      <c r="W314" s="2"/>
      <c r="X314" s="2"/>
      <c r="Y314" s="2"/>
      <c r="Z314" s="2"/>
    </row>
    <row r="315" spans="1:26" ht="19.5" customHeight="1">
      <c r="A315" s="4" t="s">
        <v>1027</v>
      </c>
      <c r="B315" s="4" t="s">
        <v>1028</v>
      </c>
      <c r="C315" s="6">
        <v>1</v>
      </c>
      <c r="D315" s="4" t="s">
        <v>31</v>
      </c>
      <c r="E315" s="6">
        <v>130</v>
      </c>
      <c r="F315" s="6">
        <v>0</v>
      </c>
      <c r="G315" s="6">
        <v>0</v>
      </c>
      <c r="H315" s="6">
        <v>14</v>
      </c>
      <c r="I315" s="6">
        <v>0</v>
      </c>
      <c r="J315" s="6">
        <v>0</v>
      </c>
      <c r="K315" s="6">
        <v>0</v>
      </c>
      <c r="L315" s="6">
        <v>0</v>
      </c>
      <c r="M315" s="4" t="s">
        <v>1029</v>
      </c>
      <c r="N315" s="2"/>
      <c r="O315" s="2"/>
      <c r="P315" s="2"/>
      <c r="Q315" s="2"/>
      <c r="R315" s="2"/>
      <c r="S315" s="2"/>
      <c r="T315" s="2"/>
      <c r="U315" s="2"/>
      <c r="V315" s="2"/>
      <c r="W315" s="2"/>
      <c r="X315" s="2"/>
      <c r="Y315" s="2"/>
      <c r="Z315" s="2"/>
    </row>
    <row r="316" spans="1:26" ht="19.5" customHeight="1">
      <c r="A316" s="4" t="s">
        <v>1030</v>
      </c>
      <c r="B316" s="4" t="s">
        <v>1031</v>
      </c>
      <c r="C316" s="7" t="s">
        <v>176</v>
      </c>
      <c r="D316" s="4" t="s">
        <v>76</v>
      </c>
      <c r="E316" s="6">
        <v>15</v>
      </c>
      <c r="F316" s="6">
        <v>1</v>
      </c>
      <c r="G316" s="6">
        <v>1</v>
      </c>
      <c r="H316" s="6">
        <v>1.5</v>
      </c>
      <c r="I316" s="6">
        <v>0</v>
      </c>
      <c r="J316" s="6">
        <v>80</v>
      </c>
      <c r="K316" s="6">
        <v>0</v>
      </c>
      <c r="L316" s="6">
        <v>0</v>
      </c>
      <c r="M316" s="4" t="s">
        <v>1032</v>
      </c>
      <c r="N316" s="2"/>
      <c r="O316" s="2"/>
      <c r="P316" s="2"/>
      <c r="Q316" s="2"/>
      <c r="R316" s="2"/>
      <c r="S316" s="2"/>
      <c r="T316" s="2"/>
      <c r="U316" s="2"/>
      <c r="V316" s="2"/>
      <c r="W316" s="2"/>
      <c r="X316" s="2"/>
      <c r="Y316" s="2"/>
      <c r="Z316" s="2"/>
    </row>
    <row r="317" spans="1:26" ht="19.5" customHeight="1">
      <c r="A317" s="4" t="s">
        <v>1033</v>
      </c>
      <c r="B317" s="4" t="s">
        <v>1034</v>
      </c>
      <c r="C317" s="7" t="s">
        <v>176</v>
      </c>
      <c r="D317" s="4" t="s">
        <v>909</v>
      </c>
      <c r="E317" s="6">
        <v>190</v>
      </c>
      <c r="F317" s="6">
        <v>16</v>
      </c>
      <c r="G317" s="6">
        <v>13</v>
      </c>
      <c r="H317" s="6">
        <v>8</v>
      </c>
      <c r="I317" s="6">
        <v>1</v>
      </c>
      <c r="J317" s="6">
        <v>460</v>
      </c>
      <c r="K317" s="6">
        <v>2</v>
      </c>
      <c r="L317" s="6">
        <v>90</v>
      </c>
      <c r="M317" s="4" t="s">
        <v>1035</v>
      </c>
      <c r="N317" s="2"/>
      <c r="O317" s="2"/>
      <c r="P317" s="2"/>
      <c r="Q317" s="2"/>
      <c r="R317" s="2"/>
      <c r="S317" s="2"/>
      <c r="T317" s="2"/>
      <c r="U317" s="2"/>
      <c r="V317" s="2"/>
      <c r="W317" s="2"/>
      <c r="X317" s="2"/>
      <c r="Y317" s="2"/>
      <c r="Z317" s="2"/>
    </row>
    <row r="318" spans="1:26" ht="19.5" customHeight="1">
      <c r="A318" s="4" t="s">
        <v>1036</v>
      </c>
      <c r="B318" s="4" t="s">
        <v>1037</v>
      </c>
      <c r="C318" s="6">
        <v>1</v>
      </c>
      <c r="D318" s="4" t="s">
        <v>31</v>
      </c>
      <c r="E318" s="6">
        <v>5</v>
      </c>
      <c r="F318" s="6">
        <v>1</v>
      </c>
      <c r="G318" s="6">
        <v>0</v>
      </c>
      <c r="H318" s="6">
        <v>0</v>
      </c>
      <c r="I318" s="6">
        <v>0</v>
      </c>
      <c r="J318" s="6">
        <v>50</v>
      </c>
      <c r="K318" s="6">
        <v>0</v>
      </c>
      <c r="L318" s="6">
        <v>0</v>
      </c>
      <c r="M318" s="4" t="s">
        <v>1038</v>
      </c>
      <c r="N318" s="2"/>
      <c r="O318" s="2"/>
      <c r="P318" s="2"/>
      <c r="Q318" s="2"/>
      <c r="R318" s="2"/>
      <c r="S318" s="2"/>
      <c r="T318" s="2"/>
      <c r="U318" s="2"/>
      <c r="V318" s="2"/>
      <c r="W318" s="2"/>
      <c r="X318" s="2"/>
      <c r="Y318" s="2"/>
      <c r="Z318" s="2"/>
    </row>
    <row r="319" spans="1:26" ht="19.5" customHeight="1">
      <c r="A319" s="4" t="s">
        <v>1039</v>
      </c>
      <c r="B319" s="4" t="s">
        <v>1040</v>
      </c>
      <c r="C319" s="6">
        <v>1</v>
      </c>
      <c r="D319" s="4" t="s">
        <v>31</v>
      </c>
      <c r="E319" s="6">
        <v>120</v>
      </c>
      <c r="F319" s="6">
        <v>0</v>
      </c>
      <c r="G319" s="6">
        <v>0</v>
      </c>
      <c r="H319" s="6">
        <v>14</v>
      </c>
      <c r="I319" s="6">
        <v>0</v>
      </c>
      <c r="J319" s="6">
        <v>0</v>
      </c>
      <c r="K319" s="6">
        <v>0</v>
      </c>
      <c r="L319" s="6">
        <v>0</v>
      </c>
      <c r="M319" s="4" t="s">
        <v>1029</v>
      </c>
      <c r="N319" s="2"/>
      <c r="O319" s="2"/>
      <c r="P319" s="2"/>
      <c r="Q319" s="2"/>
      <c r="R319" s="2"/>
      <c r="S319" s="2"/>
      <c r="T319" s="2"/>
      <c r="U319" s="2"/>
      <c r="V319" s="2"/>
      <c r="W319" s="2"/>
      <c r="X319" s="2"/>
      <c r="Y319" s="2"/>
      <c r="Z319" s="2"/>
    </row>
    <row r="320" spans="1:26" ht="19.5" customHeight="1">
      <c r="A320" s="4" t="s">
        <v>1041</v>
      </c>
      <c r="B320" s="4" t="s">
        <v>1042</v>
      </c>
      <c r="C320" s="6">
        <v>1</v>
      </c>
      <c r="D320" s="4" t="s">
        <v>76</v>
      </c>
      <c r="E320" s="6">
        <v>10</v>
      </c>
      <c r="F320" s="6">
        <v>1</v>
      </c>
      <c r="G320" s="6">
        <v>0</v>
      </c>
      <c r="H320" s="6">
        <v>0.5</v>
      </c>
      <c r="I320" s="6">
        <v>0</v>
      </c>
      <c r="J320" s="6">
        <v>130</v>
      </c>
      <c r="K320" s="6">
        <v>0</v>
      </c>
      <c r="L320" s="6">
        <v>0</v>
      </c>
      <c r="M320" s="4" t="s">
        <v>1043</v>
      </c>
      <c r="N320" s="2"/>
      <c r="O320" s="2"/>
      <c r="P320" s="2"/>
      <c r="Q320" s="2"/>
      <c r="R320" s="2"/>
      <c r="S320" s="2"/>
      <c r="T320" s="2"/>
      <c r="U320" s="2"/>
      <c r="V320" s="2"/>
      <c r="W320" s="2"/>
      <c r="X320" s="2"/>
      <c r="Y320" s="2"/>
      <c r="Z320" s="2"/>
    </row>
    <row r="321" spans="1:26" ht="19.5" customHeight="1">
      <c r="A321" s="4" t="s">
        <v>1044</v>
      </c>
      <c r="B321" s="4" t="s">
        <v>1045</v>
      </c>
      <c r="C321" s="6">
        <v>1</v>
      </c>
      <c r="D321" s="4" t="s">
        <v>31</v>
      </c>
      <c r="E321" s="6">
        <v>15</v>
      </c>
      <c r="F321" s="6">
        <v>0</v>
      </c>
      <c r="G321" s="6">
        <v>3</v>
      </c>
      <c r="H321" s="6">
        <v>0</v>
      </c>
      <c r="I321" s="6">
        <v>0</v>
      </c>
      <c r="J321" s="6">
        <v>1570</v>
      </c>
      <c r="K321" s="6">
        <v>0</v>
      </c>
      <c r="L321" s="6">
        <v>0</v>
      </c>
      <c r="M321" s="4" t="s">
        <v>1046</v>
      </c>
      <c r="N321" s="2"/>
      <c r="O321" s="2"/>
      <c r="P321" s="2"/>
      <c r="Q321" s="2"/>
      <c r="R321" s="2"/>
      <c r="S321" s="2"/>
      <c r="T321" s="2"/>
      <c r="U321" s="2"/>
      <c r="V321" s="2"/>
      <c r="W321" s="2"/>
      <c r="X321" s="2"/>
      <c r="Y321" s="2"/>
      <c r="Z321" s="2"/>
    </row>
    <row r="322" spans="1:26" ht="19.5" customHeight="1">
      <c r="A322" s="4" t="s">
        <v>1047</v>
      </c>
      <c r="B322" s="4" t="s">
        <v>1031</v>
      </c>
      <c r="C322" s="6">
        <v>1</v>
      </c>
      <c r="D322" s="4" t="s">
        <v>76</v>
      </c>
      <c r="E322" s="6">
        <v>15</v>
      </c>
      <c r="F322" s="6">
        <v>0</v>
      </c>
      <c r="G322" s="6">
        <v>0</v>
      </c>
      <c r="H322" s="6">
        <v>1.5</v>
      </c>
      <c r="I322" s="6">
        <v>0</v>
      </c>
      <c r="J322" s="6">
        <v>80</v>
      </c>
      <c r="K322" s="6">
        <v>0</v>
      </c>
      <c r="L322" s="6">
        <v>0</v>
      </c>
      <c r="M322" s="4" t="s">
        <v>1032</v>
      </c>
      <c r="N322" s="2"/>
      <c r="O322" s="2"/>
      <c r="P322" s="2"/>
      <c r="Q322" s="2"/>
      <c r="R322" s="2"/>
      <c r="S322" s="2"/>
      <c r="T322" s="2"/>
      <c r="U322" s="2"/>
      <c r="V322" s="2"/>
      <c r="W322" s="2"/>
      <c r="X322" s="2"/>
      <c r="Y322" s="2"/>
      <c r="Z322" s="2"/>
    </row>
    <row r="323" spans="1:26" ht="19.5" customHeight="1">
      <c r="A323" s="4" t="s">
        <v>1048</v>
      </c>
      <c r="B323" s="4" t="s">
        <v>1049</v>
      </c>
      <c r="C323" s="6">
        <v>1</v>
      </c>
      <c r="D323" s="4" t="s">
        <v>205</v>
      </c>
      <c r="E323" s="6">
        <v>10</v>
      </c>
      <c r="F323" s="6">
        <v>2</v>
      </c>
      <c r="G323" s="6">
        <v>1</v>
      </c>
      <c r="H323" s="6">
        <v>0</v>
      </c>
      <c r="I323" s="6">
        <v>0</v>
      </c>
      <c r="J323" s="6">
        <v>180</v>
      </c>
      <c r="K323" s="6">
        <v>1</v>
      </c>
      <c r="L323" s="6">
        <v>0</v>
      </c>
      <c r="M323" s="4" t="s">
        <v>1050</v>
      </c>
      <c r="N323" s="2"/>
      <c r="O323" s="2"/>
      <c r="P323" s="2"/>
      <c r="Q323" s="2"/>
      <c r="R323" s="2"/>
      <c r="S323" s="2"/>
      <c r="T323" s="2"/>
      <c r="U323" s="2"/>
      <c r="V323" s="2"/>
      <c r="W323" s="2"/>
      <c r="X323" s="2"/>
      <c r="Y323" s="2"/>
      <c r="Z323" s="2"/>
    </row>
    <row r="324" spans="1:26" ht="19.5" customHeight="1">
      <c r="A324" s="4" t="s">
        <v>1051</v>
      </c>
      <c r="B324" s="4" t="s">
        <v>1052</v>
      </c>
      <c r="C324" s="6">
        <v>1</v>
      </c>
      <c r="D324" s="4" t="s">
        <v>76</v>
      </c>
      <c r="E324" s="6">
        <v>5</v>
      </c>
      <c r="F324" s="6">
        <v>0</v>
      </c>
      <c r="G324" s="6">
        <v>0</v>
      </c>
      <c r="H324" s="6">
        <v>0</v>
      </c>
      <c r="I324" s="6">
        <v>0</v>
      </c>
      <c r="J324" s="6">
        <v>120</v>
      </c>
      <c r="K324" s="6">
        <v>0</v>
      </c>
      <c r="L324" s="6">
        <v>0</v>
      </c>
      <c r="M324" s="4" t="s">
        <v>1053</v>
      </c>
      <c r="N324" s="2"/>
      <c r="O324" s="2"/>
      <c r="P324" s="2"/>
      <c r="Q324" s="2"/>
      <c r="R324" s="2"/>
      <c r="S324" s="2"/>
      <c r="T324" s="2"/>
      <c r="U324" s="2"/>
      <c r="V324" s="2"/>
      <c r="W324" s="2"/>
      <c r="X324" s="2"/>
      <c r="Y324" s="2"/>
      <c r="Z324" s="2"/>
    </row>
    <row r="325" spans="1:26" ht="19.5" customHeight="1">
      <c r="A325" s="4" t="s">
        <v>1054</v>
      </c>
      <c r="B325" s="4" t="s">
        <v>1055</v>
      </c>
      <c r="C325" s="6">
        <v>1</v>
      </c>
      <c r="D325" s="4" t="s">
        <v>76</v>
      </c>
      <c r="E325" s="6">
        <v>10</v>
      </c>
      <c r="F325" s="6">
        <v>0</v>
      </c>
      <c r="G325" s="6">
        <v>0</v>
      </c>
      <c r="H325" s="6">
        <v>0.5</v>
      </c>
      <c r="I325" s="6">
        <v>0</v>
      </c>
      <c r="J325" s="6">
        <v>100</v>
      </c>
      <c r="K325" s="6">
        <v>0</v>
      </c>
      <c r="L325" s="6">
        <v>0</v>
      </c>
      <c r="M325" s="4" t="s">
        <v>1056</v>
      </c>
      <c r="N325" s="2"/>
      <c r="O325" s="2"/>
      <c r="P325" s="2"/>
      <c r="Q325" s="2"/>
      <c r="R325" s="2"/>
      <c r="S325" s="2"/>
      <c r="T325" s="2"/>
      <c r="U325" s="2"/>
      <c r="V325" s="2"/>
      <c r="W325" s="2"/>
      <c r="X325" s="2"/>
      <c r="Y325" s="2"/>
      <c r="Z325" s="2"/>
    </row>
    <row r="326" spans="1:26" ht="19.5" customHeight="1">
      <c r="A326" s="4" t="s">
        <v>1057</v>
      </c>
      <c r="B326" s="4" t="s">
        <v>1058</v>
      </c>
      <c r="C326" s="6">
        <v>0.5</v>
      </c>
      <c r="D326" s="4" t="s">
        <v>17</v>
      </c>
      <c r="E326" s="6">
        <v>80</v>
      </c>
      <c r="F326" s="6">
        <v>1</v>
      </c>
      <c r="G326" s="6">
        <v>13</v>
      </c>
      <c r="H326" s="6">
        <v>3</v>
      </c>
      <c r="I326" s="6">
        <v>0</v>
      </c>
      <c r="J326" s="6">
        <v>280</v>
      </c>
      <c r="K326" s="6">
        <v>1</v>
      </c>
      <c r="L326" s="6">
        <v>0</v>
      </c>
      <c r="M326" s="4" t="s">
        <v>1059</v>
      </c>
      <c r="N326" s="2"/>
      <c r="O326" s="2"/>
      <c r="P326" s="2"/>
      <c r="Q326" s="2"/>
      <c r="R326" s="2"/>
      <c r="S326" s="2"/>
      <c r="T326" s="2"/>
      <c r="U326" s="2"/>
      <c r="V326" s="2"/>
      <c r="W326" s="2"/>
      <c r="X326" s="2"/>
      <c r="Y326" s="2"/>
      <c r="Z326" s="2"/>
    </row>
    <row r="327" spans="1:26" ht="19.5" customHeight="1">
      <c r="A327" s="4" t="s">
        <v>1060</v>
      </c>
      <c r="B327" s="4" t="s">
        <v>1061</v>
      </c>
      <c r="C327" s="7" t="s">
        <v>930</v>
      </c>
      <c r="D327" s="4" t="s">
        <v>205</v>
      </c>
      <c r="E327" s="6">
        <v>70</v>
      </c>
      <c r="F327" s="6">
        <v>0</v>
      </c>
      <c r="G327" s="6">
        <v>11</v>
      </c>
      <c r="H327" s="6">
        <v>2.5</v>
      </c>
      <c r="I327" s="6">
        <v>0</v>
      </c>
      <c r="J327" s="6">
        <v>230</v>
      </c>
      <c r="K327" s="6">
        <v>0</v>
      </c>
      <c r="L327" s="6">
        <v>20</v>
      </c>
      <c r="M327" s="4" t="s">
        <v>1062</v>
      </c>
      <c r="N327" s="2"/>
      <c r="O327" s="2"/>
      <c r="P327" s="2"/>
      <c r="Q327" s="2"/>
      <c r="R327" s="2"/>
      <c r="S327" s="2"/>
      <c r="T327" s="2"/>
      <c r="U327" s="2"/>
      <c r="V327" s="2"/>
      <c r="W327" s="2"/>
      <c r="X327" s="2"/>
      <c r="Y327" s="2"/>
      <c r="Z327" s="2"/>
    </row>
    <row r="328" spans="1:26" ht="19.5" customHeight="1">
      <c r="A328" s="4" t="s">
        <v>1063</v>
      </c>
      <c r="B328" s="4" t="s">
        <v>1064</v>
      </c>
      <c r="C328" s="7" t="s">
        <v>930</v>
      </c>
      <c r="D328" s="4" t="s">
        <v>200</v>
      </c>
      <c r="E328" s="6">
        <v>80</v>
      </c>
      <c r="F328" s="6">
        <v>16</v>
      </c>
      <c r="G328" s="6">
        <v>4</v>
      </c>
      <c r="H328" s="6">
        <v>1</v>
      </c>
      <c r="I328" s="6">
        <v>0</v>
      </c>
      <c r="J328" s="6">
        <v>120</v>
      </c>
      <c r="K328" s="6">
        <v>3</v>
      </c>
      <c r="L328" s="6">
        <v>0</v>
      </c>
      <c r="M328" s="4" t="s">
        <v>1065</v>
      </c>
      <c r="N328" s="2"/>
      <c r="O328" s="2"/>
      <c r="P328" s="2"/>
      <c r="Q328" s="2"/>
      <c r="R328" s="2"/>
      <c r="S328" s="2"/>
      <c r="T328" s="2"/>
      <c r="U328" s="2"/>
      <c r="V328" s="2"/>
      <c r="W328" s="2"/>
      <c r="X328" s="2"/>
      <c r="Y328" s="2"/>
      <c r="Z328" s="2"/>
    </row>
    <row r="329" spans="1:26" ht="19.5" customHeight="1">
      <c r="A329" s="4" t="s">
        <v>1066</v>
      </c>
      <c r="B329" s="4" t="s">
        <v>1067</v>
      </c>
      <c r="C329" s="6">
        <v>0.5</v>
      </c>
      <c r="D329" s="4" t="s">
        <v>212</v>
      </c>
      <c r="E329" s="7" t="s">
        <v>171</v>
      </c>
      <c r="F329" s="7" t="s">
        <v>999</v>
      </c>
      <c r="G329" s="7" t="s">
        <v>125</v>
      </c>
      <c r="H329" s="7" t="s">
        <v>400</v>
      </c>
      <c r="I329" s="7" t="s">
        <v>457</v>
      </c>
      <c r="J329" s="7" t="s">
        <v>1068</v>
      </c>
      <c r="K329" s="7" t="s">
        <v>174</v>
      </c>
      <c r="L329" s="7" t="s">
        <v>18</v>
      </c>
      <c r="M329" s="4" t="s">
        <v>1069</v>
      </c>
      <c r="N329" s="2"/>
      <c r="O329" s="2"/>
      <c r="P329" s="2"/>
      <c r="Q329" s="2"/>
      <c r="R329" s="2"/>
      <c r="S329" s="2"/>
      <c r="T329" s="2"/>
      <c r="U329" s="2"/>
      <c r="V329" s="2"/>
      <c r="W329" s="2"/>
      <c r="X329" s="2"/>
      <c r="Y329" s="2"/>
      <c r="Z329" s="2"/>
    </row>
    <row r="330" spans="1:26" ht="19.5" customHeight="1">
      <c r="A330" s="4" t="s">
        <v>1070</v>
      </c>
      <c r="B330" s="4" t="s">
        <v>1071</v>
      </c>
      <c r="C330" s="6">
        <v>0.25</v>
      </c>
      <c r="D330" s="4" t="s">
        <v>17</v>
      </c>
      <c r="E330" s="6">
        <v>180</v>
      </c>
      <c r="F330" s="6">
        <v>5</v>
      </c>
      <c r="G330" s="6">
        <v>7</v>
      </c>
      <c r="H330" s="6">
        <v>15</v>
      </c>
      <c r="I330" s="6">
        <v>0</v>
      </c>
      <c r="J330" s="6">
        <v>190</v>
      </c>
      <c r="K330" s="6">
        <v>2</v>
      </c>
      <c r="L330" s="6">
        <v>0</v>
      </c>
      <c r="M330" s="4" t="s">
        <v>80</v>
      </c>
      <c r="N330" s="2"/>
      <c r="O330" s="2"/>
      <c r="P330" s="2"/>
      <c r="Q330" s="2"/>
      <c r="R330" s="2"/>
      <c r="S330" s="2"/>
      <c r="T330" s="2"/>
      <c r="U330" s="2"/>
      <c r="V330" s="2"/>
      <c r="W330" s="2"/>
      <c r="X330" s="2"/>
      <c r="Y330" s="2"/>
      <c r="Z330" s="2"/>
    </row>
    <row r="331" spans="1:26"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autoFilter ref="A3:Z330" xr:uid="{00000000-0009-0000-0000-000001000000}">
    <sortState xmlns:xlrd2="http://schemas.microsoft.com/office/spreadsheetml/2017/richdata2" ref="A3:Z330">
      <sortCondition descending="1" ref="E3:E330"/>
    </sortState>
  </autoFilter>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2"/>
  <sheetViews>
    <sheetView tabSelected="1" topLeftCell="B1" workbookViewId="0">
      <selection activeCell="M11" sqref="M11"/>
    </sheetView>
  </sheetViews>
  <sheetFormatPr defaultColWidth="14.453125" defaultRowHeight="15" customHeight="1"/>
  <cols>
    <col min="1" max="1" width="34.453125" hidden="1" customWidth="1"/>
    <col min="2" max="2" width="66.7265625" customWidth="1"/>
    <col min="3" max="3" width="17" customWidth="1"/>
    <col min="4" max="4" width="20.453125" customWidth="1"/>
    <col min="5" max="5" width="17.81640625" customWidth="1"/>
    <col min="6" max="6" width="16" customWidth="1"/>
    <col min="7" max="7" width="17.08984375" customWidth="1"/>
    <col min="8" max="8" width="13.7265625" customWidth="1"/>
    <col min="9" max="9" width="16" customWidth="1"/>
    <col min="10" max="10" width="17.453125" customWidth="1"/>
    <col min="11" max="11" width="15.08984375" customWidth="1"/>
    <col min="12" max="12" width="20.453125" customWidth="1"/>
    <col min="13" max="13" width="166.7265625" customWidth="1"/>
    <col min="14" max="14" width="8.1796875" bestFit="1" customWidth="1"/>
    <col min="15" max="26" width="8.26953125" customWidth="1"/>
  </cols>
  <sheetData>
    <row r="1" spans="1:26" ht="27.75" customHeight="1">
      <c r="A1" s="26" t="s">
        <v>0</v>
      </c>
      <c r="B1" s="26"/>
      <c r="C1" s="26"/>
      <c r="D1" s="26"/>
      <c r="E1" s="26"/>
      <c r="F1" s="26"/>
      <c r="G1" s="26"/>
      <c r="H1" s="26"/>
      <c r="I1" s="26"/>
      <c r="J1" s="26"/>
      <c r="K1" s="26"/>
      <c r="L1" s="26"/>
      <c r="M1" s="26"/>
      <c r="N1" s="26"/>
      <c r="O1" s="2"/>
      <c r="P1" s="2"/>
      <c r="Q1" s="2"/>
      <c r="R1" s="2"/>
      <c r="S1" s="2"/>
      <c r="T1" s="2"/>
      <c r="U1" s="2"/>
      <c r="V1" s="2"/>
      <c r="W1" s="2"/>
      <c r="X1" s="2"/>
      <c r="Y1" s="2"/>
      <c r="Z1" s="2"/>
    </row>
    <row r="2" spans="1:26" ht="27.75" customHeight="1">
      <c r="A2" s="1"/>
      <c r="B2" s="1"/>
      <c r="C2" s="1"/>
      <c r="D2" s="1" t="s">
        <v>1</v>
      </c>
      <c r="E2" s="1">
        <v>2000</v>
      </c>
      <c r="F2" s="1">
        <f>(225+325)/2</f>
        <v>275</v>
      </c>
      <c r="G2" s="1">
        <f>(56+46)/2</f>
        <v>51</v>
      </c>
      <c r="H2" s="1">
        <f>(44+77)/2</f>
        <v>60.5</v>
      </c>
      <c r="I2" s="1">
        <f>(36+25)/2</f>
        <v>30.5</v>
      </c>
      <c r="J2" s="1">
        <f>2300</f>
        <v>2300</v>
      </c>
      <c r="K2" s="1">
        <f>(25+30)/2</f>
        <v>27.5</v>
      </c>
      <c r="L2" s="1">
        <f>300</f>
        <v>300</v>
      </c>
      <c r="M2" s="1"/>
      <c r="N2" s="2"/>
      <c r="O2" s="2"/>
      <c r="P2" s="2"/>
      <c r="Q2" s="2"/>
      <c r="R2" s="2"/>
      <c r="S2" s="2"/>
      <c r="T2" s="2"/>
      <c r="U2" s="2"/>
      <c r="V2" s="2"/>
      <c r="W2" s="2"/>
      <c r="X2" s="2"/>
      <c r="Y2" s="2"/>
      <c r="Z2" s="2"/>
    </row>
    <row r="3" spans="1:26" ht="20.25" customHeight="1">
      <c r="A3" s="3" t="s">
        <v>2</v>
      </c>
      <c r="B3" s="3" t="s">
        <v>3</v>
      </c>
      <c r="C3" s="3" t="s">
        <v>4</v>
      </c>
      <c r="D3" s="3" t="s">
        <v>5</v>
      </c>
      <c r="E3" s="3" t="s">
        <v>6</v>
      </c>
      <c r="F3" s="3" t="s">
        <v>7</v>
      </c>
      <c r="G3" s="3" t="s">
        <v>8</v>
      </c>
      <c r="H3" s="3" t="s">
        <v>9</v>
      </c>
      <c r="I3" s="3" t="s">
        <v>10</v>
      </c>
      <c r="J3" s="3" t="s">
        <v>11</v>
      </c>
      <c r="K3" s="3" t="s">
        <v>12</v>
      </c>
      <c r="L3" s="3" t="s">
        <v>13</v>
      </c>
      <c r="M3" s="3" t="s">
        <v>14</v>
      </c>
      <c r="N3" s="2" t="s">
        <v>1124</v>
      </c>
      <c r="O3" s="2"/>
      <c r="P3" s="2"/>
      <c r="Q3" s="2"/>
      <c r="R3" s="2"/>
      <c r="S3" s="2"/>
      <c r="T3" s="2"/>
      <c r="U3" s="2"/>
      <c r="V3" s="2"/>
      <c r="W3" s="2"/>
      <c r="X3" s="2"/>
      <c r="Y3" s="2"/>
      <c r="Z3" s="2"/>
    </row>
    <row r="4" spans="1:26" ht="20.25" customHeight="1">
      <c r="A4" s="4" t="s">
        <v>15</v>
      </c>
      <c r="B4" s="4" t="s">
        <v>16</v>
      </c>
      <c r="C4" s="5">
        <v>43894</v>
      </c>
      <c r="D4" s="4" t="s">
        <v>17</v>
      </c>
      <c r="E4" s="13">
        <f>'Standardized Values'!E4/E$2</f>
        <v>0.08</v>
      </c>
      <c r="F4" s="13">
        <f>'Standardized Values'!F4/F$2</f>
        <v>0.14545454545454545</v>
      </c>
      <c r="G4" s="13">
        <f>'Standardized Values'!G4/G$2</f>
        <v>0</v>
      </c>
      <c r="H4" s="13">
        <f>'Standardized Values'!H4/H$2</f>
        <v>0</v>
      </c>
      <c r="I4" s="13">
        <f>'Standardized Values'!I4/I$2</f>
        <v>1.180327868852459</v>
      </c>
      <c r="J4" s="13">
        <f>'Standardized Values'!J4/J$2</f>
        <v>2.1739130434782609E-3</v>
      </c>
      <c r="K4" s="13">
        <f>'Standardized Values'!K4/K$2</f>
        <v>0</v>
      </c>
      <c r="L4" s="13">
        <f>'Standardized Values'!L4/L$2</f>
        <v>0</v>
      </c>
      <c r="M4" s="4" t="s">
        <v>19</v>
      </c>
      <c r="N4" s="2" t="s">
        <v>1127</v>
      </c>
      <c r="O4" s="2"/>
      <c r="P4" s="2"/>
      <c r="Q4" s="2"/>
      <c r="R4" s="2"/>
      <c r="S4" s="2"/>
      <c r="T4" s="2"/>
      <c r="U4" s="2"/>
      <c r="V4" s="2"/>
      <c r="W4" s="2"/>
      <c r="X4" s="2"/>
      <c r="Y4" s="2"/>
      <c r="Z4" s="2"/>
    </row>
    <row r="5" spans="1:26" ht="19.5" customHeight="1">
      <c r="A5" s="4" t="s">
        <v>20</v>
      </c>
      <c r="B5" s="4" t="s">
        <v>21</v>
      </c>
      <c r="C5" s="5">
        <v>43894</v>
      </c>
      <c r="D5" s="4" t="s">
        <v>17</v>
      </c>
      <c r="E5" s="13">
        <f>'Standardized Values'!E5/E$2</f>
        <v>7.0000000000000007E-2</v>
      </c>
      <c r="F5" s="13">
        <f>'Standardized Values'!F5/F$2</f>
        <v>4.363636363636364E-2</v>
      </c>
      <c r="G5" s="13">
        <f>'Standardized Values'!G5/G$2</f>
        <v>0.11764705882352941</v>
      </c>
      <c r="H5" s="13">
        <f>'Standardized Values'!H5/H$2</f>
        <v>0.13223140495867769</v>
      </c>
      <c r="I5" s="13">
        <f>'Standardized Values'!I5/I$2</f>
        <v>0.26229508196721313</v>
      </c>
      <c r="J5" s="13">
        <f>'Standardized Values'!J5/J$2</f>
        <v>3.4782608695652174E-2</v>
      </c>
      <c r="K5" s="13">
        <f>'Standardized Values'!K5/K$2</f>
        <v>0</v>
      </c>
      <c r="L5" s="13">
        <f>'Standardized Values'!L5/L$2</f>
        <v>8.3333333333333329E-2</v>
      </c>
      <c r="M5" s="4" t="s">
        <v>22</v>
      </c>
      <c r="N5" s="2" t="s">
        <v>1126</v>
      </c>
      <c r="O5" s="2"/>
      <c r="P5" s="2"/>
      <c r="Q5" s="2"/>
      <c r="R5" s="2"/>
      <c r="S5" s="2"/>
      <c r="T5" s="2"/>
      <c r="U5" s="2"/>
      <c r="V5" s="2"/>
      <c r="W5" s="2"/>
      <c r="X5" s="2"/>
      <c r="Y5" s="2"/>
      <c r="Z5" s="2"/>
    </row>
    <row r="6" spans="1:26" ht="19.5" customHeight="1">
      <c r="A6" s="4" t="s">
        <v>23</v>
      </c>
      <c r="B6" s="4" t="s">
        <v>24</v>
      </c>
      <c r="C6" s="5">
        <v>43894</v>
      </c>
      <c r="D6" s="4" t="s">
        <v>17</v>
      </c>
      <c r="E6" s="13">
        <f>'Standardized Values'!E6/E$2</f>
        <v>7.4999999999999997E-2</v>
      </c>
      <c r="F6" s="13">
        <f>'Standardized Values'!F6/F$2</f>
        <v>3.272727272727273E-2</v>
      </c>
      <c r="G6" s="13">
        <f>'Standardized Values'!G6/G$2</f>
        <v>0.29411764705882354</v>
      </c>
      <c r="H6" s="13">
        <f>'Standardized Values'!H6/H$2</f>
        <v>0.11570247933884298</v>
      </c>
      <c r="I6" s="13">
        <f>'Standardized Values'!I6/I$2</f>
        <v>0.26229508196721313</v>
      </c>
      <c r="J6" s="13">
        <f>'Standardized Values'!J6/J$2</f>
        <v>2.8260869565217391E-2</v>
      </c>
      <c r="K6" s="13">
        <f>'Standardized Values'!K6/K$2</f>
        <v>0</v>
      </c>
      <c r="L6" s="13">
        <f>'Standardized Values'!L6/L$2</f>
        <v>0.1</v>
      </c>
      <c r="M6" s="4" t="s">
        <v>25</v>
      </c>
      <c r="N6" s="2" t="s">
        <v>1126</v>
      </c>
      <c r="O6" s="2"/>
      <c r="P6" s="2"/>
      <c r="Q6" s="2"/>
      <c r="R6" s="2"/>
      <c r="S6" s="2"/>
      <c r="T6" s="2"/>
      <c r="U6" s="2"/>
      <c r="V6" s="2"/>
      <c r="W6" s="2"/>
      <c r="X6" s="2"/>
      <c r="Y6" s="2"/>
      <c r="Z6" s="2"/>
    </row>
    <row r="7" spans="1:26" ht="19.5" customHeight="1">
      <c r="A7" s="4" t="s">
        <v>26</v>
      </c>
      <c r="B7" s="4" t="s">
        <v>27</v>
      </c>
      <c r="C7" s="5">
        <v>43894</v>
      </c>
      <c r="D7" s="4" t="s">
        <v>17</v>
      </c>
      <c r="E7" s="13">
        <f>'Standardized Values'!E7/E$2</f>
        <v>7.0000000000000007E-2</v>
      </c>
      <c r="F7" s="13">
        <f>'Standardized Values'!F7/F$2</f>
        <v>2.5454545454545455E-2</v>
      </c>
      <c r="G7" s="13">
        <f>'Standardized Values'!G7/G$2</f>
        <v>0.31372549019607843</v>
      </c>
      <c r="H7" s="13">
        <f>'Standardized Values'!H7/H$2</f>
        <v>9.9173553719008267E-2</v>
      </c>
      <c r="I7" s="13">
        <f>'Standardized Values'!I7/I$2</f>
        <v>0.16393442622950818</v>
      </c>
      <c r="J7" s="13">
        <f>'Standardized Values'!J7/J$2</f>
        <v>2.8260869565217391E-2</v>
      </c>
      <c r="K7" s="13">
        <f>'Standardized Values'!K7/K$2</f>
        <v>0</v>
      </c>
      <c r="L7" s="13">
        <f>'Standardized Values'!L7/L$2</f>
        <v>8.3333333333333329E-2</v>
      </c>
      <c r="M7" s="4" t="s">
        <v>28</v>
      </c>
      <c r="N7" s="2" t="s">
        <v>1126</v>
      </c>
      <c r="O7" s="2"/>
      <c r="P7" s="2"/>
      <c r="Q7" s="2"/>
      <c r="R7" s="2"/>
      <c r="S7" s="2"/>
      <c r="T7" s="2"/>
      <c r="U7" s="2"/>
      <c r="V7" s="2"/>
      <c r="W7" s="2"/>
      <c r="X7" s="2"/>
      <c r="Y7" s="2"/>
      <c r="Z7" s="2"/>
    </row>
    <row r="8" spans="1:26" ht="19.5" customHeight="1">
      <c r="A8" s="4" t="s">
        <v>29</v>
      </c>
      <c r="B8" s="4" t="s">
        <v>30</v>
      </c>
      <c r="C8" s="5">
        <v>43894</v>
      </c>
      <c r="D8" s="4" t="s">
        <v>31</v>
      </c>
      <c r="E8" s="13">
        <f>'Standardized Values'!E8/E$2</f>
        <v>1.2500000000000001E-2</v>
      </c>
      <c r="F8" s="13">
        <f>'Standardized Values'!F8/F$2</f>
        <v>1.090909090909091E-2</v>
      </c>
      <c r="G8" s="13">
        <f>'Standardized Values'!G8/G$2</f>
        <v>3.9215686274509803E-2</v>
      </c>
      <c r="H8" s="13">
        <f>'Standardized Values'!H8/H$2</f>
        <v>1.6528925619834711E-2</v>
      </c>
      <c r="I8" s="13">
        <f>'Standardized Values'!I8/I$2</f>
        <v>9.8360655737704916E-2</v>
      </c>
      <c r="J8" s="13">
        <f>'Standardized Values'!J8/J$2</f>
        <v>0.22608695652173913</v>
      </c>
      <c r="K8" s="13">
        <f>'Standardized Values'!K8/K$2</f>
        <v>0</v>
      </c>
      <c r="L8" s="13">
        <f>'Standardized Values'!L8/L$2</f>
        <v>0</v>
      </c>
      <c r="M8" s="4" t="s">
        <v>32</v>
      </c>
      <c r="N8" s="2" t="s">
        <v>1127</v>
      </c>
      <c r="O8" s="2"/>
      <c r="P8" s="2"/>
      <c r="Q8" s="2"/>
      <c r="R8" s="2"/>
      <c r="S8" s="2"/>
      <c r="T8" s="2"/>
      <c r="U8" s="2"/>
      <c r="V8" s="2"/>
      <c r="W8" s="2"/>
      <c r="X8" s="2"/>
      <c r="Y8" s="2"/>
      <c r="Z8" s="2"/>
    </row>
    <row r="9" spans="1:26" ht="19.5" customHeight="1">
      <c r="A9" s="4" t="s">
        <v>33</v>
      </c>
      <c r="B9" s="4" t="s">
        <v>34</v>
      </c>
      <c r="C9" s="4" t="s">
        <v>35</v>
      </c>
      <c r="D9" s="4" t="s">
        <v>17</v>
      </c>
      <c r="E9" s="13">
        <f>'Standardized Values'!E9/E$2</f>
        <v>0.06</v>
      </c>
      <c r="F9" s="13">
        <f>'Standardized Values'!F9/F$2</f>
        <v>6.9090909090909092E-2</v>
      </c>
      <c r="G9" s="13">
        <f>'Standardized Values'!G9/G$2</f>
        <v>0.19607843137254902</v>
      </c>
      <c r="H9" s="13">
        <f>'Standardized Values'!H9/H$2</f>
        <v>1.6528925619834711E-2</v>
      </c>
      <c r="I9" s="13">
        <f>'Standardized Values'!I9/I$2</f>
        <v>0.22950819672131148</v>
      </c>
      <c r="J9" s="13">
        <f>'Standardized Values'!J9/J$2</f>
        <v>8.2608695652173908E-2</v>
      </c>
      <c r="K9" s="13">
        <f>'Standardized Values'!K9/K$2</f>
        <v>0.10909090909090909</v>
      </c>
      <c r="L9" s="13">
        <f>'Standardized Values'!L9/L$2</f>
        <v>0</v>
      </c>
      <c r="M9" s="4" t="s">
        <v>36</v>
      </c>
      <c r="N9" s="2" t="s">
        <v>1126</v>
      </c>
      <c r="O9" s="2"/>
      <c r="P9" s="2"/>
      <c r="Q9" s="2"/>
      <c r="R9" s="2"/>
      <c r="S9" s="2"/>
      <c r="T9" s="2"/>
      <c r="U9" s="2"/>
      <c r="V9" s="2"/>
      <c r="W9" s="2"/>
      <c r="X9" s="2"/>
      <c r="Y9" s="2"/>
      <c r="Z9" s="2"/>
    </row>
    <row r="10" spans="1:26" ht="19.5" customHeight="1">
      <c r="A10" s="4" t="s">
        <v>37</v>
      </c>
      <c r="B10" s="4" t="s">
        <v>38</v>
      </c>
      <c r="C10" s="4" t="s">
        <v>35</v>
      </c>
      <c r="D10" s="4" t="s">
        <v>17</v>
      </c>
      <c r="E10" s="13">
        <f>'Standardized Values'!E10/E$2</f>
        <v>5.5E-2</v>
      </c>
      <c r="F10" s="13">
        <f>'Standardized Values'!F10/F$2</f>
        <v>0.08</v>
      </c>
      <c r="G10" s="13">
        <f>'Standardized Values'!G10/G$2</f>
        <v>3.9215686274509803E-2</v>
      </c>
      <c r="H10" s="13">
        <f>'Standardized Values'!H10/H$2</f>
        <v>2.4793388429752067E-2</v>
      </c>
      <c r="I10" s="13">
        <f>'Standardized Values'!I10/I$2</f>
        <v>0.29508196721311475</v>
      </c>
      <c r="J10" s="13">
        <f>'Standardized Values'!J10/J$2</f>
        <v>6.9565217391304349E-2</v>
      </c>
      <c r="K10" s="13">
        <f>'Standardized Values'!K10/K$2</f>
        <v>7.2727272727272724E-2</v>
      </c>
      <c r="L10" s="13">
        <f>'Standardized Values'!L10/L$2</f>
        <v>0</v>
      </c>
      <c r="M10" s="4" t="s">
        <v>39</v>
      </c>
      <c r="N10" s="2" t="s">
        <v>1126</v>
      </c>
      <c r="O10" s="2"/>
      <c r="P10" s="2"/>
      <c r="Q10" s="2"/>
      <c r="R10" s="2"/>
      <c r="S10" s="2"/>
      <c r="T10" s="2"/>
      <c r="U10" s="2"/>
      <c r="V10" s="2"/>
      <c r="W10" s="2"/>
      <c r="X10" s="2"/>
      <c r="Y10" s="2"/>
      <c r="Z10" s="2"/>
    </row>
    <row r="11" spans="1:26" ht="19.5" customHeight="1">
      <c r="A11" s="4" t="s">
        <v>40</v>
      </c>
      <c r="B11" s="4" t="s">
        <v>41</v>
      </c>
      <c r="C11" s="5">
        <v>43894</v>
      </c>
      <c r="D11" s="4" t="s">
        <v>17</v>
      </c>
      <c r="E11" s="13">
        <f>'Standardized Values'!E11/E$2</f>
        <v>0.1</v>
      </c>
      <c r="F11" s="13">
        <f>'Standardized Values'!F11/F$2</f>
        <v>2.181818181818182E-2</v>
      </c>
      <c r="G11" s="13">
        <f>'Standardized Values'!G11/G$2</f>
        <v>0.29411764705882354</v>
      </c>
      <c r="H11" s="13">
        <f>'Standardized Values'!H11/H$2</f>
        <v>0.21487603305785125</v>
      </c>
      <c r="I11" s="13">
        <f>'Standardized Values'!I11/I$2</f>
        <v>9.8360655737704916E-2</v>
      </c>
      <c r="J11" s="13">
        <f>'Standardized Values'!J11/J$2</f>
        <v>0.2565217391304348</v>
      </c>
      <c r="K11" s="13">
        <f>'Standardized Values'!K11/K$2</f>
        <v>0.10909090909090909</v>
      </c>
      <c r="L11" s="13">
        <f>'Standardized Values'!L11/L$2</f>
        <v>0.13333333333333333</v>
      </c>
      <c r="M11" s="4" t="s">
        <v>42</v>
      </c>
      <c r="N11" s="2" t="s">
        <v>1128</v>
      </c>
      <c r="O11" s="2"/>
      <c r="P11" s="2"/>
      <c r="Q11" s="2"/>
      <c r="R11" s="2"/>
      <c r="S11" s="2"/>
      <c r="T11" s="2"/>
      <c r="U11" s="2"/>
      <c r="V11" s="2"/>
      <c r="W11" s="2"/>
      <c r="X11" s="2"/>
      <c r="Y11" s="2"/>
      <c r="Z11" s="2"/>
    </row>
    <row r="12" spans="1:26" ht="19.5" customHeight="1">
      <c r="A12" s="4" t="s">
        <v>43</v>
      </c>
      <c r="B12" s="4" t="s">
        <v>44</v>
      </c>
      <c r="C12" s="5">
        <v>43894</v>
      </c>
      <c r="D12" s="4" t="s">
        <v>17</v>
      </c>
      <c r="E12" s="13">
        <f>'Standardized Values'!E12/E$2</f>
        <v>0.12</v>
      </c>
      <c r="F12" s="13">
        <f>'Standardized Values'!F12/F$2</f>
        <v>2.9090909090909091E-2</v>
      </c>
      <c r="G12" s="13">
        <f>'Standardized Values'!G12/G$2</f>
        <v>0.19607843137254902</v>
      </c>
      <c r="H12" s="13">
        <f>'Standardized Values'!H12/H$2</f>
        <v>0.2975206611570248</v>
      </c>
      <c r="I12" s="13">
        <f>'Standardized Values'!I12/I$2</f>
        <v>0.13114754098360656</v>
      </c>
      <c r="J12" s="13">
        <f>'Standardized Values'!J12/J$2</f>
        <v>0.33478260869565218</v>
      </c>
      <c r="K12" s="13">
        <f>'Standardized Values'!K12/K$2</f>
        <v>0.10909090909090909</v>
      </c>
      <c r="L12" s="13">
        <f>'Standardized Values'!L12/L$2</f>
        <v>0.05</v>
      </c>
      <c r="M12" s="4" t="s">
        <v>45</v>
      </c>
      <c r="N12" s="2" t="s">
        <v>1128</v>
      </c>
      <c r="O12" s="2"/>
      <c r="P12" s="2"/>
      <c r="Q12" s="2"/>
      <c r="R12" s="2"/>
      <c r="S12" s="2"/>
      <c r="T12" s="2"/>
      <c r="U12" s="2"/>
      <c r="V12" s="2"/>
      <c r="W12" s="2"/>
      <c r="X12" s="2"/>
      <c r="Y12" s="2"/>
      <c r="Z12" s="2"/>
    </row>
    <row r="13" spans="1:26" ht="43.5" customHeight="1">
      <c r="A13" s="4" t="s">
        <v>46</v>
      </c>
      <c r="B13" s="4" t="s">
        <v>47</v>
      </c>
      <c r="C13" s="5">
        <v>43894</v>
      </c>
      <c r="D13" s="4" t="s">
        <v>17</v>
      </c>
      <c r="E13" s="13">
        <f>'Standardized Values'!E13/E$2</f>
        <v>9.5000000000000001E-2</v>
      </c>
      <c r="F13" s="13">
        <f>'Standardized Values'!F13/F$2</f>
        <v>0.08</v>
      </c>
      <c r="G13" s="13">
        <f>'Standardized Values'!G13/G$2</f>
        <v>9.8039215686274508E-2</v>
      </c>
      <c r="H13" s="13">
        <f>'Standardized Values'!H13/H$2</f>
        <v>0.1487603305785124</v>
      </c>
      <c r="I13" s="13">
        <f>'Standardized Values'!I13/I$2</f>
        <v>0.19672131147540983</v>
      </c>
      <c r="J13" s="13">
        <f>'Standardized Values'!J13/J$2</f>
        <v>0.27826086956521739</v>
      </c>
      <c r="K13" s="13">
        <f>'Standardized Values'!K13/K$2</f>
        <v>0.25454545454545452</v>
      </c>
      <c r="L13" s="13">
        <f>'Standardized Values'!L13/L$2</f>
        <v>0</v>
      </c>
      <c r="M13" s="4" t="s">
        <v>48</v>
      </c>
      <c r="N13" s="2" t="s">
        <v>1128</v>
      </c>
      <c r="O13" s="2"/>
      <c r="P13" s="2"/>
      <c r="Q13" s="2"/>
      <c r="R13" s="2"/>
      <c r="S13" s="2"/>
      <c r="T13" s="2"/>
      <c r="U13" s="2"/>
      <c r="V13" s="2"/>
      <c r="W13" s="2"/>
      <c r="X13" s="2"/>
      <c r="Y13" s="2"/>
      <c r="Z13" s="2"/>
    </row>
    <row r="14" spans="1:26" ht="19.5" customHeight="1">
      <c r="A14" s="4" t="s">
        <v>49</v>
      </c>
      <c r="B14" s="4" t="s">
        <v>50</v>
      </c>
      <c r="C14" s="5">
        <v>43864</v>
      </c>
      <c r="D14" s="4" t="s">
        <v>17</v>
      </c>
      <c r="E14" s="13">
        <f>'Standardized Values'!E14/E$2</f>
        <v>0.14000000000000001</v>
      </c>
      <c r="F14" s="13">
        <f>'Standardized Values'!F14/F$2</f>
        <v>0.12</v>
      </c>
      <c r="G14" s="13">
        <f>'Standardized Values'!G14/G$2</f>
        <v>9.8039215686274508E-2</v>
      </c>
      <c r="H14" s="13">
        <f>'Standardized Values'!H14/H$2</f>
        <v>0.1487603305785124</v>
      </c>
      <c r="I14" s="13">
        <f>'Standardized Values'!I14/I$2</f>
        <v>1.0163934426229508</v>
      </c>
      <c r="J14" s="13">
        <f>'Standardized Values'!J14/J$2</f>
        <v>1.0869565217391304E-2</v>
      </c>
      <c r="K14" s="13">
        <f>'Standardized Values'!K14/K$2</f>
        <v>3.6363636363636362E-2</v>
      </c>
      <c r="L14" s="13">
        <f>'Standardized Values'!L14/L$2</f>
        <v>0.51666666666666672</v>
      </c>
      <c r="M14" s="4" t="s">
        <v>51</v>
      </c>
      <c r="N14" s="2" t="s">
        <v>1129</v>
      </c>
      <c r="O14" s="2"/>
      <c r="P14" s="2"/>
      <c r="Q14" s="2"/>
      <c r="R14" s="2"/>
      <c r="S14" s="2"/>
      <c r="T14" s="2"/>
      <c r="U14" s="2"/>
      <c r="V14" s="2"/>
      <c r="W14" s="2"/>
      <c r="X14" s="2"/>
      <c r="Y14" s="2"/>
      <c r="Z14" s="2"/>
    </row>
    <row r="15" spans="1:26" ht="19.5" customHeight="1">
      <c r="A15" s="4" t="s">
        <v>52</v>
      </c>
      <c r="B15" s="4" t="s">
        <v>53</v>
      </c>
      <c r="C15" s="4" t="s">
        <v>54</v>
      </c>
      <c r="D15" s="4" t="s">
        <v>17</v>
      </c>
      <c r="E15" s="13">
        <f>'Standardized Values'!E15/E$2</f>
        <v>0.05</v>
      </c>
      <c r="F15" s="13">
        <f>'Standardized Values'!F15/F$2</f>
        <v>2.5454545454545455E-2</v>
      </c>
      <c r="G15" s="13">
        <f>'Standardized Values'!G15/G$2</f>
        <v>0.37254901960784315</v>
      </c>
      <c r="H15" s="13">
        <f>'Standardized Values'!H15/H$2</f>
        <v>0</v>
      </c>
      <c r="I15" s="13">
        <f>'Standardized Values'!I15/I$2</f>
        <v>0.16393442622950818</v>
      </c>
      <c r="J15" s="13">
        <f>'Standardized Values'!J15/J$2</f>
        <v>2.8260869565217391E-2</v>
      </c>
      <c r="K15" s="13">
        <f>'Standardized Values'!K15/K$2</f>
        <v>0</v>
      </c>
      <c r="L15" s="13">
        <f>'Standardized Values'!L15/L$2</f>
        <v>3.3333333333333333E-2</v>
      </c>
      <c r="M15" s="4" t="s">
        <v>55</v>
      </c>
      <c r="N15" s="2" t="s">
        <v>1126</v>
      </c>
      <c r="O15" s="2"/>
      <c r="P15" s="2"/>
      <c r="Q15" s="2"/>
      <c r="R15" s="2"/>
      <c r="S15" s="2"/>
      <c r="T15" s="2"/>
      <c r="U15" s="2"/>
      <c r="V15" s="2"/>
      <c r="W15" s="2"/>
      <c r="X15" s="2"/>
      <c r="Y15" s="2"/>
      <c r="Z15" s="2"/>
    </row>
    <row r="16" spans="1:26" ht="19.5" customHeight="1">
      <c r="A16" s="4" t="s">
        <v>56</v>
      </c>
      <c r="B16" s="4" t="s">
        <v>57</v>
      </c>
      <c r="C16" s="4" t="s">
        <v>54</v>
      </c>
      <c r="D16" s="4" t="s">
        <v>58</v>
      </c>
      <c r="E16" s="13">
        <f>'Standardized Values'!E16/E$2</f>
        <v>0.155</v>
      </c>
      <c r="F16" s="13">
        <f>'Standardized Values'!F16/F$2</f>
        <v>0.13454545454545455</v>
      </c>
      <c r="G16" s="13">
        <f>'Standardized Values'!G16/G$2</f>
        <v>9.8039215686274508E-2</v>
      </c>
      <c r="H16" s="13">
        <f>'Standardized Values'!H16/H$2</f>
        <v>0.26446280991735538</v>
      </c>
      <c r="I16" s="13">
        <f>'Standardized Values'!I16/I$2</f>
        <v>0.95081967213114749</v>
      </c>
      <c r="J16" s="13">
        <f>'Standardized Values'!J16/J$2</f>
        <v>1.7391304347826087E-2</v>
      </c>
      <c r="K16" s="13">
        <f>'Standardized Values'!K16/K$2</f>
        <v>0.10909090909090909</v>
      </c>
      <c r="L16" s="13">
        <f>'Standardized Values'!L16/L$2</f>
        <v>0.13333333333333333</v>
      </c>
      <c r="M16" s="4" t="s">
        <v>59</v>
      </c>
      <c r="N16" s="2" t="s">
        <v>1126</v>
      </c>
      <c r="O16" s="2"/>
      <c r="P16" s="2"/>
      <c r="Q16" s="2"/>
      <c r="R16" s="2"/>
      <c r="S16" s="2"/>
      <c r="T16" s="2"/>
      <c r="U16" s="2"/>
      <c r="V16" s="2"/>
      <c r="W16" s="2"/>
      <c r="X16" s="2"/>
      <c r="Y16" s="2"/>
      <c r="Z16" s="2"/>
    </row>
    <row r="17" spans="1:26" ht="19.5" customHeight="1">
      <c r="A17" s="4" t="s">
        <v>60</v>
      </c>
      <c r="B17" s="4" t="s">
        <v>61</v>
      </c>
      <c r="C17" s="5">
        <v>43864</v>
      </c>
      <c r="D17" s="4" t="s">
        <v>62</v>
      </c>
      <c r="E17" s="13">
        <f>'Standardized Values'!E17/E$2</f>
        <v>0.08</v>
      </c>
      <c r="F17" s="13">
        <f>'Standardized Values'!F17/F$2</f>
        <v>2.9090909090909091E-2</v>
      </c>
      <c r="G17" s="13">
        <f>'Standardized Values'!G17/G$2</f>
        <v>3.9215686274509803E-2</v>
      </c>
      <c r="H17" s="13">
        <f>'Standardized Values'!H17/H$2</f>
        <v>0.21487603305785125</v>
      </c>
      <c r="I17" s="13">
        <f>'Standardized Values'!I17/I$2</f>
        <v>6.5573770491803282E-2</v>
      </c>
      <c r="J17" s="13">
        <f>'Standardized Values'!J17/J$2</f>
        <v>4.3478260869565218E-3</v>
      </c>
      <c r="K17" s="13">
        <f>'Standardized Values'!K17/K$2</f>
        <v>0</v>
      </c>
      <c r="L17" s="13">
        <f>'Standardized Values'!L17/L$2</f>
        <v>0</v>
      </c>
      <c r="M17" s="4" t="s">
        <v>63</v>
      </c>
      <c r="N17" s="2" t="s">
        <v>1126</v>
      </c>
      <c r="O17" s="2"/>
      <c r="P17" s="2"/>
      <c r="Q17" s="2"/>
      <c r="R17" s="2"/>
      <c r="S17" s="2"/>
      <c r="T17" s="2"/>
      <c r="U17" s="2"/>
      <c r="V17" s="2"/>
      <c r="W17" s="2"/>
      <c r="X17" s="2"/>
      <c r="Y17" s="2"/>
      <c r="Z17" s="2"/>
    </row>
    <row r="18" spans="1:26" ht="19.5" customHeight="1">
      <c r="A18" s="4" t="s">
        <v>64</v>
      </c>
      <c r="B18" s="4" t="s">
        <v>65</v>
      </c>
      <c r="C18" s="5">
        <v>43834</v>
      </c>
      <c r="D18" s="4" t="s">
        <v>17</v>
      </c>
      <c r="E18" s="13">
        <f>'Standardized Values'!E18/E$2</f>
        <v>0.08</v>
      </c>
      <c r="F18" s="13">
        <f>'Standardized Values'!F18/F$2</f>
        <v>0.12727272727272726</v>
      </c>
      <c r="G18" s="13">
        <f>'Standardized Values'!G18/G$2</f>
        <v>5.8823529411764705E-2</v>
      </c>
      <c r="H18" s="13">
        <f>'Standardized Values'!H18/H$2</f>
        <v>0</v>
      </c>
      <c r="I18" s="13">
        <f>'Standardized Values'!I18/I$2</f>
        <v>6.5573770491803282E-2</v>
      </c>
      <c r="J18" s="13">
        <f>'Standardized Values'!J18/J$2</f>
        <v>0.17826086956521739</v>
      </c>
      <c r="K18" s="13">
        <f>'Standardized Values'!K18/K$2</f>
        <v>7.2727272727272724E-2</v>
      </c>
      <c r="L18" s="13">
        <f>'Standardized Values'!L18/L$2</f>
        <v>0</v>
      </c>
      <c r="M18" s="4" t="s">
        <v>66</v>
      </c>
      <c r="N18" s="2" t="s">
        <v>1127</v>
      </c>
      <c r="O18" s="2"/>
      <c r="P18" s="2"/>
      <c r="Q18" s="2"/>
      <c r="R18" s="2"/>
      <c r="S18" s="2"/>
      <c r="T18" s="2"/>
      <c r="U18" s="2"/>
      <c r="V18" s="2"/>
      <c r="W18" s="2"/>
      <c r="X18" s="2"/>
      <c r="Y18" s="2"/>
      <c r="Z18" s="2"/>
    </row>
    <row r="19" spans="1:26" ht="19.5" customHeight="1">
      <c r="A19" s="4" t="s">
        <v>67</v>
      </c>
      <c r="B19" s="4" t="s">
        <v>68</v>
      </c>
      <c r="C19" s="4" t="s">
        <v>69</v>
      </c>
      <c r="D19" s="4" t="s">
        <v>17</v>
      </c>
      <c r="E19" s="13">
        <f>'Standardized Values'!E19/E$2</f>
        <v>8.5000000000000006E-2</v>
      </c>
      <c r="F19" s="13">
        <f>'Standardized Values'!F19/F$2</f>
        <v>0.10909090909090909</v>
      </c>
      <c r="G19" s="13">
        <f>'Standardized Values'!G19/G$2</f>
        <v>0.21568627450980393</v>
      </c>
      <c r="H19" s="13">
        <f>'Standardized Values'!H19/H$2</f>
        <v>4.9586776859504134E-2</v>
      </c>
      <c r="I19" s="13">
        <f>'Standardized Values'!I19/I$2</f>
        <v>0</v>
      </c>
      <c r="J19" s="13">
        <f>'Standardized Values'!J19/J$2</f>
        <v>3.0434782608695653E-2</v>
      </c>
      <c r="K19" s="13">
        <f>'Standardized Values'!K19/K$2</f>
        <v>0.18181818181818182</v>
      </c>
      <c r="L19" s="13">
        <f>'Standardized Values'!L19/L$2</f>
        <v>0</v>
      </c>
      <c r="M19" s="4" t="s">
        <v>70</v>
      </c>
      <c r="N19" s="2" t="s">
        <v>1127</v>
      </c>
      <c r="O19" s="2"/>
      <c r="P19" s="2"/>
      <c r="Q19" s="2"/>
      <c r="R19" s="2"/>
      <c r="S19" s="2"/>
      <c r="T19" s="2"/>
      <c r="U19" s="2"/>
      <c r="V19" s="2"/>
      <c r="W19" s="2"/>
      <c r="X19" s="2"/>
      <c r="Y19" s="2"/>
      <c r="Z19" s="2"/>
    </row>
    <row r="20" spans="1:26" ht="19.5" customHeight="1">
      <c r="A20" s="4" t="s">
        <v>71</v>
      </c>
      <c r="B20" s="4" t="s">
        <v>72</v>
      </c>
      <c r="C20" s="5">
        <v>43834</v>
      </c>
      <c r="D20" s="4" t="s">
        <v>17</v>
      </c>
      <c r="E20" s="13">
        <f>'Standardized Values'!E20/E$2</f>
        <v>7.4999999999999997E-2</v>
      </c>
      <c r="F20" s="13">
        <f>'Standardized Values'!F20/F$2</f>
        <v>0</v>
      </c>
      <c r="G20" s="13">
        <f>'Standardized Values'!G20/G$2</f>
        <v>0.31372549019607843</v>
      </c>
      <c r="H20" s="13">
        <f>'Standardized Values'!H20/H$2</f>
        <v>0.1487603305785124</v>
      </c>
      <c r="I20" s="13">
        <f>'Standardized Values'!I20/I$2</f>
        <v>0</v>
      </c>
      <c r="J20" s="13">
        <f>'Standardized Values'!J20/J$2</f>
        <v>4.3478260869565216E-2</v>
      </c>
      <c r="K20" s="13">
        <f>'Standardized Values'!K20/K$2</f>
        <v>0</v>
      </c>
      <c r="L20" s="13">
        <f>'Standardized Values'!L20/L$2</f>
        <v>8.3333333333333329E-2</v>
      </c>
      <c r="M20" s="4" t="s">
        <v>73</v>
      </c>
      <c r="N20" s="2" t="s">
        <v>1127</v>
      </c>
      <c r="O20" s="2"/>
      <c r="P20" s="2"/>
      <c r="Q20" s="2"/>
      <c r="R20" s="2"/>
      <c r="S20" s="2"/>
      <c r="T20" s="2"/>
      <c r="U20" s="2"/>
      <c r="V20" s="2"/>
      <c r="W20" s="2"/>
      <c r="X20" s="2"/>
      <c r="Y20" s="2"/>
      <c r="Z20" s="2"/>
    </row>
    <row r="21" spans="1:26" ht="19.5" customHeight="1">
      <c r="A21" s="4" t="s">
        <v>74</v>
      </c>
      <c r="B21" s="4" t="s">
        <v>75</v>
      </c>
      <c r="C21" s="5">
        <v>43834</v>
      </c>
      <c r="D21" s="4" t="s">
        <v>76</v>
      </c>
      <c r="E21" s="13">
        <f>'Standardized Values'!E21/E$2</f>
        <v>0</v>
      </c>
      <c r="F21" s="13">
        <f>'Standardized Values'!F21/F$2</f>
        <v>0</v>
      </c>
      <c r="G21" s="13">
        <f>'Standardized Values'!G21/G$2</f>
        <v>0</v>
      </c>
      <c r="H21" s="13">
        <f>'Standardized Values'!H21/H$2</f>
        <v>0</v>
      </c>
      <c r="I21" s="13">
        <f>'Standardized Values'!I21/I$2</f>
        <v>0</v>
      </c>
      <c r="J21" s="13">
        <f>'Standardized Values'!J21/J$2</f>
        <v>0.25217391304347825</v>
      </c>
      <c r="K21" s="13">
        <f>'Standardized Values'!K21/K$2</f>
        <v>0</v>
      </c>
      <c r="L21" s="13">
        <f>'Standardized Values'!L21/L$2</f>
        <v>0</v>
      </c>
      <c r="M21" s="4" t="s">
        <v>77</v>
      </c>
      <c r="N21" s="2" t="s">
        <v>1127</v>
      </c>
      <c r="O21" s="2"/>
      <c r="P21" s="2"/>
      <c r="Q21" s="2"/>
      <c r="R21" s="2"/>
      <c r="S21" s="2"/>
      <c r="T21" s="2"/>
      <c r="U21" s="2"/>
      <c r="V21" s="2"/>
      <c r="W21" s="2"/>
      <c r="X21" s="2"/>
      <c r="Y21" s="2"/>
      <c r="Z21" s="2"/>
    </row>
    <row r="22" spans="1:26" ht="19.5" customHeight="1">
      <c r="A22" s="4" t="s">
        <v>78</v>
      </c>
      <c r="B22" s="4" t="s">
        <v>79</v>
      </c>
      <c r="C22" s="5">
        <v>43834</v>
      </c>
      <c r="D22" s="4" t="s">
        <v>17</v>
      </c>
      <c r="E22" s="13">
        <f>'Standardized Values'!E22/E$2</f>
        <v>0.08</v>
      </c>
      <c r="F22" s="13">
        <f>'Standardized Values'!F22/F$2</f>
        <v>1.090909090909091E-2</v>
      </c>
      <c r="G22" s="13">
        <f>'Standardized Values'!G22/G$2</f>
        <v>0.17647058823529413</v>
      </c>
      <c r="H22" s="13">
        <f>'Standardized Values'!H22/H$2</f>
        <v>0.23140495867768596</v>
      </c>
      <c r="I22" s="13">
        <f>'Standardized Values'!I22/I$2</f>
        <v>0</v>
      </c>
      <c r="J22" s="13">
        <f>'Standardized Values'!J22/J$2</f>
        <v>7.3913043478260873E-2</v>
      </c>
      <c r="K22" s="13">
        <f>'Standardized Values'!K22/K$2</f>
        <v>7.2727272727272724E-2</v>
      </c>
      <c r="L22" s="13">
        <f>'Standardized Values'!L22/L$2</f>
        <v>0</v>
      </c>
      <c r="M22" s="4" t="s">
        <v>80</v>
      </c>
      <c r="N22" s="2" t="s">
        <v>1126</v>
      </c>
      <c r="O22" s="2"/>
      <c r="P22" s="2"/>
      <c r="Q22" s="2"/>
      <c r="R22" s="2"/>
      <c r="S22" s="2"/>
      <c r="T22" s="2"/>
      <c r="U22" s="2"/>
      <c r="V22" s="2"/>
      <c r="W22" s="2"/>
      <c r="X22" s="2"/>
      <c r="Y22" s="2"/>
      <c r="Z22" s="2"/>
    </row>
    <row r="23" spans="1:26" ht="19.5" customHeight="1">
      <c r="A23" s="4" t="s">
        <v>81</v>
      </c>
      <c r="B23" s="4" t="s">
        <v>82</v>
      </c>
      <c r="C23" s="5">
        <v>43834</v>
      </c>
      <c r="D23" s="4" t="s">
        <v>17</v>
      </c>
      <c r="E23" s="13">
        <f>'Standardized Values'!E23/E$2</f>
        <v>8.5000000000000006E-2</v>
      </c>
      <c r="F23" s="13">
        <f>'Standardized Values'!F23/F$2</f>
        <v>1.8181818181818181E-2</v>
      </c>
      <c r="G23" s="13">
        <f>'Standardized Values'!G23/G$2</f>
        <v>0</v>
      </c>
      <c r="H23" s="13">
        <f>'Standardized Values'!H23/H$2</f>
        <v>0.26446280991735538</v>
      </c>
      <c r="I23" s="13">
        <f>'Standardized Values'!I23/I$2</f>
        <v>0.13114754098360656</v>
      </c>
      <c r="J23" s="13">
        <f>'Standardized Values'!J23/J$2</f>
        <v>0.11739130434782609</v>
      </c>
      <c r="K23" s="13">
        <f>'Standardized Values'!K23/K$2</f>
        <v>0</v>
      </c>
      <c r="L23" s="13">
        <f>'Standardized Values'!L23/L$2</f>
        <v>0</v>
      </c>
      <c r="M23" s="4" t="s">
        <v>83</v>
      </c>
      <c r="N23" s="2" t="s">
        <v>1127</v>
      </c>
      <c r="O23" s="2"/>
      <c r="P23" s="2"/>
      <c r="Q23" s="2"/>
      <c r="R23" s="2"/>
      <c r="S23" s="2"/>
      <c r="T23" s="2"/>
      <c r="U23" s="2"/>
      <c r="V23" s="2"/>
      <c r="W23" s="2"/>
      <c r="X23" s="2"/>
      <c r="Y23" s="2"/>
      <c r="Z23" s="2"/>
    </row>
    <row r="24" spans="1:26" ht="19.5" customHeight="1">
      <c r="A24" s="4" t="s">
        <v>84</v>
      </c>
      <c r="B24" s="4" t="s">
        <v>85</v>
      </c>
      <c r="C24" s="5">
        <v>43834</v>
      </c>
      <c r="D24" s="4" t="s">
        <v>17</v>
      </c>
      <c r="E24" s="13">
        <f>'Standardized Values'!E24/E$2</f>
        <v>0.21099999999999999</v>
      </c>
      <c r="F24" s="13">
        <f>'Standardized Values'!F24/F$2</f>
        <v>2.181818181818182E-2</v>
      </c>
      <c r="G24" s="13">
        <f>'Standardized Values'!G24/G$2</f>
        <v>7.8431372549019607E-2</v>
      </c>
      <c r="H24" s="13">
        <f>'Standardized Values'!H24/H$2</f>
        <v>6.6115702479338845E-2</v>
      </c>
      <c r="I24" s="13">
        <f>'Standardized Values'!I24/I$2</f>
        <v>6.5573770491803282E-2</v>
      </c>
      <c r="J24" s="13">
        <f>'Standardized Values'!J24/J$2</f>
        <v>0.2391304347826087</v>
      </c>
      <c r="K24" s="13">
        <f>'Standardized Values'!K24/K$2</f>
        <v>0.18181818181818182</v>
      </c>
      <c r="L24" s="13">
        <f>'Standardized Values'!L24/L$2</f>
        <v>0</v>
      </c>
      <c r="M24" s="4" t="s">
        <v>86</v>
      </c>
      <c r="N24" s="2" t="s">
        <v>1127</v>
      </c>
      <c r="O24" s="2"/>
      <c r="P24" s="2"/>
      <c r="Q24" s="2"/>
      <c r="R24" s="2"/>
      <c r="S24" s="2"/>
      <c r="T24" s="2"/>
      <c r="U24" s="2"/>
      <c r="V24" s="2"/>
      <c r="W24" s="2"/>
      <c r="X24" s="2"/>
      <c r="Y24" s="2"/>
      <c r="Z24" s="2"/>
    </row>
    <row r="25" spans="1:26" ht="19.5" customHeight="1">
      <c r="A25" s="4" t="s">
        <v>87</v>
      </c>
      <c r="B25" s="4" t="s">
        <v>88</v>
      </c>
      <c r="C25" s="5">
        <v>43834</v>
      </c>
      <c r="D25" s="4" t="s">
        <v>17</v>
      </c>
      <c r="E25" s="13">
        <f>'Standardized Values'!E25/E$2</f>
        <v>0.16300000000000001</v>
      </c>
      <c r="F25" s="13">
        <f>'Standardized Values'!F25/F$2</f>
        <v>4.363636363636364E-2</v>
      </c>
      <c r="G25" s="13">
        <f>'Standardized Values'!G25/G$2</f>
        <v>0.11764705882352941</v>
      </c>
      <c r="H25" s="13">
        <f>'Standardized Values'!H25/H$2</f>
        <v>0.4462809917355372</v>
      </c>
      <c r="I25" s="13">
        <f>'Standardized Values'!I25/I$2</f>
        <v>3.2786885245901641E-2</v>
      </c>
      <c r="J25" s="13">
        <f>'Standardized Values'!J25/J$2</f>
        <v>0.30869565217391304</v>
      </c>
      <c r="K25" s="13">
        <f>'Standardized Values'!K25/K$2</f>
        <v>0.18181818181818182</v>
      </c>
      <c r="L25" s="13">
        <f>'Standardized Values'!L25/L$2</f>
        <v>0</v>
      </c>
      <c r="M25" s="4" t="s">
        <v>89</v>
      </c>
      <c r="N25" s="2" t="s">
        <v>1127</v>
      </c>
      <c r="O25" s="2"/>
      <c r="P25" s="2"/>
      <c r="Q25" s="2"/>
      <c r="R25" s="2"/>
      <c r="S25" s="2"/>
      <c r="T25" s="2"/>
      <c r="U25" s="2"/>
      <c r="V25" s="2"/>
      <c r="W25" s="2"/>
      <c r="X25" s="2"/>
      <c r="Y25" s="2"/>
      <c r="Z25" s="2"/>
    </row>
    <row r="26" spans="1:26" ht="19.5" customHeight="1">
      <c r="A26" s="4" t="s">
        <v>90</v>
      </c>
      <c r="B26" s="4" t="s">
        <v>91</v>
      </c>
      <c r="C26" s="5">
        <v>43834</v>
      </c>
      <c r="D26" s="4" t="s">
        <v>17</v>
      </c>
      <c r="E26" s="13">
        <f>'Standardized Values'!E26/E$2</f>
        <v>0.08</v>
      </c>
      <c r="F26" s="13">
        <f>'Standardized Values'!F26/F$2</f>
        <v>0.13454545454545455</v>
      </c>
      <c r="G26" s="13">
        <f>'Standardized Values'!G26/G$2</f>
        <v>5.8823529411764705E-2</v>
      </c>
      <c r="H26" s="13">
        <f>'Standardized Values'!H26/H$2</f>
        <v>0</v>
      </c>
      <c r="I26" s="13">
        <f>'Standardized Values'!I26/I$2</f>
        <v>0</v>
      </c>
      <c r="J26" s="13">
        <f>'Standardized Values'!J26/J$2</f>
        <v>0</v>
      </c>
      <c r="K26" s="13">
        <f>'Standardized Values'!K26/K$2</f>
        <v>3.6363636363636362E-2</v>
      </c>
      <c r="L26" s="13">
        <f>'Standardized Values'!L26/L$2</f>
        <v>0</v>
      </c>
      <c r="M26" s="4" t="s">
        <v>93</v>
      </c>
      <c r="N26" s="2" t="s">
        <v>1127</v>
      </c>
      <c r="O26" s="2"/>
      <c r="P26" s="2"/>
      <c r="Q26" s="2"/>
      <c r="R26" s="2"/>
      <c r="S26" s="2"/>
      <c r="T26" s="2"/>
      <c r="U26" s="2"/>
      <c r="V26" s="2"/>
      <c r="W26" s="2"/>
      <c r="X26" s="2"/>
      <c r="Y26" s="2"/>
      <c r="Z26" s="2"/>
    </row>
    <row r="27" spans="1:26" ht="19.5" customHeight="1">
      <c r="A27" s="4" t="s">
        <v>94</v>
      </c>
      <c r="B27" s="4" t="s">
        <v>95</v>
      </c>
      <c r="C27" s="5">
        <v>43834</v>
      </c>
      <c r="D27" s="4" t="s">
        <v>17</v>
      </c>
      <c r="E27" s="13">
        <f>'Standardized Values'!E27/E$2</f>
        <v>4.7500000000000001E-2</v>
      </c>
      <c r="F27" s="13">
        <f>'Standardized Values'!F27/F$2</f>
        <v>0</v>
      </c>
      <c r="G27" s="13">
        <f>'Standardized Values'!G27/G$2</f>
        <v>5.8823529411764705E-2</v>
      </c>
      <c r="H27" s="13">
        <f>'Standardized Values'!H27/H$2</f>
        <v>0.13223140495867769</v>
      </c>
      <c r="I27" s="13">
        <f>'Standardized Values'!I27/I$2</f>
        <v>0</v>
      </c>
      <c r="J27" s="13">
        <f>'Standardized Values'!J27/J$2</f>
        <v>8.6956521739130432E-2</v>
      </c>
      <c r="K27" s="13">
        <f>'Standardized Values'!K27/K$2</f>
        <v>0</v>
      </c>
      <c r="L27" s="13">
        <f>'Standardized Values'!L27/L$2</f>
        <v>0</v>
      </c>
      <c r="M27" s="4" t="s">
        <v>96</v>
      </c>
      <c r="N27" s="2" t="s">
        <v>1127</v>
      </c>
      <c r="O27" s="2"/>
      <c r="P27" s="2"/>
      <c r="Q27" s="2"/>
      <c r="R27" s="2"/>
      <c r="S27" s="2"/>
      <c r="T27" s="2"/>
      <c r="U27" s="2"/>
      <c r="V27" s="2"/>
      <c r="W27" s="2"/>
      <c r="X27" s="2"/>
      <c r="Y27" s="2"/>
      <c r="Z27" s="2"/>
    </row>
    <row r="28" spans="1:26" ht="19.5" customHeight="1">
      <c r="A28" s="4" t="s">
        <v>97</v>
      </c>
      <c r="B28" s="4" t="s">
        <v>98</v>
      </c>
      <c r="C28" s="5">
        <v>43834</v>
      </c>
      <c r="D28" s="4" t="s">
        <v>17</v>
      </c>
      <c r="E28" s="13">
        <f>'Standardized Values'!E28/E$2</f>
        <v>0.08</v>
      </c>
      <c r="F28" s="13">
        <f>'Standardized Values'!F28/F$2</f>
        <v>5.4545454545454543E-2</v>
      </c>
      <c r="G28" s="13">
        <f>'Standardized Values'!G28/G$2</f>
        <v>3.9215686274509803E-2</v>
      </c>
      <c r="H28" s="13">
        <f>'Standardized Values'!H28/H$2</f>
        <v>0.18181818181818182</v>
      </c>
      <c r="I28" s="13">
        <f>'Standardized Values'!I28/I$2</f>
        <v>0.39344262295081966</v>
      </c>
      <c r="J28" s="13">
        <f>'Standardized Values'!J28/J$2</f>
        <v>5.2173913043478258E-2</v>
      </c>
      <c r="K28" s="13">
        <f>'Standardized Values'!K28/K$2</f>
        <v>3.6363636363636362E-2</v>
      </c>
      <c r="L28" s="13">
        <f>'Standardized Values'!L28/L$2</f>
        <v>0</v>
      </c>
      <c r="M28" s="4" t="s">
        <v>99</v>
      </c>
      <c r="N28" s="2" t="s">
        <v>1126</v>
      </c>
      <c r="O28" s="2"/>
      <c r="P28" s="2"/>
      <c r="Q28" s="2"/>
      <c r="R28" s="2"/>
      <c r="S28" s="2"/>
      <c r="T28" s="2"/>
      <c r="U28" s="2"/>
      <c r="V28" s="2"/>
      <c r="W28" s="2"/>
      <c r="X28" s="2"/>
      <c r="Y28" s="2"/>
      <c r="Z28" s="2"/>
    </row>
    <row r="29" spans="1:26" ht="19.5" customHeight="1">
      <c r="A29" s="4" t="s">
        <v>100</v>
      </c>
      <c r="B29" s="4" t="s">
        <v>101</v>
      </c>
      <c r="C29" s="5">
        <v>43834</v>
      </c>
      <c r="D29" s="4" t="s">
        <v>17</v>
      </c>
      <c r="E29" s="13">
        <f>'Standardized Values'!E29/E$2</f>
        <v>7.4999999999999997E-2</v>
      </c>
      <c r="F29" s="13">
        <f>'Standardized Values'!F29/F$2</f>
        <v>1.4545454545454545E-2</v>
      </c>
      <c r="G29" s="13">
        <f>'Standardized Values'!G29/G$2</f>
        <v>0.15686274509803921</v>
      </c>
      <c r="H29" s="13">
        <f>'Standardized Values'!H29/H$2</f>
        <v>0.21487603305785125</v>
      </c>
      <c r="I29" s="13">
        <f>'Standardized Values'!I29/I$2</f>
        <v>0</v>
      </c>
      <c r="J29" s="13">
        <f>'Standardized Values'!J29/J$2</f>
        <v>3.2608695652173912E-2</v>
      </c>
      <c r="K29" s="13">
        <f>'Standardized Values'!K29/K$2</f>
        <v>7.2727272727272724E-2</v>
      </c>
      <c r="L29" s="13">
        <f>'Standardized Values'!L29/L$2</f>
        <v>0</v>
      </c>
      <c r="M29" s="4" t="s">
        <v>102</v>
      </c>
      <c r="N29" s="2" t="s">
        <v>1126</v>
      </c>
      <c r="O29" s="2"/>
      <c r="P29" s="2"/>
      <c r="Q29" s="2"/>
      <c r="R29" s="2"/>
      <c r="S29" s="2"/>
      <c r="T29" s="2"/>
      <c r="U29" s="2"/>
      <c r="V29" s="2"/>
      <c r="W29" s="2"/>
      <c r="X29" s="2"/>
      <c r="Y29" s="2"/>
      <c r="Z29" s="2"/>
    </row>
    <row r="30" spans="1:26" ht="19.5" customHeight="1">
      <c r="A30" s="4" t="s">
        <v>103</v>
      </c>
      <c r="B30" s="4" t="s">
        <v>104</v>
      </c>
      <c r="C30" s="5">
        <v>43834</v>
      </c>
      <c r="D30" s="4" t="s">
        <v>17</v>
      </c>
      <c r="E30" s="13">
        <f>'Standardized Values'!E30/E$2</f>
        <v>8.5000000000000006E-2</v>
      </c>
      <c r="F30" s="13">
        <f>'Standardized Values'!F30/F$2</f>
        <v>2.5454545454545455E-2</v>
      </c>
      <c r="G30" s="13">
        <f>'Standardized Values'!G30/G$2</f>
        <v>7.8431372549019607E-2</v>
      </c>
      <c r="H30" s="13">
        <f>'Standardized Values'!H30/H$2</f>
        <v>0.24793388429752067</v>
      </c>
      <c r="I30" s="13">
        <f>'Standardized Values'!I30/I$2</f>
        <v>0.13114754098360656</v>
      </c>
      <c r="J30" s="13">
        <f>'Standardized Values'!J30/J$2</f>
        <v>4.3478260869565218E-3</v>
      </c>
      <c r="K30" s="13">
        <f>'Standardized Values'!K30/K$2</f>
        <v>7.2727272727272724E-2</v>
      </c>
      <c r="L30" s="13">
        <f>'Standardized Values'!L30/L$2</f>
        <v>0</v>
      </c>
      <c r="M30" s="4" t="s">
        <v>105</v>
      </c>
      <c r="N30" s="2" t="s">
        <v>1126</v>
      </c>
      <c r="O30" s="2"/>
      <c r="P30" s="2"/>
      <c r="Q30" s="2"/>
      <c r="R30" s="2"/>
      <c r="S30" s="2"/>
      <c r="T30" s="2"/>
      <c r="U30" s="2"/>
      <c r="V30" s="2"/>
      <c r="W30" s="2"/>
      <c r="X30" s="2"/>
      <c r="Y30" s="2"/>
      <c r="Z30" s="2"/>
    </row>
    <row r="31" spans="1:26" ht="19.5" customHeight="1">
      <c r="A31" s="4" t="s">
        <v>106</v>
      </c>
      <c r="B31" s="4" t="s">
        <v>107</v>
      </c>
      <c r="C31" s="4" t="s">
        <v>69</v>
      </c>
      <c r="D31" s="4" t="s">
        <v>17</v>
      </c>
      <c r="E31" s="13">
        <f>'Standardized Values'!E31/E$2</f>
        <v>0.08</v>
      </c>
      <c r="F31" s="13">
        <f>'Standardized Values'!F31/F$2</f>
        <v>2.9090909090909091E-2</v>
      </c>
      <c r="G31" s="13">
        <f>'Standardized Values'!G31/G$2</f>
        <v>5.8823529411764705E-2</v>
      </c>
      <c r="H31" s="13">
        <f>'Standardized Values'!H31/H$2</f>
        <v>0.23140495867768596</v>
      </c>
      <c r="I31" s="13">
        <f>'Standardized Values'!I31/I$2</f>
        <v>0.16393442622950818</v>
      </c>
      <c r="J31" s="13">
        <f>'Standardized Values'!J31/J$2</f>
        <v>4.3478260869565218E-3</v>
      </c>
      <c r="K31" s="13">
        <f>'Standardized Values'!K31/K$2</f>
        <v>0.10909090909090909</v>
      </c>
      <c r="L31" s="13">
        <f>'Standardized Values'!L31/L$2</f>
        <v>0</v>
      </c>
      <c r="M31" s="4" t="s">
        <v>109</v>
      </c>
      <c r="N31" s="2" t="s">
        <v>1126</v>
      </c>
      <c r="O31" s="2"/>
      <c r="P31" s="2"/>
      <c r="Q31" s="2"/>
      <c r="R31" s="2"/>
      <c r="S31" s="2"/>
      <c r="T31" s="2"/>
      <c r="U31" s="2"/>
      <c r="V31" s="2"/>
      <c r="W31" s="2"/>
      <c r="X31" s="2"/>
      <c r="Y31" s="2"/>
      <c r="Z31" s="2"/>
    </row>
    <row r="32" spans="1:26" ht="19.5" customHeight="1">
      <c r="A32" s="4" t="s">
        <v>110</v>
      </c>
      <c r="B32" s="4" t="s">
        <v>111</v>
      </c>
      <c r="C32" s="5">
        <v>43834</v>
      </c>
      <c r="D32" s="4" t="s">
        <v>17</v>
      </c>
      <c r="E32" s="13">
        <f>'Standardized Values'!E32/E$2</f>
        <v>0.02</v>
      </c>
      <c r="F32" s="13">
        <f>'Standardized Values'!F32/F$2</f>
        <v>7.2727272727272727E-3</v>
      </c>
      <c r="G32" s="13">
        <f>'Standardized Values'!G32/G$2</f>
        <v>1.9607843137254902E-2</v>
      </c>
      <c r="H32" s="13">
        <f>'Standardized Values'!H32/H$2</f>
        <v>4.9586776859504134E-2</v>
      </c>
      <c r="I32" s="13">
        <f>'Standardized Values'!I32/I$2</f>
        <v>6.5573770491803282E-2</v>
      </c>
      <c r="J32" s="13">
        <f>'Standardized Values'!J32/J$2</f>
        <v>6.5217391304347824E-2</v>
      </c>
      <c r="K32" s="13">
        <f>'Standardized Values'!K32/K$2</f>
        <v>0</v>
      </c>
      <c r="L32" s="13">
        <f>'Standardized Values'!L32/L$2</f>
        <v>0</v>
      </c>
      <c r="M32" s="4" t="s">
        <v>113</v>
      </c>
      <c r="N32" s="2" t="s">
        <v>1127</v>
      </c>
      <c r="O32" s="2"/>
      <c r="P32" s="2"/>
      <c r="Q32" s="2"/>
      <c r="R32" s="2"/>
      <c r="S32" s="2"/>
      <c r="T32" s="2"/>
      <c r="U32" s="2"/>
      <c r="V32" s="2"/>
      <c r="W32" s="2"/>
      <c r="X32" s="2"/>
      <c r="Y32" s="2"/>
      <c r="Z32" s="2"/>
    </row>
    <row r="33" spans="1:26" ht="19.5" customHeight="1">
      <c r="A33" s="4" t="s">
        <v>114</v>
      </c>
      <c r="B33" s="4" t="s">
        <v>115</v>
      </c>
      <c r="C33" s="5">
        <v>43834</v>
      </c>
      <c r="D33" s="4" t="s">
        <v>17</v>
      </c>
      <c r="E33" s="13">
        <f>'Standardized Values'!E33/E$2</f>
        <v>8.5000000000000006E-2</v>
      </c>
      <c r="F33" s="13">
        <f>'Standardized Values'!F33/F$2</f>
        <v>2.5454545454545455E-2</v>
      </c>
      <c r="G33" s="13">
        <f>'Standardized Values'!G33/G$2</f>
        <v>7.8431372549019607E-2</v>
      </c>
      <c r="H33" s="13">
        <f>'Standardized Values'!H33/H$2</f>
        <v>0.24793388429752067</v>
      </c>
      <c r="I33" s="13">
        <f>'Standardized Values'!I33/I$2</f>
        <v>0.13114754098360656</v>
      </c>
      <c r="J33" s="13">
        <f>'Standardized Values'!J33/J$2</f>
        <v>4.3478260869565218E-3</v>
      </c>
      <c r="K33" s="13">
        <f>'Standardized Values'!K33/K$2</f>
        <v>7.2727272727272724E-2</v>
      </c>
      <c r="L33" s="13">
        <f>'Standardized Values'!L33/L$2</f>
        <v>0</v>
      </c>
      <c r="M33" s="4" t="s">
        <v>116</v>
      </c>
      <c r="N33" s="2" t="s">
        <v>1126</v>
      </c>
      <c r="O33" s="2"/>
      <c r="P33" s="2"/>
      <c r="Q33" s="2"/>
      <c r="R33" s="2"/>
      <c r="S33" s="2"/>
      <c r="T33" s="2"/>
      <c r="U33" s="2"/>
      <c r="V33" s="2"/>
      <c r="W33" s="2"/>
      <c r="X33" s="2"/>
      <c r="Y33" s="2"/>
      <c r="Z33" s="2"/>
    </row>
    <row r="34" spans="1:26" ht="19.5" customHeight="1">
      <c r="A34" s="4" t="s">
        <v>117</v>
      </c>
      <c r="B34" s="4" t="s">
        <v>118</v>
      </c>
      <c r="C34" s="5">
        <v>43834</v>
      </c>
      <c r="D34" s="4" t="s">
        <v>17</v>
      </c>
      <c r="E34" s="13">
        <f>'Standardized Values'!E34/E$2</f>
        <v>7.0000000000000007E-2</v>
      </c>
      <c r="F34" s="13">
        <f>'Standardized Values'!F34/F$2</f>
        <v>3.272727272727273E-2</v>
      </c>
      <c r="G34" s="13">
        <f>'Standardized Values'!G34/G$2</f>
        <v>5.8823529411764705E-2</v>
      </c>
      <c r="H34" s="13">
        <f>'Standardized Values'!H34/H$2</f>
        <v>0.16528925619834711</v>
      </c>
      <c r="I34" s="13">
        <f>'Standardized Values'!I34/I$2</f>
        <v>9.8360655737704916E-2</v>
      </c>
      <c r="J34" s="13">
        <f>'Standardized Values'!J34/J$2</f>
        <v>0</v>
      </c>
      <c r="K34" s="13">
        <f>'Standardized Values'!K34/K$2</f>
        <v>0.14545454545454545</v>
      </c>
      <c r="L34" s="13">
        <f>'Standardized Values'!L34/L$2</f>
        <v>0</v>
      </c>
      <c r="M34" s="4" t="s">
        <v>119</v>
      </c>
      <c r="N34" s="2" t="s">
        <v>1126</v>
      </c>
      <c r="O34" s="2"/>
      <c r="P34" s="2"/>
      <c r="Q34" s="2"/>
      <c r="R34" s="2"/>
      <c r="S34" s="2"/>
      <c r="T34" s="2"/>
      <c r="U34" s="2"/>
      <c r="V34" s="2"/>
      <c r="W34" s="2"/>
      <c r="X34" s="2"/>
      <c r="Y34" s="2"/>
      <c r="Z34" s="2"/>
    </row>
    <row r="35" spans="1:26" ht="19.5" customHeight="1">
      <c r="A35" s="4" t="s">
        <v>120</v>
      </c>
      <c r="B35" s="4" t="s">
        <v>121</v>
      </c>
      <c r="C35" s="5">
        <v>43834</v>
      </c>
      <c r="D35" s="4" t="s">
        <v>76</v>
      </c>
      <c r="E35" s="13">
        <f>'Standardized Values'!E35/E$2</f>
        <v>0</v>
      </c>
      <c r="F35" s="13">
        <f>'Standardized Values'!F35/F$2</f>
        <v>0</v>
      </c>
      <c r="G35" s="13">
        <f>'Standardized Values'!G35/G$2</f>
        <v>0</v>
      </c>
      <c r="H35" s="13">
        <f>'Standardized Values'!H35/H$2</f>
        <v>0</v>
      </c>
      <c r="I35" s="13">
        <f>'Standardized Values'!I35/I$2</f>
        <v>0</v>
      </c>
      <c r="J35" s="13">
        <f>'Standardized Values'!J35/J$2</f>
        <v>0.16956521739130434</v>
      </c>
      <c r="K35" s="13">
        <f>'Standardized Values'!K35/K$2</f>
        <v>0</v>
      </c>
      <c r="L35" s="13">
        <f>'Standardized Values'!L35/L$2</f>
        <v>0</v>
      </c>
      <c r="M35" s="4" t="s">
        <v>122</v>
      </c>
      <c r="N35" s="2" t="s">
        <v>1127</v>
      </c>
      <c r="O35" s="2"/>
      <c r="P35" s="2"/>
      <c r="Q35" s="2"/>
      <c r="R35" s="2"/>
      <c r="S35" s="2"/>
      <c r="T35" s="2"/>
      <c r="U35" s="2"/>
      <c r="V35" s="2"/>
      <c r="W35" s="2"/>
      <c r="X35" s="2"/>
      <c r="Y35" s="2"/>
      <c r="Z35" s="2"/>
    </row>
    <row r="36" spans="1:26" ht="19.5" customHeight="1">
      <c r="A36" s="4" t="s">
        <v>123</v>
      </c>
      <c r="B36" s="4" t="s">
        <v>124</v>
      </c>
      <c r="C36" s="5">
        <v>43834</v>
      </c>
      <c r="D36" s="4" t="s">
        <v>17</v>
      </c>
      <c r="E36" s="13">
        <f>'Standardized Values'!E36/E$2</f>
        <v>7.4999999999999997E-2</v>
      </c>
      <c r="F36" s="13">
        <f>'Standardized Values'!F36/F$2</f>
        <v>0.11636363636363636</v>
      </c>
      <c r="G36" s="13">
        <f>'Standardized Values'!G36/G$2</f>
        <v>0.13725490196078433</v>
      </c>
      <c r="H36" s="13">
        <f>'Standardized Values'!H36/H$2</f>
        <v>8.2644628099173556E-3</v>
      </c>
      <c r="I36" s="13">
        <f>'Standardized Values'!I36/I$2</f>
        <v>3.2786885245901641E-2</v>
      </c>
      <c r="J36" s="13">
        <f>'Standardized Values'!J36/J$2</f>
        <v>0</v>
      </c>
      <c r="K36" s="13">
        <f>'Standardized Values'!K36/K$2</f>
        <v>0.21818181818181817</v>
      </c>
      <c r="L36" s="13">
        <f>'Standardized Values'!L36/L$2</f>
        <v>0</v>
      </c>
      <c r="M36" s="4" t="s">
        <v>126</v>
      </c>
      <c r="N36" s="2" t="s">
        <v>1127</v>
      </c>
      <c r="O36" s="2"/>
      <c r="P36" s="2"/>
      <c r="Q36" s="2"/>
      <c r="R36" s="2"/>
      <c r="S36" s="2"/>
      <c r="T36" s="2"/>
      <c r="U36" s="2"/>
      <c r="V36" s="2"/>
      <c r="W36" s="2"/>
      <c r="X36" s="2"/>
      <c r="Y36" s="2"/>
      <c r="Z36" s="2"/>
    </row>
    <row r="37" spans="1:26" ht="19.5" customHeight="1">
      <c r="A37" s="4" t="s">
        <v>127</v>
      </c>
      <c r="B37" s="4" t="s">
        <v>128</v>
      </c>
      <c r="C37" s="5">
        <v>43833</v>
      </c>
      <c r="D37" s="4" t="s">
        <v>17</v>
      </c>
      <c r="E37" s="13">
        <f>'Standardized Values'!E37/E$2</f>
        <v>7.0000000000000007E-2</v>
      </c>
      <c r="F37" s="13">
        <f>'Standardized Values'!F37/F$2</f>
        <v>7.2727272727272724E-2</v>
      </c>
      <c r="G37" s="13">
        <f>'Standardized Values'!G37/G$2</f>
        <v>5.8823529411764705E-2</v>
      </c>
      <c r="H37" s="13">
        <f>'Standardized Values'!H37/H$2</f>
        <v>9.9173553719008267E-2</v>
      </c>
      <c r="I37" s="13">
        <f>'Standardized Values'!I37/I$2</f>
        <v>0.19672131147540983</v>
      </c>
      <c r="J37" s="13">
        <f>'Standardized Values'!J37/J$2</f>
        <v>5.434782608695652E-2</v>
      </c>
      <c r="K37" s="13">
        <f>'Standardized Values'!K37/K$2</f>
        <v>7.2727272727272724E-2</v>
      </c>
      <c r="L37" s="13">
        <f>'Standardized Values'!L37/L$2</f>
        <v>0</v>
      </c>
      <c r="M37" s="4" t="s">
        <v>129</v>
      </c>
      <c r="N37" s="2" t="s">
        <v>1126</v>
      </c>
      <c r="O37" s="2"/>
      <c r="P37" s="2"/>
      <c r="Q37" s="2"/>
      <c r="R37" s="2"/>
      <c r="S37" s="2"/>
      <c r="T37" s="2"/>
      <c r="U37" s="2"/>
      <c r="V37" s="2"/>
      <c r="W37" s="2"/>
      <c r="X37" s="2"/>
      <c r="Y37" s="2"/>
      <c r="Z37" s="2"/>
    </row>
    <row r="38" spans="1:26" ht="19.5" customHeight="1">
      <c r="A38" s="4" t="s">
        <v>130</v>
      </c>
      <c r="B38" s="4" t="s">
        <v>131</v>
      </c>
      <c r="C38" s="5">
        <v>43833</v>
      </c>
      <c r="D38" s="4" t="s">
        <v>17</v>
      </c>
      <c r="E38" s="13">
        <f>'Standardized Values'!E38/E$2</f>
        <v>7.0000000000000007E-2</v>
      </c>
      <c r="F38" s="13">
        <f>'Standardized Values'!F38/F$2</f>
        <v>7.2727272727272724E-2</v>
      </c>
      <c r="G38" s="13">
        <f>'Standardized Values'!G38/G$2</f>
        <v>5.8823529411764705E-2</v>
      </c>
      <c r="H38" s="13">
        <f>'Standardized Values'!H38/H$2</f>
        <v>8.2644628099173556E-2</v>
      </c>
      <c r="I38" s="13">
        <f>'Standardized Values'!I38/I$2</f>
        <v>0.22950819672131148</v>
      </c>
      <c r="J38" s="13">
        <f>'Standardized Values'!J38/J$2</f>
        <v>4.7826086956521741E-2</v>
      </c>
      <c r="K38" s="13">
        <f>'Standardized Values'!K38/K$2</f>
        <v>7.2727272727272724E-2</v>
      </c>
      <c r="L38" s="13">
        <f>'Standardized Values'!L38/L$2</f>
        <v>0</v>
      </c>
      <c r="M38" s="4" t="s">
        <v>132</v>
      </c>
      <c r="N38" s="2" t="s">
        <v>1126</v>
      </c>
      <c r="O38" s="2"/>
      <c r="P38" s="2"/>
      <c r="Q38" s="2"/>
      <c r="R38" s="2"/>
      <c r="S38" s="2"/>
      <c r="T38" s="2"/>
      <c r="U38" s="2"/>
      <c r="V38" s="2"/>
      <c r="W38" s="2"/>
      <c r="X38" s="2"/>
      <c r="Y38" s="2"/>
      <c r="Z38" s="2"/>
    </row>
    <row r="39" spans="1:26" ht="19.5" customHeight="1">
      <c r="A39" s="4" t="s">
        <v>133</v>
      </c>
      <c r="B39" s="25" t="s">
        <v>134</v>
      </c>
      <c r="C39" s="5">
        <v>43833</v>
      </c>
      <c r="D39" s="4" t="s">
        <v>135</v>
      </c>
      <c r="E39" s="13">
        <f>'Standardized Values'!E39/E$2</f>
        <v>0</v>
      </c>
      <c r="F39" s="13">
        <f>'Standardized Values'!F39/F$2</f>
        <v>0</v>
      </c>
      <c r="G39" s="13">
        <f>'Standardized Values'!G39/G$2</f>
        <v>0</v>
      </c>
      <c r="H39" s="13">
        <f>'Standardized Values'!H39/H$2</f>
        <v>0</v>
      </c>
      <c r="I39" s="13">
        <f>'Standardized Values'!I39/I$2</f>
        <v>0</v>
      </c>
      <c r="J39" s="13">
        <f>'Standardized Values'!J39/J$2</f>
        <v>0.10434782608695652</v>
      </c>
      <c r="K39" s="13">
        <f>'Standardized Values'!K39/K$2</f>
        <v>0</v>
      </c>
      <c r="L39" s="13">
        <f>'Standardized Values'!L39/L$2</f>
        <v>0</v>
      </c>
      <c r="M39" s="4" t="s">
        <v>136</v>
      </c>
      <c r="N39" s="2" t="s">
        <v>1126</v>
      </c>
      <c r="O39" s="2"/>
      <c r="P39" s="2"/>
      <c r="Q39" s="2"/>
      <c r="R39" s="2"/>
      <c r="S39" s="2"/>
      <c r="T39" s="2"/>
      <c r="U39" s="2"/>
      <c r="V39" s="2"/>
      <c r="W39" s="2"/>
      <c r="X39" s="2"/>
      <c r="Y39" s="2"/>
      <c r="Z39" s="2"/>
    </row>
    <row r="40" spans="1:26" ht="19.5" customHeight="1">
      <c r="A40" s="4" t="s">
        <v>137</v>
      </c>
      <c r="B40" s="4" t="s">
        <v>138</v>
      </c>
      <c r="C40" s="5">
        <v>43833</v>
      </c>
      <c r="D40" s="4" t="s">
        <v>17</v>
      </c>
      <c r="E40" s="13">
        <f>'Standardized Values'!E40/E$2</f>
        <v>9.5000000000000001E-2</v>
      </c>
      <c r="F40" s="13">
        <f>'Standardized Values'!F40/F$2</f>
        <v>7.2727272727272727E-3</v>
      </c>
      <c r="G40" s="13">
        <f>'Standardized Values'!G40/G$2</f>
        <v>0.21568627450980393</v>
      </c>
      <c r="H40" s="13">
        <f>'Standardized Values'!H40/H$2</f>
        <v>0.24793388429752067</v>
      </c>
      <c r="I40" s="13">
        <f>'Standardized Values'!I40/I$2</f>
        <v>0</v>
      </c>
      <c r="J40" s="13">
        <f>'Standardized Values'!J40/J$2</f>
        <v>0.14782608695652175</v>
      </c>
      <c r="K40" s="13">
        <f>'Standardized Values'!K40/K$2</f>
        <v>0</v>
      </c>
      <c r="L40" s="13">
        <f>'Standardized Values'!L40/L$2</f>
        <v>0.15</v>
      </c>
      <c r="M40" s="4" t="s">
        <v>139</v>
      </c>
      <c r="N40" s="2" t="s">
        <v>1126</v>
      </c>
      <c r="O40" s="2"/>
      <c r="P40" s="2"/>
      <c r="Q40" s="2"/>
      <c r="R40" s="2"/>
      <c r="S40" s="2"/>
      <c r="T40" s="2"/>
      <c r="U40" s="2"/>
      <c r="V40" s="2"/>
      <c r="W40" s="2"/>
      <c r="X40" s="2"/>
      <c r="Y40" s="2"/>
      <c r="Z40" s="2"/>
    </row>
    <row r="41" spans="1:26" ht="19.5" customHeight="1">
      <c r="A41" s="4" t="s">
        <v>140</v>
      </c>
      <c r="B41" s="4" t="s">
        <v>141</v>
      </c>
      <c r="C41" s="5">
        <v>43833</v>
      </c>
      <c r="D41" s="4" t="s">
        <v>17</v>
      </c>
      <c r="E41" s="13">
        <f>'Standardized Values'!E41/E$2</f>
        <v>8.5000000000000006E-2</v>
      </c>
      <c r="F41" s="13">
        <f>'Standardized Values'!F41/F$2</f>
        <v>3.272727272727273E-2</v>
      </c>
      <c r="G41" s="13">
        <f>'Standardized Values'!G41/G$2</f>
        <v>9.8039215686274508E-2</v>
      </c>
      <c r="H41" s="13">
        <f>'Standardized Values'!H41/H$2</f>
        <v>0.21487603305785125</v>
      </c>
      <c r="I41" s="13">
        <f>'Standardized Values'!I41/I$2</f>
        <v>0.16393442622950818</v>
      </c>
      <c r="J41" s="13">
        <f>'Standardized Values'!J41/J$2</f>
        <v>0.05</v>
      </c>
      <c r="K41" s="13">
        <f>'Standardized Values'!K41/K$2</f>
        <v>7.2727272727272724E-2</v>
      </c>
      <c r="L41" s="13">
        <f>'Standardized Values'!L41/L$2</f>
        <v>0</v>
      </c>
      <c r="M41" s="4" t="s">
        <v>142</v>
      </c>
      <c r="N41" s="2" t="s">
        <v>1126</v>
      </c>
      <c r="O41" s="2"/>
      <c r="P41" s="2"/>
      <c r="Q41" s="2"/>
      <c r="R41" s="2"/>
      <c r="S41" s="2"/>
      <c r="T41" s="2"/>
      <c r="U41" s="2"/>
      <c r="V41" s="2"/>
      <c r="W41" s="2"/>
      <c r="X41" s="2"/>
      <c r="Y41" s="2"/>
      <c r="Z41" s="2"/>
    </row>
    <row r="42" spans="1:26" ht="19.5" customHeight="1">
      <c r="A42" s="4" t="s">
        <v>143</v>
      </c>
      <c r="B42" s="4" t="s">
        <v>144</v>
      </c>
      <c r="C42" s="4" t="s">
        <v>145</v>
      </c>
      <c r="D42" s="4" t="s">
        <v>17</v>
      </c>
      <c r="E42" s="13">
        <f>'Standardized Values'!E42/E$2</f>
        <v>7.0000000000000007E-2</v>
      </c>
      <c r="F42" s="13">
        <f>'Standardized Values'!F42/F$2</f>
        <v>7.2727272727272724E-2</v>
      </c>
      <c r="G42" s="13">
        <f>'Standardized Values'!G42/G$2</f>
        <v>5.8823529411764705E-2</v>
      </c>
      <c r="H42" s="13">
        <f>'Standardized Values'!H42/H$2</f>
        <v>9.9173553719008267E-2</v>
      </c>
      <c r="I42" s="13">
        <f>'Standardized Values'!I42/I$2</f>
        <v>0.19672131147540983</v>
      </c>
      <c r="J42" s="13">
        <f>'Standardized Values'!J42/J$2</f>
        <v>5.8695652173913045E-2</v>
      </c>
      <c r="K42" s="13">
        <f>'Standardized Values'!K42/K$2</f>
        <v>7.2727272727272724E-2</v>
      </c>
      <c r="L42" s="13">
        <f>'Standardized Values'!L42/L$2</f>
        <v>0</v>
      </c>
      <c r="M42" s="4" t="s">
        <v>146</v>
      </c>
      <c r="N42" s="2" t="s">
        <v>1126</v>
      </c>
      <c r="O42" s="2"/>
      <c r="P42" s="2"/>
      <c r="Q42" s="2"/>
      <c r="R42" s="2"/>
      <c r="S42" s="2"/>
      <c r="T42" s="2"/>
      <c r="U42" s="2"/>
      <c r="V42" s="2"/>
      <c r="W42" s="2"/>
      <c r="X42" s="2"/>
      <c r="Y42" s="2"/>
      <c r="Z42" s="2"/>
    </row>
    <row r="43" spans="1:26" ht="19.5" customHeight="1">
      <c r="A43" s="4" t="s">
        <v>147</v>
      </c>
      <c r="B43" s="25" t="s">
        <v>148</v>
      </c>
      <c r="C43" s="4" t="s">
        <v>145</v>
      </c>
      <c r="D43" s="4" t="s">
        <v>17</v>
      </c>
      <c r="E43" s="13">
        <f>'Standardized Values'!E43/E$2</f>
        <v>9.5000000000000001E-2</v>
      </c>
      <c r="F43" s="13">
        <f>'Standardized Values'!F43/F$2</f>
        <v>7.2727272727272724E-2</v>
      </c>
      <c r="G43" s="13">
        <f>'Standardized Values'!G43/G$2</f>
        <v>0.13725490196078433</v>
      </c>
      <c r="H43" s="13">
        <f>'Standardized Values'!H43/H$2</f>
        <v>0.1487603305785124</v>
      </c>
      <c r="I43" s="13">
        <f>'Standardized Values'!I43/I$2</f>
        <v>9.8360655737704916E-2</v>
      </c>
      <c r="J43" s="13">
        <f>'Standardized Values'!J43/J$2</f>
        <v>0.10869565217391304</v>
      </c>
      <c r="K43" s="13">
        <f>'Standardized Values'!K43/K$2</f>
        <v>0.10909090909090909</v>
      </c>
      <c r="L43" s="13">
        <f>'Standardized Values'!L43/L$2</f>
        <v>0</v>
      </c>
      <c r="M43" s="4" t="s">
        <v>149</v>
      </c>
      <c r="N43" s="2" t="s">
        <v>1128</v>
      </c>
      <c r="O43" s="2"/>
      <c r="P43" s="2"/>
      <c r="Q43" s="2"/>
      <c r="R43" s="2"/>
      <c r="S43" s="2"/>
      <c r="T43" s="2"/>
      <c r="U43" s="2"/>
      <c r="V43" s="2"/>
      <c r="W43" s="2"/>
      <c r="X43" s="2"/>
      <c r="Y43" s="2"/>
      <c r="Z43" s="2"/>
    </row>
    <row r="44" spans="1:26" ht="19.5" customHeight="1">
      <c r="A44" s="4" t="s">
        <v>150</v>
      </c>
      <c r="B44" s="4" t="s">
        <v>151</v>
      </c>
      <c r="C44" s="5">
        <v>43832</v>
      </c>
      <c r="D44" s="4" t="s">
        <v>17</v>
      </c>
      <c r="E44" s="13">
        <f>'Standardized Values'!E44/E$2</f>
        <v>4.4999999999999998E-2</v>
      </c>
      <c r="F44" s="13">
        <f>'Standardized Values'!F44/F$2</f>
        <v>2.9090909090909091E-2</v>
      </c>
      <c r="G44" s="13">
        <f>'Standardized Values'!G44/G$2</f>
        <v>5.8823529411764705E-2</v>
      </c>
      <c r="H44" s="13">
        <f>'Standardized Values'!H44/H$2</f>
        <v>8.2644628099173556E-2</v>
      </c>
      <c r="I44" s="13">
        <f>'Standardized Values'!I44/I$2</f>
        <v>6.5573770491803282E-2</v>
      </c>
      <c r="J44" s="13">
        <f>'Standardized Values'!J44/J$2</f>
        <v>0.18695652173913044</v>
      </c>
      <c r="K44" s="13">
        <f>'Standardized Values'!K44/K$2</f>
        <v>7.2727272727272724E-2</v>
      </c>
      <c r="L44" s="13">
        <f>'Standardized Values'!L44/L$2</f>
        <v>0.05</v>
      </c>
      <c r="M44" s="4" t="s">
        <v>152</v>
      </c>
      <c r="N44" s="2" t="s">
        <v>1128</v>
      </c>
      <c r="O44" s="2"/>
      <c r="P44" s="2"/>
      <c r="Q44" s="2"/>
      <c r="R44" s="2"/>
      <c r="S44" s="2"/>
      <c r="T44" s="2"/>
      <c r="U44" s="2"/>
      <c r="V44" s="2"/>
      <c r="W44" s="2"/>
      <c r="X44" s="2"/>
      <c r="Y44" s="2"/>
      <c r="Z44" s="2"/>
    </row>
    <row r="45" spans="1:26" ht="19.5" customHeight="1">
      <c r="A45" s="4" t="s">
        <v>153</v>
      </c>
      <c r="B45" s="4" t="s">
        <v>154</v>
      </c>
      <c r="C45" s="4" t="s">
        <v>155</v>
      </c>
      <c r="D45" s="4" t="s">
        <v>17</v>
      </c>
      <c r="E45" s="13">
        <f>'Standardized Values'!E45/E$2</f>
        <v>1.2500000000000001E-2</v>
      </c>
      <c r="F45" s="13">
        <f>'Standardized Values'!F45/F$2</f>
        <v>1.8181818181818181E-2</v>
      </c>
      <c r="G45" s="13">
        <f>'Standardized Values'!G45/G$2</f>
        <v>1.9607843137254902E-2</v>
      </c>
      <c r="H45" s="13">
        <f>'Standardized Values'!H45/H$2</f>
        <v>0</v>
      </c>
      <c r="I45" s="13">
        <f>'Standardized Values'!I45/I$2</f>
        <v>9.8360655737704916E-2</v>
      </c>
      <c r="J45" s="13">
        <f>'Standardized Values'!J45/J$2</f>
        <v>8.2608695652173908E-2</v>
      </c>
      <c r="K45" s="13">
        <f>'Standardized Values'!K45/K$2</f>
        <v>0</v>
      </c>
      <c r="L45" s="13">
        <f>'Standardized Values'!L45/L$2</f>
        <v>0</v>
      </c>
      <c r="M45" s="4" t="s">
        <v>156</v>
      </c>
      <c r="N45" s="2" t="s">
        <v>1127</v>
      </c>
      <c r="O45" s="2"/>
      <c r="P45" s="2"/>
      <c r="Q45" s="2"/>
      <c r="R45" s="2"/>
      <c r="S45" s="2"/>
      <c r="T45" s="2"/>
      <c r="U45" s="2"/>
      <c r="V45" s="2"/>
      <c r="W45" s="2"/>
      <c r="X45" s="2"/>
      <c r="Y45" s="2"/>
      <c r="Z45" s="2"/>
    </row>
    <row r="46" spans="1:26" ht="19.5" customHeight="1">
      <c r="A46" s="4" t="s">
        <v>157</v>
      </c>
      <c r="B46" s="4" t="s">
        <v>158</v>
      </c>
      <c r="C46" s="5">
        <v>43832</v>
      </c>
      <c r="D46" s="4" t="s">
        <v>17</v>
      </c>
      <c r="E46" s="13">
        <f>'Standardized Values'!E46/E$2</f>
        <v>1.2500000000000001E-2</v>
      </c>
      <c r="F46" s="13">
        <f>'Standardized Values'!F46/F$2</f>
        <v>1.8181818181818181E-2</v>
      </c>
      <c r="G46" s="13">
        <f>'Standardized Values'!G46/G$2</f>
        <v>1.9607843137254902E-2</v>
      </c>
      <c r="H46" s="13">
        <f>'Standardized Values'!H46/H$2</f>
        <v>0</v>
      </c>
      <c r="I46" s="13">
        <f>'Standardized Values'!I46/I$2</f>
        <v>0.13114754098360656</v>
      </c>
      <c r="J46" s="13">
        <f>'Standardized Values'!J46/J$2</f>
        <v>8.6956521739130436E-3</v>
      </c>
      <c r="K46" s="13">
        <f>'Standardized Values'!K46/K$2</f>
        <v>7.2727272727272724E-2</v>
      </c>
      <c r="L46" s="13">
        <f>'Standardized Values'!L46/L$2</f>
        <v>0</v>
      </c>
      <c r="M46" s="4" t="s">
        <v>159</v>
      </c>
      <c r="N46" s="2" t="s">
        <v>1127</v>
      </c>
      <c r="O46" s="2"/>
      <c r="P46" s="2"/>
      <c r="Q46" s="2"/>
      <c r="R46" s="2"/>
      <c r="S46" s="2"/>
      <c r="T46" s="2"/>
      <c r="U46" s="2"/>
      <c r="V46" s="2"/>
      <c r="W46" s="2"/>
      <c r="X46" s="2"/>
      <c r="Y46" s="2"/>
      <c r="Z46" s="2"/>
    </row>
    <row r="47" spans="1:26" ht="19.5" customHeight="1">
      <c r="A47" s="4" t="s">
        <v>160</v>
      </c>
      <c r="B47" s="25" t="s">
        <v>161</v>
      </c>
      <c r="C47" s="5">
        <v>43832</v>
      </c>
      <c r="D47" s="4" t="s">
        <v>17</v>
      </c>
      <c r="E47" s="13">
        <f>'Standardized Values'!E47/E$2</f>
        <v>9.5000000000000001E-2</v>
      </c>
      <c r="F47" s="13">
        <f>'Standardized Values'!F47/F$2</f>
        <v>0.10909090909090909</v>
      </c>
      <c r="G47" s="13">
        <f>'Standardized Values'!G47/G$2</f>
        <v>0.27450980392156865</v>
      </c>
      <c r="H47" s="13">
        <f>'Standardized Values'!H47/H$2</f>
        <v>3.3057851239669422E-2</v>
      </c>
      <c r="I47" s="13">
        <f>'Standardized Values'!I47/I$2</f>
        <v>9.8360655737704916E-2</v>
      </c>
      <c r="J47" s="13">
        <f>'Standardized Values'!J47/J$2</f>
        <v>0.16521739130434782</v>
      </c>
      <c r="K47" s="13">
        <f>'Standardized Values'!K47/K$2</f>
        <v>0.18181818181818182</v>
      </c>
      <c r="L47" s="13">
        <f>'Standardized Values'!L47/L$2</f>
        <v>3.3333333333333333E-2</v>
      </c>
      <c r="M47" s="4" t="s">
        <v>162</v>
      </c>
      <c r="N47" s="2" t="s">
        <v>1128</v>
      </c>
      <c r="O47" s="2"/>
      <c r="P47" s="2"/>
      <c r="Q47" s="2"/>
      <c r="R47" s="2"/>
      <c r="S47" s="2"/>
      <c r="T47" s="2"/>
      <c r="U47" s="2"/>
      <c r="V47" s="2"/>
      <c r="W47" s="2"/>
      <c r="X47" s="2"/>
      <c r="Y47" s="2"/>
      <c r="Z47" s="2"/>
    </row>
    <row r="48" spans="1:26" ht="19.5" customHeight="1">
      <c r="A48" s="4" t="s">
        <v>163</v>
      </c>
      <c r="B48" s="4" t="s">
        <v>164</v>
      </c>
      <c r="C48" s="4" t="s">
        <v>155</v>
      </c>
      <c r="D48" s="4" t="s">
        <v>17</v>
      </c>
      <c r="E48" s="13">
        <f>'Standardized Values'!E48/E$2</f>
        <v>1.5E-3</v>
      </c>
      <c r="F48" s="13">
        <f>'Standardized Values'!F48/F$2</f>
        <v>0</v>
      </c>
      <c r="G48" s="13">
        <f>'Standardized Values'!G48/G$2</f>
        <v>0</v>
      </c>
      <c r="H48" s="13">
        <f>'Standardized Values'!H48/H$2</f>
        <v>0</v>
      </c>
      <c r="I48" s="13">
        <f>'Standardized Values'!I48/I$2</f>
        <v>0</v>
      </c>
      <c r="J48" s="13">
        <f>'Standardized Values'!J48/J$2</f>
        <v>6.7391304347826086E-2</v>
      </c>
      <c r="K48" s="13">
        <f>'Standardized Values'!K48/K$2</f>
        <v>0</v>
      </c>
      <c r="L48" s="13">
        <f>'Standardized Values'!L48/L$2</f>
        <v>0</v>
      </c>
      <c r="M48" s="4" t="s">
        <v>165</v>
      </c>
      <c r="N48" s="2" t="s">
        <v>1127</v>
      </c>
      <c r="O48" s="2"/>
      <c r="P48" s="2"/>
      <c r="Q48" s="2"/>
      <c r="R48" s="2"/>
      <c r="S48" s="2"/>
      <c r="T48" s="2"/>
      <c r="U48" s="2"/>
      <c r="V48" s="2"/>
      <c r="W48" s="2"/>
      <c r="X48" s="2"/>
      <c r="Y48" s="2"/>
      <c r="Z48" s="2"/>
    </row>
    <row r="49" spans="1:26" ht="19.5" customHeight="1">
      <c r="A49" s="4" t="s">
        <v>166</v>
      </c>
      <c r="B49" s="4" t="s">
        <v>167</v>
      </c>
      <c r="C49" s="4" t="s">
        <v>155</v>
      </c>
      <c r="D49" s="4" t="s">
        <v>17</v>
      </c>
      <c r="E49" s="13">
        <f>'Standardized Values'!E49/E$2</f>
        <v>8.5000000000000006E-2</v>
      </c>
      <c r="F49" s="13">
        <f>'Standardized Values'!F49/F$2</f>
        <v>0.04</v>
      </c>
      <c r="G49" s="13">
        <f>'Standardized Values'!G49/G$2</f>
        <v>3.9215686274509803E-2</v>
      </c>
      <c r="H49" s="13">
        <f>'Standardized Values'!H49/H$2</f>
        <v>0.23140495867768596</v>
      </c>
      <c r="I49" s="13">
        <f>'Standardized Values'!I49/I$2</f>
        <v>0.26229508196721313</v>
      </c>
      <c r="J49" s="13">
        <f>'Standardized Values'!J49/J$2</f>
        <v>0.25217391304347825</v>
      </c>
      <c r="K49" s="13">
        <f>'Standardized Values'!K49/K$2</f>
        <v>3.6363636363636362E-2</v>
      </c>
      <c r="L49" s="13">
        <f>'Standardized Values'!L49/L$2</f>
        <v>6.6666666666666666E-2</v>
      </c>
      <c r="M49" s="4" t="s">
        <v>168</v>
      </c>
      <c r="N49" s="2" t="s">
        <v>1128</v>
      </c>
      <c r="O49" s="2"/>
      <c r="P49" s="2"/>
      <c r="Q49" s="2"/>
      <c r="R49" s="2"/>
      <c r="S49" s="2"/>
      <c r="T49" s="2"/>
      <c r="U49" s="2"/>
      <c r="V49" s="2"/>
      <c r="W49" s="2"/>
      <c r="X49" s="2"/>
      <c r="Y49" s="2"/>
      <c r="Z49" s="2"/>
    </row>
    <row r="50" spans="1:26" ht="19.5" customHeight="1">
      <c r="A50" s="4" t="s">
        <v>169</v>
      </c>
      <c r="B50" s="4" t="s">
        <v>170</v>
      </c>
      <c r="C50" s="4" t="s">
        <v>155</v>
      </c>
      <c r="D50" s="4" t="s">
        <v>17</v>
      </c>
      <c r="E50" s="13">
        <f>'Standardized Values'!E50/E$2</f>
        <v>7.4999999999999997E-2</v>
      </c>
      <c r="F50" s="13">
        <f>'Standardized Values'!F50/F$2</f>
        <v>3.272727272727273E-2</v>
      </c>
      <c r="G50" s="13">
        <f>'Standardized Values'!G50/G$2</f>
        <v>0.11764705882352941</v>
      </c>
      <c r="H50" s="13">
        <f>'Standardized Values'!H50/H$2</f>
        <v>0.16528925619834711</v>
      </c>
      <c r="I50" s="13">
        <f>'Standardized Values'!I50/I$2</f>
        <v>0.13114754098360656</v>
      </c>
      <c r="J50" s="13">
        <f>'Standardized Values'!J50/J$2</f>
        <v>0.16956521739130434</v>
      </c>
      <c r="K50" s="13">
        <f>'Standardized Values'!K50/K$2</f>
        <v>3.6363636363636362E-2</v>
      </c>
      <c r="L50" s="13">
        <f>'Standardized Values'!L50/L$2</f>
        <v>0.36666666666666664</v>
      </c>
      <c r="M50" s="4" t="s">
        <v>178</v>
      </c>
      <c r="N50" s="2" t="s">
        <v>1128</v>
      </c>
      <c r="O50" s="2"/>
      <c r="P50" s="2"/>
      <c r="Q50" s="2"/>
      <c r="R50" s="2"/>
      <c r="S50" s="2"/>
      <c r="T50" s="2"/>
      <c r="U50" s="2"/>
      <c r="V50" s="2"/>
      <c r="W50" s="2"/>
      <c r="X50" s="2"/>
      <c r="Y50" s="2"/>
      <c r="Z50" s="2"/>
    </row>
    <row r="51" spans="1:26" ht="19.5" customHeight="1">
      <c r="A51" s="4" t="s">
        <v>179</v>
      </c>
      <c r="B51" s="4" t="s">
        <v>180</v>
      </c>
      <c r="C51" s="4" t="s">
        <v>155</v>
      </c>
      <c r="D51" s="4" t="s">
        <v>17</v>
      </c>
      <c r="E51" s="13">
        <f>'Standardized Values'!E51/E$2</f>
        <v>0.06</v>
      </c>
      <c r="F51" s="13">
        <f>'Standardized Values'!F51/F$2</f>
        <v>0.08</v>
      </c>
      <c r="G51" s="13">
        <f>'Standardized Values'!G51/G$2</f>
        <v>1.9607843137254902E-2</v>
      </c>
      <c r="H51" s="13">
        <f>'Standardized Values'!H51/H$2</f>
        <v>4.9586776859504134E-2</v>
      </c>
      <c r="I51" s="13">
        <f>'Standardized Values'!I51/I$2</f>
        <v>0.45901639344262296</v>
      </c>
      <c r="J51" s="13">
        <f>'Standardized Values'!J51/J$2</f>
        <v>8.6956521739130432E-2</v>
      </c>
      <c r="K51" s="13">
        <f>'Standardized Values'!K51/K$2</f>
        <v>3.6363636363636362E-2</v>
      </c>
      <c r="L51" s="13">
        <f>'Standardized Values'!L51/L$2</f>
        <v>0</v>
      </c>
      <c r="M51" s="4" t="s">
        <v>181</v>
      </c>
      <c r="N51" s="2" t="s">
        <v>1126</v>
      </c>
      <c r="O51" s="2"/>
      <c r="P51" s="2"/>
      <c r="Q51" s="2"/>
      <c r="R51" s="2"/>
      <c r="S51" s="2"/>
      <c r="T51" s="2"/>
      <c r="U51" s="2"/>
      <c r="V51" s="2"/>
      <c r="W51" s="2"/>
      <c r="X51" s="2"/>
      <c r="Y51" s="2"/>
      <c r="Z51" s="2"/>
    </row>
    <row r="52" spans="1:26" ht="19.5" customHeight="1">
      <c r="A52" s="9" t="s">
        <v>182</v>
      </c>
      <c r="B52" s="25" t="s">
        <v>183</v>
      </c>
      <c r="C52" s="5">
        <v>43832</v>
      </c>
      <c r="D52" s="4" t="s">
        <v>17</v>
      </c>
      <c r="E52" s="13">
        <f>'Standardized Values'!E52/E$2</f>
        <v>2.2499999999999999E-2</v>
      </c>
      <c r="F52" s="13">
        <f>'Standardized Values'!F52/F$2</f>
        <v>2.9090909090909091E-2</v>
      </c>
      <c r="G52" s="13">
        <f>'Standardized Values'!G52/G$2</f>
        <v>3.9215686274509803E-2</v>
      </c>
      <c r="H52" s="13">
        <f>'Standardized Values'!H52/H$2</f>
        <v>1.6528925619834711E-2</v>
      </c>
      <c r="I52" s="13">
        <f>'Standardized Values'!I52/I$2</f>
        <v>9.8360655737704916E-2</v>
      </c>
      <c r="J52" s="13">
        <f>'Standardized Values'!J52/J$2</f>
        <v>0.29130434782608694</v>
      </c>
      <c r="K52" s="13">
        <f>'Standardized Values'!K52/K$2</f>
        <v>0.10909090909090909</v>
      </c>
      <c r="L52" s="13">
        <f>'Standardized Values'!L52/L$2</f>
        <v>0</v>
      </c>
      <c r="M52" s="4" t="s">
        <v>184</v>
      </c>
      <c r="N52" s="2" t="s">
        <v>1128</v>
      </c>
      <c r="O52" s="2"/>
      <c r="P52" s="2"/>
      <c r="Q52" s="2"/>
      <c r="R52" s="2"/>
      <c r="S52" s="2"/>
      <c r="T52" s="2"/>
      <c r="U52" s="2"/>
      <c r="V52" s="2"/>
      <c r="W52" s="2"/>
      <c r="X52" s="2"/>
      <c r="Y52" s="2"/>
      <c r="Z52" s="2"/>
    </row>
    <row r="53" spans="1:26" ht="19.5" customHeight="1">
      <c r="A53" s="4" t="s">
        <v>185</v>
      </c>
      <c r="B53" s="4" t="s">
        <v>186</v>
      </c>
      <c r="C53" s="5">
        <v>43832</v>
      </c>
      <c r="D53" s="4" t="s">
        <v>17</v>
      </c>
      <c r="E53" s="13">
        <f>'Standardized Values'!E53/E$2</f>
        <v>3.5000000000000003E-2</v>
      </c>
      <c r="F53" s="13">
        <f>'Standardized Values'!F53/F$2</f>
        <v>5.0909090909090911E-2</v>
      </c>
      <c r="G53" s="13">
        <f>'Standardized Values'!G53/G$2</f>
        <v>9.8039215686274508E-2</v>
      </c>
      <c r="H53" s="13">
        <f>'Standardized Values'!H53/H$2</f>
        <v>0.33057851239669422</v>
      </c>
      <c r="I53" s="13">
        <f>'Standardized Values'!I53/I$2</f>
        <v>0.19672131147540983</v>
      </c>
      <c r="J53" s="13">
        <f>'Standardized Values'!J53/J$2</f>
        <v>4.7826086956521741E-2</v>
      </c>
      <c r="K53" s="13">
        <f>'Standardized Values'!K53/K$2</f>
        <v>0.10909090909090909</v>
      </c>
      <c r="L53" s="13">
        <f>'Standardized Values'!L53/L$2</f>
        <v>0.15</v>
      </c>
      <c r="M53" s="4" t="s">
        <v>187</v>
      </c>
      <c r="N53" s="2" t="s">
        <v>1126</v>
      </c>
      <c r="O53" s="2"/>
      <c r="P53" s="2"/>
      <c r="Q53" s="2"/>
      <c r="R53" s="2"/>
      <c r="S53" s="2"/>
      <c r="T53" s="2"/>
      <c r="U53" s="2"/>
      <c r="V53" s="2"/>
      <c r="W53" s="2"/>
      <c r="X53" s="2"/>
      <c r="Y53" s="2"/>
      <c r="Z53" s="2"/>
    </row>
    <row r="54" spans="1:26" ht="19.5" customHeight="1">
      <c r="A54" s="4" t="s">
        <v>188</v>
      </c>
      <c r="B54" s="4" t="s">
        <v>189</v>
      </c>
      <c r="C54" s="5">
        <v>43832</v>
      </c>
      <c r="D54" s="4" t="s">
        <v>17</v>
      </c>
      <c r="E54" s="13">
        <f>'Standardized Values'!E54/E$2</f>
        <v>0.04</v>
      </c>
      <c r="F54" s="13">
        <f>'Standardized Values'!F54/F$2</f>
        <v>1.4545454545454545E-2</v>
      </c>
      <c r="G54" s="13">
        <f>'Standardized Values'!G54/G$2</f>
        <v>1.9607843137254902E-2</v>
      </c>
      <c r="H54" s="13">
        <f>'Standardized Values'!H54/H$2</f>
        <v>0.11570247933884298</v>
      </c>
      <c r="I54" s="13">
        <f>'Standardized Values'!I54/I$2</f>
        <v>9.8360655737704916E-2</v>
      </c>
      <c r="J54" s="13">
        <f>'Standardized Values'!J54/J$2</f>
        <v>0.14782608695652175</v>
      </c>
      <c r="K54" s="13">
        <f>'Standardized Values'!K54/K$2</f>
        <v>3.6363636363636362E-2</v>
      </c>
      <c r="L54" s="13">
        <f>'Standardized Values'!L54/L$2</f>
        <v>0</v>
      </c>
      <c r="M54" s="4" t="s">
        <v>190</v>
      </c>
      <c r="N54" s="2" t="s">
        <v>1127</v>
      </c>
      <c r="O54" s="2"/>
      <c r="P54" s="2"/>
      <c r="Q54" s="2"/>
      <c r="R54" s="2"/>
      <c r="S54" s="2"/>
      <c r="T54" s="2"/>
      <c r="U54" s="2"/>
      <c r="V54" s="2"/>
      <c r="W54" s="2"/>
      <c r="X54" s="2"/>
      <c r="Y54" s="2"/>
      <c r="Z54" s="2"/>
    </row>
    <row r="55" spans="1:26" ht="19.5" customHeight="1">
      <c r="A55" s="4" t="s">
        <v>191</v>
      </c>
      <c r="B55" s="4" t="s">
        <v>192</v>
      </c>
      <c r="C55" s="5">
        <v>43832</v>
      </c>
      <c r="D55" s="4" t="s">
        <v>17</v>
      </c>
      <c r="E55" s="13">
        <f>'Standardized Values'!E55/E$2</f>
        <v>0.14499999999999999</v>
      </c>
      <c r="F55" s="13">
        <f>'Standardized Values'!F55/F$2</f>
        <v>0.10545454545454545</v>
      </c>
      <c r="G55" s="13">
        <f>'Standardized Values'!G55/G$2</f>
        <v>0.21568627450980393</v>
      </c>
      <c r="H55" s="13">
        <f>'Standardized Values'!H55/H$2</f>
        <v>0.24793388429752067</v>
      </c>
      <c r="I55" s="13">
        <f>'Standardized Values'!I55/I$2</f>
        <v>0.36065573770491804</v>
      </c>
      <c r="J55" s="13">
        <f>'Standardized Values'!J55/J$2</f>
        <v>2.1739130434782608E-2</v>
      </c>
      <c r="K55" s="13">
        <f>'Standardized Values'!K55/K$2</f>
        <v>0.18181818181818182</v>
      </c>
      <c r="L55" s="13">
        <f>'Standardized Values'!L55/L$2</f>
        <v>0</v>
      </c>
      <c r="M55" s="4" t="s">
        <v>194</v>
      </c>
      <c r="N55" s="2" t="s">
        <v>1126</v>
      </c>
      <c r="O55" s="2"/>
      <c r="P55" s="2"/>
      <c r="Q55" s="2"/>
      <c r="R55" s="2"/>
      <c r="S55" s="2"/>
      <c r="T55" s="2"/>
      <c r="U55" s="2"/>
      <c r="V55" s="2"/>
      <c r="W55" s="2"/>
      <c r="X55" s="2"/>
      <c r="Y55" s="2"/>
      <c r="Z55" s="2"/>
    </row>
    <row r="56" spans="1:26" ht="19.5" customHeight="1">
      <c r="A56" s="4" t="s">
        <v>195</v>
      </c>
      <c r="B56" s="4" t="s">
        <v>196</v>
      </c>
      <c r="C56" s="5">
        <v>43832</v>
      </c>
      <c r="D56" s="4" t="s">
        <v>17</v>
      </c>
      <c r="E56" s="13">
        <f>'Standardized Values'!E56/E$2</f>
        <v>4.4999999999999998E-2</v>
      </c>
      <c r="F56" s="13">
        <f>'Standardized Values'!F56/F$2</f>
        <v>4.7272727272727272E-2</v>
      </c>
      <c r="G56" s="13">
        <f>'Standardized Values'!G56/G$2</f>
        <v>0.23529411764705882</v>
      </c>
      <c r="H56" s="13">
        <f>'Standardized Values'!H56/H$2</f>
        <v>3.3057851239669422E-2</v>
      </c>
      <c r="I56" s="13">
        <f>'Standardized Values'!I56/I$2</f>
        <v>3.2786885245901641E-2</v>
      </c>
      <c r="J56" s="13">
        <f>'Standardized Values'!J56/J$2</f>
        <v>5.2173913043478258E-2</v>
      </c>
      <c r="K56" s="13">
        <f>'Standardized Values'!K56/K$2</f>
        <v>0.25454545454545452</v>
      </c>
      <c r="L56" s="13">
        <f>'Standardized Values'!L56/L$2</f>
        <v>0</v>
      </c>
      <c r="M56" s="4" t="s">
        <v>197</v>
      </c>
      <c r="N56" s="2" t="s">
        <v>1126</v>
      </c>
      <c r="O56" s="2"/>
      <c r="P56" s="2"/>
      <c r="Q56" s="2"/>
      <c r="R56" s="2"/>
      <c r="S56" s="2"/>
      <c r="T56" s="2"/>
      <c r="U56" s="2"/>
      <c r="V56" s="2"/>
      <c r="W56" s="2"/>
      <c r="X56" s="2"/>
      <c r="Y56" s="2"/>
      <c r="Z56" s="2"/>
    </row>
    <row r="57" spans="1:26" ht="19.5" customHeight="1">
      <c r="A57" s="4" t="s">
        <v>198</v>
      </c>
      <c r="B57" s="4" t="s">
        <v>199</v>
      </c>
      <c r="C57" s="4" t="s">
        <v>155</v>
      </c>
      <c r="D57" s="4" t="s">
        <v>200</v>
      </c>
      <c r="E57" s="13">
        <f>'Standardized Values'!E57/E$2</f>
        <v>0.04</v>
      </c>
      <c r="F57" s="13">
        <f>'Standardized Values'!F57/F$2</f>
        <v>5.4545454545454543E-2</v>
      </c>
      <c r="G57" s="13">
        <f>'Standardized Values'!G57/G$2</f>
        <v>7.8431372549019607E-2</v>
      </c>
      <c r="H57" s="13">
        <f>'Standardized Values'!H57/H$2</f>
        <v>8.2644628099173556E-3</v>
      </c>
      <c r="I57" s="13">
        <f>'Standardized Values'!I57/I$2</f>
        <v>0</v>
      </c>
      <c r="J57" s="13">
        <f>'Standardized Values'!J57/J$2</f>
        <v>0</v>
      </c>
      <c r="K57" s="13">
        <f>'Standardized Values'!K57/K$2</f>
        <v>0.10909090909090909</v>
      </c>
      <c r="L57" s="13">
        <f>'Standardized Values'!L57/L$2</f>
        <v>0</v>
      </c>
      <c r="M57" s="4" t="s">
        <v>202</v>
      </c>
      <c r="N57" s="2" t="s">
        <v>1126</v>
      </c>
      <c r="O57" s="2"/>
      <c r="P57" s="2"/>
      <c r="Q57" s="2"/>
      <c r="R57" s="2"/>
      <c r="S57" s="2"/>
      <c r="T57" s="2"/>
      <c r="U57" s="2"/>
      <c r="V57" s="2"/>
      <c r="W57" s="2"/>
      <c r="X57" s="2"/>
      <c r="Y57" s="2"/>
      <c r="Z57" s="2"/>
    </row>
    <row r="58" spans="1:26" ht="19.5" customHeight="1">
      <c r="A58" s="4" t="s">
        <v>203</v>
      </c>
      <c r="B58" s="4" t="s">
        <v>204</v>
      </c>
      <c r="C58" s="5">
        <v>43832</v>
      </c>
      <c r="D58" s="4" t="s">
        <v>205</v>
      </c>
      <c r="E58" s="13">
        <f>'Standardized Values'!E58/E$2</f>
        <v>0.04</v>
      </c>
      <c r="F58" s="13">
        <f>'Standardized Values'!F58/F$2</f>
        <v>0</v>
      </c>
      <c r="G58" s="13">
        <f>'Standardized Values'!G58/G$2</f>
        <v>0.13725490196078433</v>
      </c>
      <c r="H58" s="13">
        <f>'Standardized Values'!H58/H$2</f>
        <v>9.9173553719008267E-2</v>
      </c>
      <c r="I58" s="13">
        <f>'Standardized Values'!I58/I$2</f>
        <v>0</v>
      </c>
      <c r="J58" s="13">
        <f>'Standardized Values'!J58/J$2</f>
        <v>0.14782608695652175</v>
      </c>
      <c r="K58" s="13">
        <f>'Standardized Values'!K58/K$2</f>
        <v>0</v>
      </c>
      <c r="L58" s="13">
        <f>'Standardized Values'!L58/L$2</f>
        <v>0.05</v>
      </c>
      <c r="M58" s="4" t="s">
        <v>206</v>
      </c>
      <c r="N58" s="2" t="s">
        <v>1126</v>
      </c>
      <c r="O58" s="2"/>
      <c r="P58" s="2"/>
      <c r="Q58" s="2"/>
      <c r="R58" s="2"/>
      <c r="S58" s="2"/>
      <c r="T58" s="2"/>
      <c r="U58" s="2"/>
      <c r="V58" s="2"/>
      <c r="W58" s="2"/>
      <c r="X58" s="2"/>
      <c r="Y58" s="2"/>
      <c r="Z58" s="2"/>
    </row>
    <row r="59" spans="1:26" ht="19.5" customHeight="1">
      <c r="A59" s="4" t="s">
        <v>207</v>
      </c>
      <c r="B59" s="4" t="s">
        <v>208</v>
      </c>
      <c r="C59" s="5">
        <v>43832</v>
      </c>
      <c r="D59" s="12" t="s">
        <v>17</v>
      </c>
      <c r="E59" s="13">
        <f>'Standardized Values'!E59/E$2</f>
        <v>4.4999999999999998E-2</v>
      </c>
      <c r="F59" s="13">
        <f>'Standardized Values'!F59/F$2</f>
        <v>4.363636363636364E-2</v>
      </c>
      <c r="G59" s="13">
        <f>'Standardized Values'!G59/G$2</f>
        <v>0.15686274509803921</v>
      </c>
      <c r="H59" s="13">
        <f>'Standardized Values'!H59/H$2</f>
        <v>6.6115702479338845E-2</v>
      </c>
      <c r="I59" s="13">
        <f>'Standardized Values'!I59/I$2</f>
        <v>0</v>
      </c>
      <c r="J59" s="13">
        <f>'Standardized Values'!J59/J$2</f>
        <v>6.0869565217391307E-2</v>
      </c>
      <c r="K59" s="13">
        <f>'Standardized Values'!K59/K$2</f>
        <v>0.25454545454545452</v>
      </c>
      <c r="L59" s="13">
        <f>'Standardized Values'!L59/L$2</f>
        <v>0</v>
      </c>
      <c r="M59" s="12" t="s">
        <v>209</v>
      </c>
      <c r="N59" s="2" t="s">
        <v>1126</v>
      </c>
      <c r="O59" s="2"/>
      <c r="P59" s="2"/>
      <c r="Q59" s="2"/>
      <c r="R59" s="2"/>
      <c r="S59" s="2"/>
      <c r="T59" s="2"/>
      <c r="U59" s="2"/>
      <c r="V59" s="2"/>
      <c r="W59" s="2"/>
      <c r="X59" s="2"/>
      <c r="Y59" s="2"/>
      <c r="Z59" s="2"/>
    </row>
    <row r="60" spans="1:26" ht="19.5" customHeight="1">
      <c r="A60" s="4" t="s">
        <v>210</v>
      </c>
      <c r="B60" s="4" t="s">
        <v>211</v>
      </c>
      <c r="C60" s="5">
        <v>43832</v>
      </c>
      <c r="D60" s="4" t="s">
        <v>212</v>
      </c>
      <c r="E60" s="13">
        <f>'Standardized Values'!E60/E$2</f>
        <v>8.5000000000000006E-2</v>
      </c>
      <c r="F60" s="13">
        <f>'Standardized Values'!F60/F$2</f>
        <v>0</v>
      </c>
      <c r="G60" s="13">
        <f>'Standardized Values'!G60/G$2</f>
        <v>0.29411764705882354</v>
      </c>
      <c r="H60" s="13">
        <f>'Standardized Values'!H60/H$2</f>
        <v>0.19834710743801653</v>
      </c>
      <c r="I60" s="13">
        <f>'Standardized Values'!I60/I$2</f>
        <v>0</v>
      </c>
      <c r="J60" s="13">
        <f>'Standardized Values'!J60/J$2</f>
        <v>0.13478260869565217</v>
      </c>
      <c r="K60" s="13">
        <f>'Standardized Values'!K60/K$2</f>
        <v>0</v>
      </c>
      <c r="L60" s="13">
        <f>'Standardized Values'!L60/L$2</f>
        <v>0.1</v>
      </c>
      <c r="M60" s="4" t="s">
        <v>213</v>
      </c>
      <c r="N60" s="2" t="s">
        <v>1126</v>
      </c>
      <c r="O60" s="2"/>
      <c r="P60" s="2"/>
      <c r="Q60" s="2"/>
      <c r="R60" s="2"/>
      <c r="S60" s="2"/>
      <c r="T60" s="2"/>
      <c r="U60" s="2"/>
      <c r="V60" s="2"/>
      <c r="W60" s="2"/>
      <c r="X60" s="2"/>
      <c r="Y60" s="2"/>
      <c r="Z60" s="2"/>
    </row>
    <row r="61" spans="1:26" ht="19.5" customHeight="1">
      <c r="A61" s="4" t="s">
        <v>214</v>
      </c>
      <c r="B61" s="4" t="s">
        <v>215</v>
      </c>
      <c r="C61" s="5">
        <v>43832</v>
      </c>
      <c r="D61" s="4" t="s">
        <v>200</v>
      </c>
      <c r="E61" s="13">
        <f>'Standardized Values'!E61/E$2</f>
        <v>0.04</v>
      </c>
      <c r="F61" s="13">
        <f>'Standardized Values'!F61/F$2</f>
        <v>5.4545454545454543E-2</v>
      </c>
      <c r="G61" s="13">
        <f>'Standardized Values'!G61/G$2</f>
        <v>7.8431372549019607E-2</v>
      </c>
      <c r="H61" s="13">
        <f>'Standardized Values'!H61/H$2</f>
        <v>8.2644628099173556E-3</v>
      </c>
      <c r="I61" s="13">
        <f>'Standardized Values'!I61/I$2</f>
        <v>0</v>
      </c>
      <c r="J61" s="13">
        <f>'Standardized Values'!J61/J$2</f>
        <v>3.2608695652173912E-2</v>
      </c>
      <c r="K61" s="13">
        <f>'Standardized Values'!K61/K$2</f>
        <v>0.10909090909090909</v>
      </c>
      <c r="L61" s="13">
        <f>'Standardized Values'!L61/L$2</f>
        <v>0</v>
      </c>
      <c r="M61" s="4" t="s">
        <v>202</v>
      </c>
      <c r="N61" s="2" t="s">
        <v>1126</v>
      </c>
      <c r="O61" s="2"/>
      <c r="P61" s="2"/>
      <c r="Q61" s="2"/>
      <c r="R61" s="2"/>
      <c r="S61" s="2"/>
      <c r="T61" s="2"/>
      <c r="U61" s="2"/>
      <c r="V61" s="2"/>
      <c r="W61" s="2"/>
      <c r="X61" s="2"/>
      <c r="Y61" s="2"/>
      <c r="Z61" s="2"/>
    </row>
    <row r="62" spans="1:26" ht="19.5" customHeight="1">
      <c r="A62" s="4" t="s">
        <v>216</v>
      </c>
      <c r="B62" s="4" t="s">
        <v>217</v>
      </c>
      <c r="C62" s="12" t="s">
        <v>218</v>
      </c>
      <c r="D62" s="4" t="s">
        <v>218</v>
      </c>
      <c r="E62" s="13">
        <f>'Standardized Values'!E62/E$2</f>
        <v>0.06</v>
      </c>
      <c r="F62" s="13">
        <f>'Standardized Values'!F62/F$2</f>
        <v>0</v>
      </c>
      <c r="G62" s="13">
        <f>'Standardized Values'!G62/G$2</f>
        <v>0</v>
      </c>
      <c r="H62" s="13">
        <f>'Standardized Values'!H62/H$2</f>
        <v>0.23140495867768596</v>
      </c>
      <c r="I62" s="13">
        <f>'Standardized Values'!I62/I$2</f>
        <v>0</v>
      </c>
      <c r="J62" s="13">
        <f>'Standardized Values'!J62/J$2</f>
        <v>0</v>
      </c>
      <c r="K62" s="13">
        <f>'Standardized Values'!K62/K$2</f>
        <v>0</v>
      </c>
      <c r="L62" s="13">
        <f>'Standardized Values'!L62/L$2</f>
        <v>0</v>
      </c>
      <c r="M62" s="4" t="s">
        <v>219</v>
      </c>
      <c r="N62" s="2" t="s">
        <v>1127</v>
      </c>
      <c r="O62" s="2"/>
      <c r="P62" s="2"/>
      <c r="Q62" s="2"/>
      <c r="R62" s="2"/>
      <c r="S62" s="2"/>
      <c r="T62" s="2"/>
      <c r="U62" s="2"/>
      <c r="V62" s="2"/>
      <c r="W62" s="2"/>
      <c r="X62" s="2"/>
      <c r="Y62" s="2"/>
      <c r="Z62" s="2"/>
    </row>
    <row r="63" spans="1:26" ht="19.5" customHeight="1">
      <c r="A63" s="4" t="s">
        <v>220</v>
      </c>
      <c r="B63" s="4" t="s">
        <v>221</v>
      </c>
      <c r="C63" s="6">
        <v>240</v>
      </c>
      <c r="D63" s="4" t="s">
        <v>222</v>
      </c>
      <c r="E63" s="13">
        <f>'Standardized Values'!E63/E$2</f>
        <v>0.01</v>
      </c>
      <c r="F63" s="13">
        <f>'Standardized Values'!F63/F$2</f>
        <v>2.181818181818182E-2</v>
      </c>
      <c r="G63" s="13">
        <f>'Standardized Values'!G63/G$2</f>
        <v>0</v>
      </c>
      <c r="H63" s="13">
        <f>'Standardized Values'!H63/H$2</f>
        <v>0</v>
      </c>
      <c r="I63" s="13">
        <f>'Standardized Values'!I63/I$2</f>
        <v>0.13114754098360656</v>
      </c>
      <c r="J63" s="13">
        <f>'Standardized Values'!J63/J$2</f>
        <v>2.1739130434782608E-2</v>
      </c>
      <c r="K63" s="13">
        <f>'Standardized Values'!K63/K$2</f>
        <v>0</v>
      </c>
      <c r="L63" s="13">
        <f>'Standardized Values'!L63/L$2</f>
        <v>0</v>
      </c>
      <c r="M63" s="4" t="s">
        <v>223</v>
      </c>
      <c r="N63" s="2" t="s">
        <v>1129</v>
      </c>
      <c r="O63" s="2"/>
      <c r="P63" s="2"/>
      <c r="Q63" s="2"/>
      <c r="R63" s="2"/>
      <c r="S63" s="2"/>
      <c r="T63" s="2"/>
      <c r="U63" s="2"/>
      <c r="V63" s="2"/>
      <c r="W63" s="2"/>
      <c r="X63" s="2"/>
      <c r="Y63" s="2"/>
      <c r="Z63" s="2"/>
    </row>
    <row r="64" spans="1:26" ht="19.5" customHeight="1">
      <c r="A64" s="4" t="s">
        <v>224</v>
      </c>
      <c r="B64" s="4" t="s">
        <v>225</v>
      </c>
      <c r="C64" s="6">
        <v>100</v>
      </c>
      <c r="D64" s="4" t="s">
        <v>226</v>
      </c>
      <c r="E64" s="13">
        <f>'Standardized Values'!E64/E$2</f>
        <v>0.34949999999999998</v>
      </c>
      <c r="F64" s="13">
        <f>'Standardized Values'!F64/F$2</f>
        <v>4.8363636363636366E-2</v>
      </c>
      <c r="G64" s="13">
        <f>'Standardized Values'!G64/G$2</f>
        <v>0.40196078431372551</v>
      </c>
      <c r="H64" s="13">
        <f>'Standardized Values'!H64/H$2</f>
        <v>1.0380165289256198</v>
      </c>
      <c r="I64" s="13">
        <f>'Standardized Values'!I64/I$2</f>
        <v>0</v>
      </c>
      <c r="J64" s="13">
        <f>'Standardized Values'!J64/J$2</f>
        <v>0.10217391304347827</v>
      </c>
      <c r="K64" s="13">
        <f>'Standardized Values'!K64/K$2</f>
        <v>0.10909090909090909</v>
      </c>
      <c r="L64" s="13">
        <f>'Standardized Values'!L64/L$2</f>
        <v>0</v>
      </c>
      <c r="M64" s="4" t="s">
        <v>227</v>
      </c>
      <c r="N64" s="2" t="s">
        <v>1126</v>
      </c>
      <c r="O64" s="2"/>
      <c r="P64" s="2"/>
      <c r="Q64" s="2"/>
      <c r="R64" s="2"/>
      <c r="S64" s="2"/>
      <c r="T64" s="2"/>
      <c r="U64" s="2"/>
      <c r="V64" s="2"/>
      <c r="W64" s="2"/>
      <c r="X64" s="2"/>
      <c r="Y64" s="2"/>
      <c r="Z64" s="2"/>
    </row>
    <row r="65" spans="1:26" ht="19.5" customHeight="1">
      <c r="A65" s="4" t="s">
        <v>228</v>
      </c>
      <c r="B65" s="4" t="s">
        <v>229</v>
      </c>
      <c r="C65" s="6">
        <v>85</v>
      </c>
      <c r="D65" s="4" t="s">
        <v>226</v>
      </c>
      <c r="E65" s="13">
        <f>'Standardized Values'!E65/E$2</f>
        <v>6.5000000000000002E-2</v>
      </c>
      <c r="F65" s="13">
        <f>'Standardized Values'!F65/F$2</f>
        <v>1.8181818181818181E-2</v>
      </c>
      <c r="G65" s="13">
        <f>'Standardized Values'!G65/G$2</f>
        <v>0.13725490196078433</v>
      </c>
      <c r="H65" s="13">
        <f>'Standardized Values'!H65/H$2</f>
        <v>0.1487603305785124</v>
      </c>
      <c r="I65" s="13">
        <f>'Standardized Values'!I65/I$2</f>
        <v>6.5573770491803282E-2</v>
      </c>
      <c r="J65" s="13">
        <f>'Standardized Values'!J65/J$2</f>
        <v>0.19130434782608696</v>
      </c>
      <c r="K65" s="13">
        <f>'Standardized Values'!K65/K$2</f>
        <v>3.6363636363636362E-2</v>
      </c>
      <c r="L65" s="13">
        <f>'Standardized Values'!L65/L$2</f>
        <v>8.3333333333333329E-2</v>
      </c>
      <c r="M65" s="4" t="s">
        <v>230</v>
      </c>
      <c r="N65" s="2" t="s">
        <v>1128</v>
      </c>
      <c r="O65" s="2"/>
      <c r="P65" s="2"/>
      <c r="Q65" s="2"/>
      <c r="R65" s="2"/>
      <c r="S65" s="2"/>
      <c r="T65" s="2"/>
      <c r="U65" s="2"/>
      <c r="V65" s="2"/>
      <c r="W65" s="2"/>
      <c r="X65" s="2"/>
      <c r="Y65" s="2"/>
      <c r="Z65" s="2"/>
    </row>
    <row r="66" spans="1:26" ht="19.5" customHeight="1">
      <c r="A66" s="4" t="s">
        <v>231</v>
      </c>
      <c r="B66" s="4" t="s">
        <v>232</v>
      </c>
      <c r="C66" s="6">
        <v>85</v>
      </c>
      <c r="D66" s="4" t="s">
        <v>226</v>
      </c>
      <c r="E66" s="13">
        <f>'Standardized Values'!E66/E$2</f>
        <v>4.4999999999999998E-2</v>
      </c>
      <c r="F66" s="13">
        <f>'Standardized Values'!F66/F$2</f>
        <v>2.5454545454545455E-2</v>
      </c>
      <c r="G66" s="13">
        <f>'Standardized Values'!G66/G$2</f>
        <v>5.8823529411764705E-2</v>
      </c>
      <c r="H66" s="13">
        <f>'Standardized Values'!H66/H$2</f>
        <v>9.9173553719008267E-2</v>
      </c>
      <c r="I66" s="13">
        <f>'Standardized Values'!I66/I$2</f>
        <v>0</v>
      </c>
      <c r="J66" s="13">
        <f>'Standardized Values'!J66/J$2</f>
        <v>0.13478260869565217</v>
      </c>
      <c r="K66" s="13">
        <f>'Standardized Values'!K66/K$2</f>
        <v>0.21818181818181817</v>
      </c>
      <c r="L66" s="13">
        <f>'Standardized Values'!L66/L$2</f>
        <v>0</v>
      </c>
      <c r="M66" s="4" t="s">
        <v>233</v>
      </c>
      <c r="N66" s="2" t="s">
        <v>1126</v>
      </c>
      <c r="O66" s="2"/>
      <c r="P66" s="2"/>
      <c r="Q66" s="2"/>
      <c r="R66" s="2"/>
      <c r="S66" s="2"/>
      <c r="T66" s="2"/>
      <c r="U66" s="2"/>
      <c r="V66" s="2"/>
      <c r="W66" s="2"/>
      <c r="X66" s="2"/>
      <c r="Y66" s="2"/>
      <c r="Z66" s="2"/>
    </row>
    <row r="67" spans="1:26" ht="19.5" customHeight="1">
      <c r="A67" s="4" t="s">
        <v>234</v>
      </c>
      <c r="B67" s="4" t="s">
        <v>235</v>
      </c>
      <c r="C67" s="6">
        <v>60</v>
      </c>
      <c r="D67" s="4" t="s">
        <v>236</v>
      </c>
      <c r="E67" s="13">
        <f>'Standardized Values'!E67/E$2</f>
        <v>0.06</v>
      </c>
      <c r="F67" s="13">
        <f>'Standardized Values'!F67/F$2</f>
        <v>6.545454545454546E-2</v>
      </c>
      <c r="G67" s="13">
        <f>'Standardized Values'!G67/G$2</f>
        <v>5.8823529411764705E-2</v>
      </c>
      <c r="H67" s="13">
        <f>'Standardized Values'!H67/H$2</f>
        <v>6.6115702479338845E-2</v>
      </c>
      <c r="I67" s="13">
        <f>'Standardized Values'!I67/I$2</f>
        <v>3.2786885245901641E-2</v>
      </c>
      <c r="J67" s="13">
        <f>'Standardized Values'!J67/J$2</f>
        <v>0.1</v>
      </c>
      <c r="K67" s="13">
        <f>'Standardized Values'!K67/K$2</f>
        <v>3.6363636363636362E-2</v>
      </c>
      <c r="L67" s="13">
        <f>'Standardized Values'!L67/L$2</f>
        <v>6.6666666666666671E-3</v>
      </c>
      <c r="M67" s="4" t="s">
        <v>237</v>
      </c>
      <c r="N67" s="2" t="s">
        <v>1126</v>
      </c>
      <c r="O67" s="2"/>
      <c r="P67" s="2"/>
      <c r="Q67" s="2"/>
      <c r="R67" s="2"/>
      <c r="S67" s="2"/>
      <c r="T67" s="2"/>
      <c r="U67" s="2"/>
      <c r="V67" s="2"/>
      <c r="W67" s="2"/>
      <c r="X67" s="2"/>
      <c r="Y67" s="2"/>
      <c r="Z67" s="2"/>
    </row>
    <row r="68" spans="1:26" ht="19.5" customHeight="1">
      <c r="A68" s="4" t="s">
        <v>238</v>
      </c>
      <c r="B68" s="4" t="s">
        <v>239</v>
      </c>
      <c r="C68" s="6">
        <v>60</v>
      </c>
      <c r="D68" s="4" t="s">
        <v>236</v>
      </c>
      <c r="E68" s="13">
        <f>'Standardized Values'!E68/E$2</f>
        <v>0.06</v>
      </c>
      <c r="F68" s="13">
        <f>'Standardized Values'!F68/F$2</f>
        <v>6.9090909090909092E-2</v>
      </c>
      <c r="G68" s="13">
        <f>'Standardized Values'!G68/G$2</f>
        <v>5.8823529411764705E-2</v>
      </c>
      <c r="H68" s="13">
        <f>'Standardized Values'!H68/H$2</f>
        <v>5.7851239669421489E-2</v>
      </c>
      <c r="I68" s="13">
        <f>'Standardized Values'!I68/I$2</f>
        <v>3.2786885245901641E-2</v>
      </c>
      <c r="J68" s="13">
        <f>'Standardized Values'!J68/J$2</f>
        <v>0.1</v>
      </c>
      <c r="K68" s="13">
        <f>'Standardized Values'!K68/K$2</f>
        <v>3.6363636363636362E-2</v>
      </c>
      <c r="L68" s="13">
        <f>'Standardized Values'!L68/L$2</f>
        <v>0</v>
      </c>
      <c r="M68" s="4" t="s">
        <v>240</v>
      </c>
      <c r="N68" s="2" t="s">
        <v>1126</v>
      </c>
      <c r="O68" s="2"/>
      <c r="P68" s="2"/>
      <c r="Q68" s="2"/>
      <c r="R68" s="2"/>
      <c r="S68" s="2"/>
      <c r="T68" s="2"/>
      <c r="U68" s="2"/>
      <c r="V68" s="2"/>
      <c r="W68" s="2"/>
      <c r="X68" s="2"/>
      <c r="Y68" s="2"/>
      <c r="Z68" s="2"/>
    </row>
    <row r="69" spans="1:26" ht="19.5" customHeight="1">
      <c r="A69" s="4" t="s">
        <v>241</v>
      </c>
      <c r="B69" s="4" t="s">
        <v>242</v>
      </c>
      <c r="C69" s="6">
        <v>60</v>
      </c>
      <c r="D69" s="4" t="s">
        <v>236</v>
      </c>
      <c r="E69" s="13">
        <f>'Standardized Values'!E69/E$2</f>
        <v>0.06</v>
      </c>
      <c r="F69" s="13">
        <f>'Standardized Values'!F69/F$2</f>
        <v>6.9090909090909092E-2</v>
      </c>
      <c r="G69" s="13">
        <f>'Standardized Values'!G69/G$2</f>
        <v>5.8823529411764705E-2</v>
      </c>
      <c r="H69" s="13">
        <f>'Standardized Values'!H69/H$2</f>
        <v>5.7851239669421489E-2</v>
      </c>
      <c r="I69" s="13">
        <f>'Standardized Values'!I69/I$2</f>
        <v>3.2786885245901641E-2</v>
      </c>
      <c r="J69" s="13">
        <f>'Standardized Values'!J69/J$2</f>
        <v>0.1</v>
      </c>
      <c r="K69" s="13">
        <f>'Standardized Values'!K69/K$2</f>
        <v>3.6363636363636362E-2</v>
      </c>
      <c r="L69" s="13">
        <f>'Standardized Values'!L69/L$2</f>
        <v>0</v>
      </c>
      <c r="M69" s="4" t="s">
        <v>240</v>
      </c>
      <c r="N69" s="2" t="s">
        <v>1126</v>
      </c>
      <c r="O69" s="2"/>
      <c r="P69" s="2"/>
      <c r="Q69" s="2"/>
      <c r="R69" s="2"/>
      <c r="S69" s="2"/>
      <c r="T69" s="2"/>
      <c r="U69" s="2"/>
      <c r="V69" s="2"/>
      <c r="W69" s="2"/>
      <c r="X69" s="2"/>
      <c r="Y69" s="2"/>
      <c r="Z69" s="2"/>
    </row>
    <row r="70" spans="1:26" ht="19.5" customHeight="1">
      <c r="A70" s="4" t="s">
        <v>243</v>
      </c>
      <c r="B70" s="4" t="s">
        <v>244</v>
      </c>
      <c r="C70" s="6">
        <v>60</v>
      </c>
      <c r="D70" s="4" t="s">
        <v>236</v>
      </c>
      <c r="E70" s="13">
        <f>'Standardized Values'!E70/E$2</f>
        <v>0.06</v>
      </c>
      <c r="F70" s="13">
        <f>'Standardized Values'!F70/F$2</f>
        <v>6.545454545454546E-2</v>
      </c>
      <c r="G70" s="13">
        <f>'Standardized Values'!G70/G$2</f>
        <v>5.8823529411764705E-2</v>
      </c>
      <c r="H70" s="13">
        <f>'Standardized Values'!H70/H$2</f>
        <v>6.6115702479338845E-2</v>
      </c>
      <c r="I70" s="13">
        <f>'Standardized Values'!I70/I$2</f>
        <v>3.2786885245901641E-2</v>
      </c>
      <c r="J70" s="13">
        <f>'Standardized Values'!J70/J$2</f>
        <v>0.1</v>
      </c>
      <c r="K70" s="13">
        <f>'Standardized Values'!K70/K$2</f>
        <v>3.6363636363636362E-2</v>
      </c>
      <c r="L70" s="13">
        <f>'Standardized Values'!L70/L$2</f>
        <v>6.6666666666666671E-3</v>
      </c>
      <c r="M70" s="4" t="s">
        <v>237</v>
      </c>
      <c r="N70" s="2" t="s">
        <v>1126</v>
      </c>
      <c r="O70" s="2"/>
      <c r="P70" s="2"/>
      <c r="Q70" s="2"/>
      <c r="R70" s="2"/>
      <c r="S70" s="2"/>
      <c r="T70" s="2"/>
      <c r="U70" s="2"/>
      <c r="V70" s="2"/>
      <c r="W70" s="2"/>
      <c r="X70" s="2"/>
      <c r="Y70" s="2"/>
      <c r="Z70" s="2"/>
    </row>
    <row r="71" spans="1:26" ht="19.5" customHeight="1">
      <c r="A71" s="4" t="s">
        <v>245</v>
      </c>
      <c r="B71" s="4" t="s">
        <v>246</v>
      </c>
      <c r="C71" s="6">
        <v>50</v>
      </c>
      <c r="D71" s="4" t="s">
        <v>222</v>
      </c>
      <c r="E71" s="13">
        <f>'Standardized Values'!E71/E$2</f>
        <v>0</v>
      </c>
      <c r="F71" s="13">
        <f>'Standardized Values'!F71/F$2</f>
        <v>0</v>
      </c>
      <c r="G71" s="13">
        <f>'Standardized Values'!G71/G$2</f>
        <v>0</v>
      </c>
      <c r="H71" s="13">
        <f>'Standardized Values'!H71/H$2</f>
        <v>0</v>
      </c>
      <c r="I71" s="13">
        <f>'Standardized Values'!I71/I$2</f>
        <v>0</v>
      </c>
      <c r="J71" s="13">
        <f>'Standardized Values'!J71/J$2</f>
        <v>0</v>
      </c>
      <c r="K71" s="13">
        <f>'Standardized Values'!K71/K$2</f>
        <v>0</v>
      </c>
      <c r="L71" s="13">
        <f>'Standardized Values'!L71/L$2</f>
        <v>0</v>
      </c>
      <c r="M71" s="4" t="s">
        <v>247</v>
      </c>
      <c r="N71" s="2" t="s">
        <v>1129</v>
      </c>
      <c r="O71" s="2"/>
      <c r="P71" s="2"/>
      <c r="Q71" s="2"/>
      <c r="R71" s="2"/>
      <c r="S71" s="2"/>
      <c r="T71" s="2"/>
      <c r="U71" s="2"/>
      <c r="V71" s="2"/>
      <c r="W71" s="2"/>
      <c r="X71" s="2"/>
      <c r="Y71" s="2"/>
      <c r="Z71" s="2"/>
    </row>
    <row r="72" spans="1:26" ht="19.5" customHeight="1">
      <c r="A72" s="4" t="s">
        <v>248</v>
      </c>
      <c r="B72" s="4" t="s">
        <v>249</v>
      </c>
      <c r="C72" s="6">
        <v>50</v>
      </c>
      <c r="D72" s="4" t="s">
        <v>222</v>
      </c>
      <c r="E72" s="13">
        <f>'Standardized Values'!E72/E$2</f>
        <v>0</v>
      </c>
      <c r="F72" s="13">
        <f>'Standardized Values'!F72/F$2</f>
        <v>0</v>
      </c>
      <c r="G72" s="13">
        <f>'Standardized Values'!G72/G$2</f>
        <v>0</v>
      </c>
      <c r="H72" s="13">
        <f>'Standardized Values'!H72/H$2</f>
        <v>0</v>
      </c>
      <c r="I72" s="13">
        <f>'Standardized Values'!I72/I$2</f>
        <v>0</v>
      </c>
      <c r="J72" s="13">
        <f>'Standardized Values'!J72/J$2</f>
        <v>0</v>
      </c>
      <c r="K72" s="13">
        <f>'Standardized Values'!K72/K$2</f>
        <v>0</v>
      </c>
      <c r="L72" s="13">
        <f>'Standardized Values'!L72/L$2</f>
        <v>0</v>
      </c>
      <c r="M72" s="4" t="s">
        <v>250</v>
      </c>
      <c r="N72" s="2" t="s">
        <v>1129</v>
      </c>
      <c r="O72" s="2"/>
      <c r="P72" s="2"/>
      <c r="Q72" s="2"/>
      <c r="R72" s="2"/>
      <c r="S72" s="2"/>
      <c r="T72" s="2"/>
      <c r="U72" s="2"/>
      <c r="V72" s="2"/>
      <c r="W72" s="2"/>
      <c r="X72" s="2"/>
      <c r="Y72" s="2"/>
      <c r="Z72" s="2"/>
    </row>
    <row r="73" spans="1:26" ht="19.5" customHeight="1">
      <c r="A73" s="4" t="s">
        <v>251</v>
      </c>
      <c r="B73" s="4" t="s">
        <v>252</v>
      </c>
      <c r="C73" s="6">
        <v>50</v>
      </c>
      <c r="D73" s="4" t="s">
        <v>222</v>
      </c>
      <c r="E73" s="13">
        <f>'Standardized Values'!E73/E$2</f>
        <v>0</v>
      </c>
      <c r="F73" s="13">
        <f>'Standardized Values'!F73/F$2</f>
        <v>0</v>
      </c>
      <c r="G73" s="13">
        <f>'Standardized Values'!G73/G$2</f>
        <v>0</v>
      </c>
      <c r="H73" s="13">
        <f>'Standardized Values'!H73/H$2</f>
        <v>0</v>
      </c>
      <c r="I73" s="13">
        <f>'Standardized Values'!I73/I$2</f>
        <v>0</v>
      </c>
      <c r="J73" s="13">
        <f>'Standardized Values'!J73/J$2</f>
        <v>0</v>
      </c>
      <c r="K73" s="13">
        <f>'Standardized Values'!K73/K$2</f>
        <v>0</v>
      </c>
      <c r="L73" s="13">
        <f>'Standardized Values'!L73/L$2</f>
        <v>0</v>
      </c>
      <c r="M73" s="4" t="s">
        <v>247</v>
      </c>
      <c r="N73" s="2" t="s">
        <v>1129</v>
      </c>
      <c r="O73" s="2"/>
      <c r="P73" s="2"/>
      <c r="Q73" s="2"/>
      <c r="R73" s="2"/>
      <c r="S73" s="2"/>
      <c r="T73" s="2"/>
      <c r="U73" s="2"/>
      <c r="V73" s="2"/>
      <c r="W73" s="2"/>
      <c r="X73" s="2"/>
      <c r="Y73" s="2"/>
      <c r="Z73" s="2"/>
    </row>
    <row r="74" spans="1:26" ht="19.5" customHeight="1">
      <c r="A74" s="4" t="s">
        <v>253</v>
      </c>
      <c r="B74" s="4" t="s">
        <v>254</v>
      </c>
      <c r="C74" s="6">
        <v>42</v>
      </c>
      <c r="D74" s="4" t="s">
        <v>226</v>
      </c>
      <c r="E74" s="13">
        <f>'Standardized Values'!E74/E$2</f>
        <v>0.09</v>
      </c>
      <c r="F74" s="13">
        <f>'Standardized Values'!F74/F$2</f>
        <v>0</v>
      </c>
      <c r="G74" s="13">
        <f>'Standardized Values'!G74/G$2</f>
        <v>0.23529411764705882</v>
      </c>
      <c r="H74" s="13">
        <f>'Standardized Values'!H74/H$2</f>
        <v>0.21487603305785125</v>
      </c>
      <c r="I74" s="13">
        <f>'Standardized Values'!I74/I$2</f>
        <v>0</v>
      </c>
      <c r="J74" s="13">
        <f>'Standardized Values'!J74/J$2</f>
        <v>0.14347826086956522</v>
      </c>
      <c r="K74" s="13">
        <f>'Standardized Values'!K74/K$2</f>
        <v>0</v>
      </c>
      <c r="L74" s="13">
        <f>'Standardized Values'!L74/L$2</f>
        <v>0.15</v>
      </c>
      <c r="M74" s="4" t="s">
        <v>255</v>
      </c>
      <c r="N74" s="2" t="s">
        <v>1127</v>
      </c>
      <c r="O74" s="2"/>
      <c r="P74" s="2"/>
      <c r="Q74" s="2"/>
      <c r="R74" s="2"/>
      <c r="S74" s="2"/>
      <c r="T74" s="2"/>
      <c r="U74" s="2"/>
      <c r="V74" s="2"/>
      <c r="W74" s="2"/>
      <c r="X74" s="2"/>
      <c r="Y74" s="2"/>
      <c r="Z74" s="2"/>
    </row>
    <row r="75" spans="1:26" ht="19.5" customHeight="1">
      <c r="A75" s="4" t="s">
        <v>256</v>
      </c>
      <c r="B75" s="4" t="s">
        <v>257</v>
      </c>
      <c r="C75" s="6">
        <v>40</v>
      </c>
      <c r="D75" s="4" t="s">
        <v>226</v>
      </c>
      <c r="E75" s="13">
        <f>'Standardized Values'!E75/E$2</f>
        <v>9.5000000000000001E-2</v>
      </c>
      <c r="F75" s="13">
        <f>'Standardized Values'!F75/F$2</f>
        <v>4.7272727272727272E-2</v>
      </c>
      <c r="G75" s="13">
        <f>'Standardized Values'!G75/G$2</f>
        <v>0.21568627450980393</v>
      </c>
      <c r="H75" s="13">
        <f>'Standardized Values'!H75/H$2</f>
        <v>0.23140495867768596</v>
      </c>
      <c r="I75" s="13">
        <f>'Standardized Values'!I75/I$2</f>
        <v>9.8360655737704916E-2</v>
      </c>
      <c r="J75" s="13">
        <f>'Standardized Values'!J75/J$2</f>
        <v>2.391304347826087E-2</v>
      </c>
      <c r="K75" s="13">
        <f>'Standardized Values'!K75/K$2</f>
        <v>0.21818181818181817</v>
      </c>
      <c r="L75" s="13">
        <f>'Standardized Values'!L75/L$2</f>
        <v>3.3333333333333333E-2</v>
      </c>
      <c r="M75" s="4" t="s">
        <v>258</v>
      </c>
      <c r="N75" s="2" t="s">
        <v>1126</v>
      </c>
      <c r="O75" s="2"/>
      <c r="P75" s="2"/>
      <c r="Q75" s="2"/>
      <c r="R75" s="2"/>
      <c r="S75" s="2"/>
      <c r="T75" s="2"/>
      <c r="U75" s="2"/>
      <c r="V75" s="2"/>
      <c r="W75" s="2"/>
      <c r="X75" s="2"/>
      <c r="Y75" s="2"/>
      <c r="Z75" s="2"/>
    </row>
    <row r="76" spans="1:26" ht="19.5" customHeight="1">
      <c r="A76" s="4" t="s">
        <v>259</v>
      </c>
      <c r="B76" s="4" t="s">
        <v>260</v>
      </c>
      <c r="C76" s="6">
        <v>40</v>
      </c>
      <c r="D76" s="4" t="s">
        <v>226</v>
      </c>
      <c r="E76" s="13">
        <f>'Standardized Values'!E76/E$2</f>
        <v>0.09</v>
      </c>
      <c r="F76" s="13">
        <f>'Standardized Values'!F76/F$2</f>
        <v>5.4545454545454543E-2</v>
      </c>
      <c r="G76" s="13">
        <f>'Standardized Values'!G76/G$2</f>
        <v>0.21568627450980393</v>
      </c>
      <c r="H76" s="13">
        <f>'Standardized Values'!H76/H$2</f>
        <v>0.23140495867768596</v>
      </c>
      <c r="I76" s="13">
        <f>'Standardized Values'!I76/I$2</f>
        <v>3.2786885245901641E-2</v>
      </c>
      <c r="J76" s="13">
        <f>'Standardized Values'!J76/J$2</f>
        <v>6.5217391304347823E-3</v>
      </c>
      <c r="K76" s="13">
        <f>'Standardized Values'!K76/K$2</f>
        <v>0.25454545454545452</v>
      </c>
      <c r="L76" s="13">
        <f>'Standardized Values'!L76/L$2</f>
        <v>3.3333333333333333E-2</v>
      </c>
      <c r="M76" s="4" t="s">
        <v>261</v>
      </c>
      <c r="N76" s="2" t="s">
        <v>1126</v>
      </c>
      <c r="O76" s="2"/>
      <c r="P76" s="2"/>
      <c r="Q76" s="2"/>
      <c r="R76" s="2"/>
      <c r="S76" s="2"/>
      <c r="T76" s="2"/>
      <c r="U76" s="2"/>
      <c r="V76" s="2"/>
      <c r="W76" s="2"/>
      <c r="X76" s="2"/>
      <c r="Y76" s="2"/>
      <c r="Z76" s="2"/>
    </row>
    <row r="77" spans="1:26" ht="19.5" customHeight="1">
      <c r="A77" s="4" t="s">
        <v>262</v>
      </c>
      <c r="B77" s="4" t="s">
        <v>263</v>
      </c>
      <c r="C77" s="6">
        <v>40</v>
      </c>
      <c r="D77" s="4" t="s">
        <v>226</v>
      </c>
      <c r="E77" s="13">
        <f>'Standardized Values'!E77/E$2</f>
        <v>0.125</v>
      </c>
      <c r="F77" s="13">
        <f>'Standardized Values'!F77/F$2</f>
        <v>5.4545454545454543E-2</v>
      </c>
      <c r="G77" s="13">
        <f>'Standardized Values'!G77/G$2</f>
        <v>9.8039215686274508E-2</v>
      </c>
      <c r="H77" s="13">
        <f>'Standardized Values'!H77/H$2</f>
        <v>0.33057851239669422</v>
      </c>
      <c r="I77" s="13">
        <f>'Standardized Values'!I77/I$2</f>
        <v>0.16393442622950818</v>
      </c>
      <c r="J77" s="13">
        <f>'Standardized Values'!J77/J$2</f>
        <v>0</v>
      </c>
      <c r="K77" s="13">
        <f>'Standardized Values'!K77/K$2</f>
        <v>0.21818181818181817</v>
      </c>
      <c r="L77" s="13">
        <f>'Standardized Values'!L77/L$2</f>
        <v>0</v>
      </c>
      <c r="M77" s="4" t="s">
        <v>264</v>
      </c>
      <c r="N77" s="2" t="s">
        <v>1126</v>
      </c>
      <c r="O77" s="2"/>
      <c r="P77" s="2"/>
      <c r="Q77" s="2"/>
      <c r="R77" s="2"/>
      <c r="S77" s="2"/>
      <c r="T77" s="2"/>
      <c r="U77" s="2"/>
      <c r="V77" s="2"/>
      <c r="W77" s="2"/>
      <c r="X77" s="2"/>
      <c r="Y77" s="2"/>
      <c r="Z77" s="2"/>
    </row>
    <row r="78" spans="1:26" ht="19.5" customHeight="1">
      <c r="A78" s="4" t="s">
        <v>265</v>
      </c>
      <c r="B78" s="4" t="s">
        <v>266</v>
      </c>
      <c r="C78" s="6">
        <v>40</v>
      </c>
      <c r="D78" s="4" t="s">
        <v>267</v>
      </c>
      <c r="E78" s="13">
        <f>'Standardized Values'!E78/E$2</f>
        <v>5.5E-2</v>
      </c>
      <c r="F78" s="13">
        <f>'Standardized Values'!F78/F$2</f>
        <v>8.3636363636363634E-2</v>
      </c>
      <c r="G78" s="13">
        <f>'Standardized Values'!G78/G$2</f>
        <v>1.9607843137254902E-2</v>
      </c>
      <c r="H78" s="13">
        <f>'Standardized Values'!H78/H$2</f>
        <v>2.4793388429752067E-2</v>
      </c>
      <c r="I78" s="13">
        <f>'Standardized Values'!I78/I$2</f>
        <v>3.2786885245901641E-2</v>
      </c>
      <c r="J78" s="13">
        <f>'Standardized Values'!J78/J$2</f>
        <v>0.14347826086956522</v>
      </c>
      <c r="K78" s="13">
        <f>'Standardized Values'!K78/K$2</f>
        <v>0.10909090909090909</v>
      </c>
      <c r="L78" s="13">
        <f>'Standardized Values'!L78/L$2</f>
        <v>0</v>
      </c>
      <c r="M78" s="4" t="s">
        <v>268</v>
      </c>
      <c r="N78" s="2" t="s">
        <v>1126</v>
      </c>
      <c r="O78" s="2"/>
      <c r="P78" s="2"/>
      <c r="Q78" s="2"/>
      <c r="R78" s="2"/>
      <c r="S78" s="2"/>
      <c r="T78" s="2"/>
      <c r="U78" s="2"/>
      <c r="V78" s="2"/>
      <c r="W78" s="2"/>
      <c r="X78" s="2"/>
      <c r="Y78" s="2"/>
      <c r="Z78" s="2"/>
    </row>
    <row r="79" spans="1:26" ht="19.5" customHeight="1">
      <c r="A79" s="4" t="s">
        <v>269</v>
      </c>
      <c r="B79" s="4" t="s">
        <v>270</v>
      </c>
      <c r="C79" s="6">
        <v>32</v>
      </c>
      <c r="D79" s="4" t="s">
        <v>226</v>
      </c>
      <c r="E79" s="13">
        <f>'Standardized Values'!E79/E$2</f>
        <v>0.105</v>
      </c>
      <c r="F79" s="13">
        <f>'Standardized Values'!F79/F$2</f>
        <v>2.9090909090909091E-2</v>
      </c>
      <c r="G79" s="13">
        <f>'Standardized Values'!G79/G$2</f>
        <v>9.8039215686274508E-2</v>
      </c>
      <c r="H79" s="13">
        <f>'Standardized Values'!H79/H$2</f>
        <v>0.28099173553719009</v>
      </c>
      <c r="I79" s="13">
        <f>'Standardized Values'!I79/I$2</f>
        <v>0.16393442622950818</v>
      </c>
      <c r="J79" s="13">
        <f>'Standardized Values'!J79/J$2</f>
        <v>3.9130434782608699E-2</v>
      </c>
      <c r="K79" s="13">
        <f>'Standardized Values'!K79/K$2</f>
        <v>7.2727272727272724E-2</v>
      </c>
      <c r="L79" s="13">
        <f>'Standardized Values'!L79/L$2</f>
        <v>0</v>
      </c>
      <c r="M79" s="4" t="s">
        <v>271</v>
      </c>
      <c r="N79" s="2" t="s">
        <v>1127</v>
      </c>
      <c r="O79" s="2"/>
      <c r="P79" s="2"/>
      <c r="Q79" s="2"/>
      <c r="R79" s="2"/>
      <c r="S79" s="2"/>
      <c r="T79" s="2"/>
      <c r="U79" s="2"/>
      <c r="V79" s="2"/>
      <c r="W79" s="2"/>
      <c r="X79" s="2"/>
      <c r="Y79" s="2"/>
      <c r="Z79" s="2"/>
    </row>
    <row r="80" spans="1:26" ht="19.5" customHeight="1">
      <c r="A80" s="4" t="s">
        <v>272</v>
      </c>
      <c r="B80" s="4" t="s">
        <v>273</v>
      </c>
      <c r="C80" s="6">
        <v>28</v>
      </c>
      <c r="D80" s="4" t="s">
        <v>226</v>
      </c>
      <c r="E80" s="13">
        <f>'Standardized Values'!E80/E$2</f>
        <v>0.11</v>
      </c>
      <c r="F80" s="13">
        <f>'Standardized Values'!F80/F$2</f>
        <v>3.6363636363636364E-3</v>
      </c>
      <c r="G80" s="13">
        <f>'Standardized Values'!G80/G$2</f>
        <v>3.9215686274509803E-2</v>
      </c>
      <c r="H80" s="13">
        <f>'Standardized Values'!H80/H$2</f>
        <v>0.38016528925619836</v>
      </c>
      <c r="I80" s="13">
        <f>'Standardized Values'!I80/I$2</f>
        <v>0</v>
      </c>
      <c r="J80" s="13">
        <f>'Standardized Values'!J80/J$2</f>
        <v>4.1304347826086954E-2</v>
      </c>
      <c r="K80" s="13">
        <f>'Standardized Values'!K80/K$2</f>
        <v>0</v>
      </c>
      <c r="L80" s="13">
        <f>'Standardized Values'!L80/L$2</f>
        <v>0</v>
      </c>
      <c r="M80" s="4" t="s">
        <v>274</v>
      </c>
      <c r="N80" s="2" t="s">
        <v>1126</v>
      </c>
      <c r="O80" s="2"/>
      <c r="P80" s="2"/>
      <c r="Q80" s="2"/>
      <c r="R80" s="2"/>
      <c r="S80" s="2"/>
      <c r="T80" s="2"/>
      <c r="U80" s="2"/>
      <c r="V80" s="2"/>
      <c r="W80" s="2"/>
      <c r="X80" s="2"/>
      <c r="Y80" s="2"/>
      <c r="Z80" s="2"/>
    </row>
    <row r="81" spans="1:26" ht="19.5" customHeight="1">
      <c r="A81" s="4" t="s">
        <v>275</v>
      </c>
      <c r="B81" s="4" t="s">
        <v>276</v>
      </c>
      <c r="C81" s="6">
        <v>28</v>
      </c>
      <c r="D81" s="4" t="s">
        <v>226</v>
      </c>
      <c r="E81" s="13">
        <f>'Standardized Values'!E81/E$2</f>
        <v>6.9000000000000006E-2</v>
      </c>
      <c r="F81" s="13">
        <f>'Standardized Values'!F81/F$2</f>
        <v>5.4545454545454543E-2</v>
      </c>
      <c r="G81" s="13">
        <f>'Standardized Values'!G81/G$2</f>
        <v>7.8431372549019607E-2</v>
      </c>
      <c r="H81" s="13">
        <f>'Standardized Values'!H81/H$2</f>
        <v>0.11570247933884298</v>
      </c>
      <c r="I81" s="13">
        <f>'Standardized Values'!I81/I$2</f>
        <v>0</v>
      </c>
      <c r="J81" s="13">
        <f>'Standardized Values'!J81/J$2</f>
        <v>8.4347826086956526E-2</v>
      </c>
      <c r="K81" s="13">
        <f>'Standardized Values'!K81/K$2</f>
        <v>0.14545454545454545</v>
      </c>
      <c r="L81" s="13">
        <f>'Standardized Values'!L81/L$2</f>
        <v>0</v>
      </c>
      <c r="M81" s="4" t="s">
        <v>277</v>
      </c>
      <c r="N81" s="2" t="s">
        <v>1126</v>
      </c>
      <c r="O81" s="2"/>
      <c r="P81" s="2"/>
      <c r="Q81" s="2"/>
      <c r="R81" s="2"/>
      <c r="S81" s="2"/>
      <c r="T81" s="2"/>
      <c r="U81" s="2"/>
      <c r="V81" s="2"/>
      <c r="W81" s="2"/>
      <c r="X81" s="2"/>
      <c r="Y81" s="2"/>
      <c r="Z81" s="2"/>
    </row>
    <row r="82" spans="1:26" ht="19.5" customHeight="1">
      <c r="A82" s="4" t="s">
        <v>278</v>
      </c>
      <c r="B82" s="4" t="s">
        <v>279</v>
      </c>
      <c r="C82" s="6">
        <v>28</v>
      </c>
      <c r="D82" s="4" t="s">
        <v>226</v>
      </c>
      <c r="E82" s="13">
        <f>'Standardized Values'!E82/E$2</f>
        <v>0.04</v>
      </c>
      <c r="F82" s="13">
        <f>'Standardized Values'!F82/F$2</f>
        <v>0</v>
      </c>
      <c r="G82" s="13">
        <f>'Standardized Values'!G82/G$2</f>
        <v>0.15686274509803921</v>
      </c>
      <c r="H82" s="13">
        <f>'Standardized Values'!H82/H$2</f>
        <v>9.9173553719008267E-2</v>
      </c>
      <c r="I82" s="13">
        <f>'Standardized Values'!I82/I$2</f>
        <v>0</v>
      </c>
      <c r="J82" s="13">
        <f>'Standardized Values'!J82/J$2</f>
        <v>0.16521739130434782</v>
      </c>
      <c r="K82" s="13">
        <f>'Standardized Values'!K82/K$2</f>
        <v>0</v>
      </c>
      <c r="L82" s="13">
        <f>'Standardized Values'!L82/L$2</f>
        <v>8.3333333333333329E-2</v>
      </c>
      <c r="M82" s="4" t="s">
        <v>280</v>
      </c>
      <c r="N82" s="2" t="s">
        <v>1127</v>
      </c>
      <c r="O82" s="2"/>
      <c r="P82" s="2"/>
      <c r="Q82" s="2"/>
      <c r="R82" s="2"/>
      <c r="S82" s="2"/>
      <c r="T82" s="2"/>
      <c r="U82" s="2"/>
      <c r="V82" s="2"/>
      <c r="W82" s="2"/>
      <c r="X82" s="2"/>
      <c r="Y82" s="2"/>
      <c r="Z82" s="2"/>
    </row>
    <row r="83" spans="1:26" ht="19.5" customHeight="1">
      <c r="A83" s="4" t="s">
        <v>281</v>
      </c>
      <c r="B83" s="4" t="s">
        <v>282</v>
      </c>
      <c r="C83" s="6">
        <v>25</v>
      </c>
      <c r="D83" s="4" t="s">
        <v>236</v>
      </c>
      <c r="E83" s="13">
        <f>'Standardized Values'!E83/E$2</f>
        <v>6.5000000000000002E-2</v>
      </c>
      <c r="F83" s="13">
        <f>'Standardized Values'!F83/F$2</f>
        <v>6.545454545454546E-2</v>
      </c>
      <c r="G83" s="13">
        <f>'Standardized Values'!G83/G$2</f>
        <v>0</v>
      </c>
      <c r="H83" s="13">
        <f>'Standardized Values'!H83/H$2</f>
        <v>9.9173553719008267E-2</v>
      </c>
      <c r="I83" s="13">
        <f>'Standardized Values'!I83/I$2</f>
        <v>0</v>
      </c>
      <c r="J83" s="13">
        <f>'Standardized Values'!J83/J$2</f>
        <v>8.2608695652173908E-2</v>
      </c>
      <c r="K83" s="13">
        <f>'Standardized Values'!K83/K$2</f>
        <v>3.6363636363636362E-2</v>
      </c>
      <c r="L83" s="13">
        <f>'Standardized Values'!L83/L$2</f>
        <v>0</v>
      </c>
      <c r="M83" s="4" t="s">
        <v>283</v>
      </c>
      <c r="N83" s="2" t="s">
        <v>1126</v>
      </c>
      <c r="O83" s="2"/>
      <c r="P83" s="2"/>
      <c r="Q83" s="2"/>
      <c r="R83" s="2"/>
      <c r="S83" s="2"/>
      <c r="T83" s="2"/>
      <c r="U83" s="2"/>
      <c r="V83" s="2"/>
      <c r="W83" s="2"/>
      <c r="X83" s="2"/>
      <c r="Y83" s="2"/>
      <c r="Z83" s="2"/>
    </row>
    <row r="84" spans="1:26" ht="19.5" customHeight="1">
      <c r="A84" s="4" t="s">
        <v>284</v>
      </c>
      <c r="B84" s="4" t="s">
        <v>285</v>
      </c>
      <c r="C84" s="6">
        <v>25</v>
      </c>
      <c r="D84" s="4" t="s">
        <v>286</v>
      </c>
      <c r="E84" s="13">
        <f>'Standardized Values'!E84/E$2</f>
        <v>0.03</v>
      </c>
      <c r="F84" s="13">
        <f>'Standardized Values'!F84/F$2</f>
        <v>1.8181818181818181E-2</v>
      </c>
      <c r="G84" s="13">
        <f>'Standardized Values'!G84/G$2</f>
        <v>0.13725490196078433</v>
      </c>
      <c r="H84" s="13">
        <f>'Standardized Values'!H84/H$2</f>
        <v>1.6528925619834711E-2</v>
      </c>
      <c r="I84" s="13">
        <f>'Standardized Values'!I84/I$2</f>
        <v>0</v>
      </c>
      <c r="J84" s="13">
        <f>'Standardized Values'!J84/J$2</f>
        <v>0.17521739130434782</v>
      </c>
      <c r="K84" s="13">
        <f>'Standardized Values'!K84/K$2</f>
        <v>0.18181818181818182</v>
      </c>
      <c r="L84" s="13">
        <f>'Standardized Values'!L84/L$2</f>
        <v>0</v>
      </c>
      <c r="M84" s="4" t="s">
        <v>287</v>
      </c>
      <c r="N84" s="2" t="s">
        <v>1126</v>
      </c>
      <c r="O84" s="2"/>
      <c r="P84" s="2"/>
      <c r="Q84" s="2"/>
      <c r="R84" s="2"/>
      <c r="S84" s="2"/>
      <c r="T84" s="2"/>
      <c r="U84" s="2"/>
      <c r="V84" s="2"/>
      <c r="W84" s="2"/>
      <c r="X84" s="2"/>
      <c r="Y84" s="2"/>
      <c r="Z84" s="2"/>
    </row>
    <row r="85" spans="1:26" ht="19.5" customHeight="1">
      <c r="A85" s="4" t="s">
        <v>288</v>
      </c>
      <c r="B85" s="4" t="s">
        <v>289</v>
      </c>
      <c r="C85" s="6">
        <v>25</v>
      </c>
      <c r="D85" s="4" t="s">
        <v>286</v>
      </c>
      <c r="E85" s="13">
        <f>'Standardized Values'!E85/E$2</f>
        <v>0.03</v>
      </c>
      <c r="F85" s="13">
        <f>'Standardized Values'!F85/F$2</f>
        <v>1.8181818181818181E-2</v>
      </c>
      <c r="G85" s="13">
        <f>'Standardized Values'!G85/G$2</f>
        <v>0.13725490196078433</v>
      </c>
      <c r="H85" s="13">
        <f>'Standardized Values'!H85/H$2</f>
        <v>1.6528925619834711E-2</v>
      </c>
      <c r="I85" s="13">
        <f>'Standardized Values'!I85/I$2</f>
        <v>0</v>
      </c>
      <c r="J85" s="13">
        <f>'Standardized Values'!J85/J$2</f>
        <v>0.17521739130434782</v>
      </c>
      <c r="K85" s="13">
        <f>'Standardized Values'!K85/K$2</f>
        <v>0.18181818181818182</v>
      </c>
      <c r="L85" s="13">
        <f>'Standardized Values'!L85/L$2</f>
        <v>0</v>
      </c>
      <c r="M85" s="4" t="s">
        <v>290</v>
      </c>
      <c r="N85" s="2" t="s">
        <v>1126</v>
      </c>
      <c r="O85" s="2"/>
      <c r="P85" s="2"/>
      <c r="Q85" s="2"/>
      <c r="R85" s="2"/>
      <c r="S85" s="2"/>
      <c r="T85" s="2"/>
      <c r="U85" s="2"/>
      <c r="V85" s="2"/>
      <c r="W85" s="2"/>
      <c r="X85" s="2"/>
      <c r="Y85" s="2"/>
      <c r="Z85" s="2"/>
    </row>
    <row r="86" spans="1:26" ht="19.5" customHeight="1">
      <c r="A86" s="4" t="s">
        <v>291</v>
      </c>
      <c r="B86" s="4" t="s">
        <v>292</v>
      </c>
      <c r="C86" s="6">
        <v>25</v>
      </c>
      <c r="D86" s="4" t="s">
        <v>286</v>
      </c>
      <c r="E86" s="13">
        <f>'Standardized Values'!E86/E$2</f>
        <v>0.03</v>
      </c>
      <c r="F86" s="13">
        <f>'Standardized Values'!F86/F$2</f>
        <v>2.5454545454545455E-2</v>
      </c>
      <c r="G86" s="13">
        <f>'Standardized Values'!G86/G$2</f>
        <v>0.13725490196078433</v>
      </c>
      <c r="H86" s="13">
        <f>'Standardized Values'!H86/H$2</f>
        <v>1.6528925619834711E-2</v>
      </c>
      <c r="I86" s="13">
        <f>'Standardized Values'!I86/I$2</f>
        <v>0</v>
      </c>
      <c r="J86" s="13">
        <f>'Standardized Values'!J86/J$2</f>
        <v>0.13956521739130434</v>
      </c>
      <c r="K86" s="13">
        <f>'Standardized Values'!K86/K$2</f>
        <v>0.25454545454545452</v>
      </c>
      <c r="L86" s="13">
        <f>'Standardized Values'!L86/L$2</f>
        <v>0</v>
      </c>
      <c r="M86" s="4" t="s">
        <v>287</v>
      </c>
      <c r="N86" s="2" t="s">
        <v>1126</v>
      </c>
      <c r="O86" s="2"/>
      <c r="P86" s="2"/>
      <c r="Q86" s="2"/>
      <c r="R86" s="2"/>
      <c r="S86" s="2"/>
      <c r="T86" s="2"/>
      <c r="U86" s="2"/>
      <c r="V86" s="2"/>
      <c r="W86" s="2"/>
      <c r="X86" s="2"/>
      <c r="Y86" s="2"/>
      <c r="Z86" s="2"/>
    </row>
    <row r="87" spans="1:26" ht="19.5" customHeight="1">
      <c r="A87" s="4" t="s">
        <v>294</v>
      </c>
      <c r="B87" s="4" t="s">
        <v>295</v>
      </c>
      <c r="C87" s="7" t="s">
        <v>296</v>
      </c>
      <c r="D87" s="4" t="s">
        <v>286</v>
      </c>
      <c r="E87" s="13">
        <f>'Standardized Values'!E87/E$2</f>
        <v>0.03</v>
      </c>
      <c r="F87" s="13">
        <f>'Standardized Values'!F87/F$2</f>
        <v>2.5454545454545455E-2</v>
      </c>
      <c r="G87" s="13">
        <f>'Standardized Values'!G87/G$2</f>
        <v>0.13725490196078433</v>
      </c>
      <c r="H87" s="13">
        <f>'Standardized Values'!H87/H$2</f>
        <v>1.6528925619834711E-2</v>
      </c>
      <c r="I87" s="13">
        <f>'Standardized Values'!I87/I$2</f>
        <v>0</v>
      </c>
      <c r="J87" s="13">
        <f>'Standardized Values'!J87/J$2</f>
        <v>0.13956521739130434</v>
      </c>
      <c r="K87" s="13">
        <f>'Standardized Values'!K87/K$2</f>
        <v>0.25454545454545452</v>
      </c>
      <c r="L87" s="13">
        <f>'Standardized Values'!L87/L$2</f>
        <v>0</v>
      </c>
      <c r="M87" s="4" t="s">
        <v>287</v>
      </c>
      <c r="N87" s="2" t="s">
        <v>1126</v>
      </c>
      <c r="O87" s="2"/>
      <c r="P87" s="2"/>
      <c r="Q87" s="2"/>
      <c r="R87" s="2"/>
      <c r="S87" s="2"/>
      <c r="T87" s="2"/>
      <c r="U87" s="2"/>
      <c r="V87" s="2"/>
      <c r="W87" s="2"/>
      <c r="X87" s="2"/>
      <c r="Y87" s="2"/>
      <c r="Z87" s="2"/>
    </row>
    <row r="88" spans="1:26" ht="19.5" customHeight="1">
      <c r="A88" s="4" t="s">
        <v>297</v>
      </c>
      <c r="B88" s="4" t="s">
        <v>298</v>
      </c>
      <c r="C88" s="6">
        <v>23</v>
      </c>
      <c r="D88" s="4" t="s">
        <v>299</v>
      </c>
      <c r="E88" s="13">
        <f>'Standardized Values'!E88/E$2</f>
        <v>7.4999999999999997E-2</v>
      </c>
      <c r="F88" s="13">
        <f>'Standardized Values'!F88/F$2</f>
        <v>3.6363636363636364E-3</v>
      </c>
      <c r="G88" s="13">
        <f>'Standardized Values'!G88/G$2</f>
        <v>0.23529411764705882</v>
      </c>
      <c r="H88" s="13">
        <f>'Standardized Values'!H88/H$2</f>
        <v>0.18181818181818182</v>
      </c>
      <c r="I88" s="13">
        <f>'Standardized Values'!I88/I$2</f>
        <v>0</v>
      </c>
      <c r="J88" s="13">
        <f>'Standardized Values'!J88/J$2</f>
        <v>0.14782608695652175</v>
      </c>
      <c r="K88" s="13">
        <f>'Standardized Values'!K88/K$2</f>
        <v>0</v>
      </c>
      <c r="L88" s="13">
        <f>'Standardized Values'!L88/L$2</f>
        <v>0.11666666666666667</v>
      </c>
      <c r="M88" s="4" t="s">
        <v>300</v>
      </c>
      <c r="N88" s="2" t="s">
        <v>1126</v>
      </c>
      <c r="O88" s="2"/>
      <c r="P88" s="2"/>
      <c r="Q88" s="2"/>
      <c r="R88" s="2"/>
      <c r="S88" s="2"/>
      <c r="T88" s="2"/>
      <c r="U88" s="2"/>
      <c r="V88" s="2"/>
      <c r="W88" s="2"/>
      <c r="X88" s="2"/>
      <c r="Y88" s="2"/>
      <c r="Z88" s="2"/>
    </row>
    <row r="89" spans="1:26" ht="19.5" customHeight="1">
      <c r="A89" s="4" t="s">
        <v>301</v>
      </c>
      <c r="B89" s="4" t="s">
        <v>302</v>
      </c>
      <c r="C89" s="6">
        <v>21</v>
      </c>
      <c r="D89" s="4" t="s">
        <v>236</v>
      </c>
      <c r="E89" s="13">
        <f>'Standardized Values'!E89/E$2</f>
        <v>4.4999999999999998E-2</v>
      </c>
      <c r="F89" s="13">
        <f>'Standardized Values'!F89/F$2</f>
        <v>5.4545454545454543E-2</v>
      </c>
      <c r="G89" s="13">
        <f>'Standardized Values'!G89/G$2</f>
        <v>1.9607843137254902E-2</v>
      </c>
      <c r="H89" s="13">
        <f>'Standardized Values'!H89/H$2</f>
        <v>5.7851239669421489E-2</v>
      </c>
      <c r="I89" s="13">
        <f>'Standardized Values'!I89/I$2</f>
        <v>0.19672131147540983</v>
      </c>
      <c r="J89" s="13">
        <f>'Standardized Values'!J89/J$2</f>
        <v>3.6956521739130437E-2</v>
      </c>
      <c r="K89" s="13">
        <f>'Standardized Values'!K89/K$2</f>
        <v>0</v>
      </c>
      <c r="L89" s="13">
        <f>'Standardized Values'!L89/L$2</f>
        <v>0</v>
      </c>
      <c r="M89" s="4" t="s">
        <v>303</v>
      </c>
      <c r="N89" s="2" t="s">
        <v>1126</v>
      </c>
      <c r="O89" s="2"/>
      <c r="P89" s="2"/>
      <c r="Q89" s="2"/>
      <c r="R89" s="2"/>
      <c r="S89" s="2"/>
      <c r="T89" s="2"/>
      <c r="U89" s="2"/>
      <c r="V89" s="2"/>
      <c r="W89" s="2"/>
      <c r="X89" s="2"/>
      <c r="Y89" s="2"/>
      <c r="Z89" s="2"/>
    </row>
    <row r="90" spans="1:26" ht="19.5" customHeight="1">
      <c r="A90" s="4" t="s">
        <v>304</v>
      </c>
      <c r="B90" s="4" t="s">
        <v>305</v>
      </c>
      <c r="C90" s="6">
        <v>16</v>
      </c>
      <c r="D90" s="4" t="s">
        <v>306</v>
      </c>
      <c r="E90" s="13">
        <f>'Standardized Values'!E90/E$2</f>
        <v>1.6E-2</v>
      </c>
      <c r="F90" s="13">
        <f>'Standardized Values'!F90/F$2</f>
        <v>2.9090909090909091E-2</v>
      </c>
      <c r="G90" s="13">
        <f>'Standardized Values'!G90/G$2</f>
        <v>0</v>
      </c>
      <c r="H90" s="13">
        <f>'Standardized Values'!H90/H$2</f>
        <v>0</v>
      </c>
      <c r="I90" s="13">
        <f>'Standardized Values'!I90/I$2</f>
        <v>0.26229508196721313</v>
      </c>
      <c r="J90" s="13">
        <f>'Standardized Values'!J90/J$2</f>
        <v>0</v>
      </c>
      <c r="K90" s="13">
        <f>'Standardized Values'!K90/K$2</f>
        <v>0</v>
      </c>
      <c r="L90" s="13">
        <f>'Standardized Values'!L90/L$2</f>
        <v>0</v>
      </c>
      <c r="M90" s="4" t="s">
        <v>307</v>
      </c>
      <c r="N90" s="2" t="s">
        <v>1129</v>
      </c>
      <c r="O90" s="2"/>
      <c r="P90" s="2"/>
      <c r="Q90" s="2"/>
      <c r="R90" s="2"/>
      <c r="S90" s="2"/>
      <c r="T90" s="2"/>
      <c r="U90" s="2"/>
      <c r="V90" s="2"/>
      <c r="W90" s="2"/>
      <c r="X90" s="2"/>
      <c r="Y90" s="2"/>
      <c r="Z90" s="2"/>
    </row>
    <row r="91" spans="1:26" ht="19.5" customHeight="1">
      <c r="A91" s="4" t="s">
        <v>308</v>
      </c>
      <c r="B91" s="4" t="s">
        <v>309</v>
      </c>
      <c r="C91" s="6">
        <v>16</v>
      </c>
      <c r="D91" s="4" t="s">
        <v>306</v>
      </c>
      <c r="E91" s="13">
        <f>'Standardized Values'!E91/E$2</f>
        <v>1.7999999999999999E-2</v>
      </c>
      <c r="F91" s="13">
        <f>'Standardized Values'!F91/F$2</f>
        <v>3.272727272727273E-2</v>
      </c>
      <c r="G91" s="13">
        <f>'Standardized Values'!G91/G$2</f>
        <v>0</v>
      </c>
      <c r="H91" s="13">
        <f>'Standardized Values'!H91/H$2</f>
        <v>0</v>
      </c>
      <c r="I91" s="13">
        <f>'Standardized Values'!I91/I$2</f>
        <v>0.29508196721311475</v>
      </c>
      <c r="J91" s="13">
        <f>'Standardized Values'!J91/J$2</f>
        <v>0</v>
      </c>
      <c r="K91" s="13">
        <f>'Standardized Values'!K91/K$2</f>
        <v>0</v>
      </c>
      <c r="L91" s="13">
        <f>'Standardized Values'!L91/L$2</f>
        <v>0</v>
      </c>
      <c r="M91" s="4" t="s">
        <v>310</v>
      </c>
      <c r="N91" s="2" t="s">
        <v>1129</v>
      </c>
      <c r="O91" s="2"/>
      <c r="P91" s="2"/>
      <c r="Q91" s="2"/>
      <c r="R91" s="2"/>
      <c r="S91" s="2"/>
      <c r="T91" s="2"/>
      <c r="U91" s="2"/>
      <c r="V91" s="2"/>
      <c r="W91" s="2"/>
      <c r="X91" s="2"/>
      <c r="Y91" s="2"/>
      <c r="Z91" s="2"/>
    </row>
    <row r="92" spans="1:26" ht="19.5" customHeight="1">
      <c r="A92" s="4" t="s">
        <v>311</v>
      </c>
      <c r="B92" s="4" t="s">
        <v>312</v>
      </c>
      <c r="C92" s="6">
        <v>15</v>
      </c>
      <c r="D92" s="4" t="s">
        <v>222</v>
      </c>
      <c r="E92" s="13">
        <f>'Standardized Values'!E92/E$2</f>
        <v>5.0000000000000001E-3</v>
      </c>
      <c r="F92" s="13">
        <f>'Standardized Values'!F92/F$2</f>
        <v>0</v>
      </c>
      <c r="G92" s="13">
        <f>'Standardized Values'!G92/G$2</f>
        <v>3.9215686274509803E-2</v>
      </c>
      <c r="H92" s="13">
        <f>'Standardized Values'!H92/H$2</f>
        <v>0</v>
      </c>
      <c r="I92" s="13">
        <f>'Standardized Values'!I92/I$2</f>
        <v>0</v>
      </c>
      <c r="J92" s="13">
        <f>'Standardized Values'!J92/J$2</f>
        <v>0.63478260869565217</v>
      </c>
      <c r="K92" s="13">
        <f>'Standardized Values'!K92/K$2</f>
        <v>0</v>
      </c>
      <c r="L92" s="13">
        <f>'Standardized Values'!L92/L$2</f>
        <v>0</v>
      </c>
      <c r="M92" s="4" t="s">
        <v>313</v>
      </c>
      <c r="N92" s="2" t="s">
        <v>1127</v>
      </c>
      <c r="O92" s="2"/>
      <c r="P92" s="2"/>
      <c r="Q92" s="2"/>
      <c r="R92" s="2"/>
      <c r="S92" s="2"/>
      <c r="T92" s="2"/>
      <c r="U92" s="2"/>
      <c r="V92" s="2"/>
      <c r="W92" s="2"/>
      <c r="X92" s="2"/>
      <c r="Y92" s="2"/>
      <c r="Z92" s="2"/>
    </row>
    <row r="93" spans="1:26" ht="19.5" customHeight="1">
      <c r="A93" s="4" t="s">
        <v>314</v>
      </c>
      <c r="B93" s="4" t="s">
        <v>315</v>
      </c>
      <c r="C93" s="6">
        <v>14</v>
      </c>
      <c r="D93" s="4" t="s">
        <v>316</v>
      </c>
      <c r="E93" s="13">
        <f>'Standardized Values'!E93/E$2</f>
        <v>7.0000000000000007E-2</v>
      </c>
      <c r="F93" s="13">
        <f>'Standardized Values'!F93/F$2</f>
        <v>6.9090909090909092E-2</v>
      </c>
      <c r="G93" s="13">
        <f>'Standardized Values'!G93/G$2</f>
        <v>3.9215686274509803E-2</v>
      </c>
      <c r="H93" s="13">
        <f>'Standardized Values'!H93/H$2</f>
        <v>9.9173553719008267E-2</v>
      </c>
      <c r="I93" s="13">
        <f>'Standardized Values'!I93/I$2</f>
        <v>0</v>
      </c>
      <c r="J93" s="13">
        <f>'Standardized Values'!J93/J$2</f>
        <v>5.2173913043478258E-2</v>
      </c>
      <c r="K93" s="13">
        <f>'Standardized Values'!K93/K$2</f>
        <v>7.2727272727272724E-2</v>
      </c>
      <c r="L93" s="13">
        <f>'Standardized Values'!L93/L$2</f>
        <v>0</v>
      </c>
      <c r="M93" s="4" t="s">
        <v>317</v>
      </c>
      <c r="N93" s="2" t="s">
        <v>1126</v>
      </c>
      <c r="O93" s="2"/>
      <c r="P93" s="2"/>
      <c r="Q93" s="2"/>
      <c r="R93" s="2"/>
      <c r="S93" s="2"/>
      <c r="T93" s="2"/>
      <c r="U93" s="2"/>
      <c r="V93" s="2"/>
      <c r="W93" s="2"/>
      <c r="X93" s="2"/>
      <c r="Y93" s="2"/>
      <c r="Z93" s="2"/>
    </row>
    <row r="94" spans="1:26" ht="19.5" customHeight="1">
      <c r="A94" s="4" t="s">
        <v>318</v>
      </c>
      <c r="B94" s="4" t="s">
        <v>319</v>
      </c>
      <c r="C94" s="6">
        <v>13</v>
      </c>
      <c r="D94" s="4" t="s">
        <v>320</v>
      </c>
      <c r="E94" s="13">
        <f>'Standardized Values'!E94/E$2</f>
        <v>7.0000000000000007E-2</v>
      </c>
      <c r="F94" s="13">
        <f>'Standardized Values'!F94/F$2</f>
        <v>7.636363636363637E-2</v>
      </c>
      <c r="G94" s="13">
        <f>'Standardized Values'!G94/G$2</f>
        <v>5.8823529411764705E-2</v>
      </c>
      <c r="H94" s="13">
        <f>'Standardized Values'!H94/H$2</f>
        <v>8.2644628099173556E-2</v>
      </c>
      <c r="I94" s="13">
        <f>'Standardized Values'!I94/I$2</f>
        <v>0</v>
      </c>
      <c r="J94" s="13">
        <f>'Standardized Values'!J94/J$2</f>
        <v>0.1</v>
      </c>
      <c r="K94" s="13">
        <f>'Standardized Values'!K94/K$2</f>
        <v>0.10909090909090909</v>
      </c>
      <c r="L94" s="13">
        <f>'Standardized Values'!L94/L$2</f>
        <v>0</v>
      </c>
      <c r="M94" s="4" t="s">
        <v>321</v>
      </c>
      <c r="N94" s="2" t="s">
        <v>1126</v>
      </c>
      <c r="O94" s="2"/>
      <c r="P94" s="2"/>
      <c r="Q94" s="2"/>
      <c r="R94" s="2"/>
      <c r="S94" s="2"/>
      <c r="T94" s="2"/>
      <c r="U94" s="2"/>
      <c r="V94" s="2"/>
      <c r="W94" s="2"/>
      <c r="X94" s="2"/>
      <c r="Y94" s="2"/>
      <c r="Z94" s="2"/>
    </row>
    <row r="95" spans="1:26" ht="19.5" customHeight="1">
      <c r="A95" s="4" t="s">
        <v>322</v>
      </c>
      <c r="B95" s="4" t="s">
        <v>323</v>
      </c>
      <c r="C95" s="6">
        <v>12</v>
      </c>
      <c r="D95" s="4" t="s">
        <v>299</v>
      </c>
      <c r="E95" s="13">
        <f>'Standardized Values'!E95/E$2</f>
        <v>7.0000000000000007E-2</v>
      </c>
      <c r="F95" s="13">
        <f>'Standardized Values'!F95/F$2</f>
        <v>3.6363636363636362E-2</v>
      </c>
      <c r="G95" s="13">
        <f>'Standardized Values'!G95/G$2</f>
        <v>9.8039215686274508E-2</v>
      </c>
      <c r="H95" s="13">
        <f>'Standardized Values'!H95/H$2</f>
        <v>0.16528925619834711</v>
      </c>
      <c r="I95" s="13">
        <f>'Standardized Values'!I95/I$2</f>
        <v>3.2786885245901641E-2</v>
      </c>
      <c r="J95" s="13">
        <f>'Standardized Values'!J95/J$2</f>
        <v>0.20434782608695654</v>
      </c>
      <c r="K95" s="13">
        <f>'Standardized Values'!K95/K$2</f>
        <v>7.2727272727272724E-2</v>
      </c>
      <c r="L95" s="13">
        <f>'Standardized Values'!L95/L$2</f>
        <v>0</v>
      </c>
      <c r="M95" s="4" t="s">
        <v>324</v>
      </c>
      <c r="N95" s="2" t="s">
        <v>1126</v>
      </c>
      <c r="O95" s="2"/>
      <c r="P95" s="2"/>
      <c r="Q95" s="2"/>
      <c r="R95" s="2"/>
      <c r="S95" s="2"/>
      <c r="T95" s="2"/>
      <c r="U95" s="2"/>
      <c r="V95" s="2"/>
      <c r="W95" s="2"/>
      <c r="X95" s="2"/>
      <c r="Y95" s="2"/>
      <c r="Z95" s="2"/>
    </row>
    <row r="96" spans="1:26" ht="19.5" customHeight="1">
      <c r="A96" s="4" t="s">
        <v>325</v>
      </c>
      <c r="B96" s="4" t="s">
        <v>326</v>
      </c>
      <c r="C96" s="6">
        <v>12</v>
      </c>
      <c r="D96" s="4" t="s">
        <v>299</v>
      </c>
      <c r="E96" s="13">
        <f>'Standardized Values'!E96/E$2</f>
        <v>0.05</v>
      </c>
      <c r="F96" s="13">
        <f>'Standardized Values'!F96/F$2</f>
        <v>3.6363636363636364E-3</v>
      </c>
      <c r="G96" s="13">
        <f>'Standardized Values'!G96/G$2</f>
        <v>0.17647058823529413</v>
      </c>
      <c r="H96" s="13">
        <f>'Standardized Values'!H96/H$2</f>
        <v>0.11570247933884298</v>
      </c>
      <c r="I96" s="13">
        <f>'Standardized Values'!I96/I$2</f>
        <v>0</v>
      </c>
      <c r="J96" s="13">
        <f>'Standardized Values'!J96/J$2</f>
        <v>0.12173913043478261</v>
      </c>
      <c r="K96" s="13">
        <f>'Standardized Values'!K96/K$2</f>
        <v>0</v>
      </c>
      <c r="L96" s="13">
        <f>'Standardized Values'!L96/L$2</f>
        <v>6.6666666666666666E-2</v>
      </c>
      <c r="M96" s="4" t="s">
        <v>327</v>
      </c>
      <c r="N96" s="2" t="s">
        <v>1126</v>
      </c>
      <c r="O96" s="2"/>
      <c r="P96" s="2"/>
      <c r="Q96" s="2"/>
      <c r="R96" s="2"/>
      <c r="S96" s="2"/>
      <c r="T96" s="2"/>
      <c r="U96" s="2"/>
      <c r="V96" s="2"/>
      <c r="W96" s="2"/>
      <c r="X96" s="2"/>
      <c r="Y96" s="2"/>
      <c r="Z96" s="2"/>
    </row>
    <row r="97" spans="1:26" ht="19.5" customHeight="1">
      <c r="A97" s="4" t="s">
        <v>328</v>
      </c>
      <c r="B97" s="4" t="s">
        <v>329</v>
      </c>
      <c r="C97" s="6">
        <v>12</v>
      </c>
      <c r="D97" s="4" t="s">
        <v>316</v>
      </c>
      <c r="E97" s="13">
        <f>'Standardized Values'!E97/E$2</f>
        <v>0.06</v>
      </c>
      <c r="F97" s="13">
        <f>'Standardized Values'!F97/F$2</f>
        <v>1.090909090909091E-2</v>
      </c>
      <c r="G97" s="13">
        <f>'Standardized Values'!G97/G$2</f>
        <v>0</v>
      </c>
      <c r="H97" s="13">
        <f>'Standardized Values'!H97/H$2</f>
        <v>0.19834710743801653</v>
      </c>
      <c r="I97" s="13">
        <f>'Standardized Values'!I97/I$2</f>
        <v>3.2786885245901641E-2</v>
      </c>
      <c r="J97" s="13">
        <f>'Standardized Values'!J97/J$2</f>
        <v>3.9130434782608699E-2</v>
      </c>
      <c r="K97" s="13">
        <f>'Standardized Values'!K97/K$2</f>
        <v>3.6363636363636362E-2</v>
      </c>
      <c r="L97" s="13">
        <f>'Standardized Values'!L97/L$2</f>
        <v>0</v>
      </c>
      <c r="M97" s="4" t="s">
        <v>330</v>
      </c>
      <c r="N97" s="2" t="s">
        <v>1126</v>
      </c>
      <c r="O97" s="2"/>
      <c r="P97" s="2"/>
      <c r="Q97" s="2"/>
      <c r="R97" s="2"/>
      <c r="S97" s="2"/>
      <c r="T97" s="2"/>
      <c r="U97" s="2"/>
      <c r="V97" s="2"/>
      <c r="W97" s="2"/>
      <c r="X97" s="2"/>
      <c r="Y97" s="2"/>
      <c r="Z97" s="2"/>
    </row>
    <row r="98" spans="1:26" ht="19.5" customHeight="1">
      <c r="A98" s="4" t="s">
        <v>331</v>
      </c>
      <c r="B98" s="4" t="s">
        <v>332</v>
      </c>
      <c r="C98" s="6">
        <v>12</v>
      </c>
      <c r="D98" s="4" t="s">
        <v>306</v>
      </c>
      <c r="E98" s="13">
        <f>'Standardized Values'!E98/E$2</f>
        <v>0</v>
      </c>
      <c r="F98" s="13">
        <f>'Standardized Values'!F98/F$2</f>
        <v>0</v>
      </c>
      <c r="G98" s="13">
        <f>'Standardized Values'!G98/G$2</f>
        <v>0</v>
      </c>
      <c r="H98" s="13">
        <f>'Standardized Values'!H98/H$2</f>
        <v>0</v>
      </c>
      <c r="I98" s="13">
        <f>'Standardized Values'!I98/I$2</f>
        <v>0</v>
      </c>
      <c r="J98" s="13">
        <f>'Standardized Values'!J98/J$2</f>
        <v>6.5217391304347823E-3</v>
      </c>
      <c r="K98" s="13">
        <f>'Standardized Values'!K98/K$2</f>
        <v>0</v>
      </c>
      <c r="L98" s="13">
        <f>'Standardized Values'!L98/L$2</f>
        <v>0</v>
      </c>
      <c r="M98" s="4" t="s">
        <v>333</v>
      </c>
      <c r="N98" s="2" t="s">
        <v>1129</v>
      </c>
      <c r="O98" s="2"/>
      <c r="P98" s="2"/>
      <c r="Q98" s="2"/>
      <c r="R98" s="2"/>
      <c r="S98" s="2"/>
      <c r="T98" s="2"/>
      <c r="U98" s="2"/>
      <c r="V98" s="2"/>
      <c r="W98" s="2"/>
      <c r="X98" s="2"/>
      <c r="Y98" s="2"/>
      <c r="Z98" s="2"/>
    </row>
    <row r="99" spans="1:26" ht="19.5" customHeight="1">
      <c r="A99" s="4" t="s">
        <v>334</v>
      </c>
      <c r="B99" s="4" t="s">
        <v>335</v>
      </c>
      <c r="C99" s="6">
        <v>11</v>
      </c>
      <c r="D99" s="4" t="s">
        <v>316</v>
      </c>
      <c r="E99" s="13">
        <f>'Standardized Values'!E99/E$2</f>
        <v>8.5000000000000006E-2</v>
      </c>
      <c r="F99" s="13">
        <f>'Standardized Values'!F99/F$2</f>
        <v>3.6363636363636362E-2</v>
      </c>
      <c r="G99" s="13">
        <f>'Standardized Values'!G99/G$2</f>
        <v>0.13725490196078433</v>
      </c>
      <c r="H99" s="13">
        <f>'Standardized Values'!H99/H$2</f>
        <v>0.18181818181818182</v>
      </c>
      <c r="I99" s="13">
        <f>'Standardized Values'!I99/I$2</f>
        <v>3.2786885245901641E-2</v>
      </c>
      <c r="J99" s="13">
        <f>'Standardized Values'!J99/J$2</f>
        <v>6.5217391304347824E-2</v>
      </c>
      <c r="K99" s="13">
        <f>'Standardized Values'!K99/K$2</f>
        <v>0</v>
      </c>
      <c r="L99" s="13">
        <f>'Standardized Values'!L99/L$2</f>
        <v>0.1</v>
      </c>
      <c r="M99" s="4" t="s">
        <v>336</v>
      </c>
      <c r="N99" s="2" t="s">
        <v>1126</v>
      </c>
      <c r="O99" s="2"/>
      <c r="P99" s="2"/>
      <c r="Q99" s="2"/>
      <c r="R99" s="2"/>
      <c r="S99" s="2"/>
      <c r="T99" s="2"/>
      <c r="U99" s="2"/>
      <c r="V99" s="2"/>
      <c r="W99" s="2"/>
      <c r="X99" s="2"/>
      <c r="Y99" s="2"/>
      <c r="Z99" s="2"/>
    </row>
    <row r="100" spans="1:26" ht="19.5" customHeight="1">
      <c r="A100" s="4" t="s">
        <v>337</v>
      </c>
      <c r="B100" s="4" t="s">
        <v>338</v>
      </c>
      <c r="C100" s="6">
        <v>11</v>
      </c>
      <c r="D100" s="4" t="s">
        <v>316</v>
      </c>
      <c r="E100" s="13">
        <f>'Standardized Values'!E100/E$2</f>
        <v>6.5000000000000002E-2</v>
      </c>
      <c r="F100" s="13">
        <f>'Standardized Values'!F100/F$2</f>
        <v>5.8181818181818182E-2</v>
      </c>
      <c r="G100" s="13">
        <f>'Standardized Values'!G100/G$2</f>
        <v>7.8431372549019607E-2</v>
      </c>
      <c r="H100" s="13">
        <f>'Standardized Values'!H100/H$2</f>
        <v>9.9173553719008267E-2</v>
      </c>
      <c r="I100" s="13">
        <f>'Standardized Values'!I100/I$2</f>
        <v>0</v>
      </c>
      <c r="J100" s="13">
        <f>'Standardized Values'!J100/J$2</f>
        <v>7.8260869565217397E-2</v>
      </c>
      <c r="K100" s="13">
        <f>'Standardized Values'!K100/K$2</f>
        <v>0.14545454545454545</v>
      </c>
      <c r="L100" s="13">
        <f>'Standardized Values'!L100/L$2</f>
        <v>0</v>
      </c>
      <c r="M100" s="4" t="s">
        <v>339</v>
      </c>
      <c r="N100" s="2" t="s">
        <v>1126</v>
      </c>
      <c r="O100" s="2"/>
      <c r="P100" s="2"/>
      <c r="Q100" s="2"/>
      <c r="R100" s="2"/>
      <c r="S100" s="2"/>
      <c r="T100" s="2"/>
      <c r="U100" s="2"/>
      <c r="V100" s="2"/>
      <c r="W100" s="2"/>
      <c r="X100" s="2"/>
      <c r="Y100" s="2"/>
      <c r="Z100" s="2"/>
    </row>
    <row r="101" spans="1:26" ht="19.5" customHeight="1">
      <c r="A101" s="4" t="s">
        <v>340</v>
      </c>
      <c r="B101" s="4" t="s">
        <v>341</v>
      </c>
      <c r="C101" s="6">
        <v>10</v>
      </c>
      <c r="D101" s="4" t="s">
        <v>316</v>
      </c>
      <c r="E101" s="13">
        <f>'Standardized Values'!E101/E$2</f>
        <v>7.0000000000000007E-2</v>
      </c>
      <c r="F101" s="13">
        <f>'Standardized Values'!F101/F$2</f>
        <v>5.0909090909090911E-2</v>
      </c>
      <c r="G101" s="13">
        <f>'Standardized Values'!G101/G$2</f>
        <v>3.9215686274509803E-2</v>
      </c>
      <c r="H101" s="13">
        <f>'Standardized Values'!H101/H$2</f>
        <v>0.16528925619834711</v>
      </c>
      <c r="I101" s="13">
        <f>'Standardized Values'!I101/I$2</f>
        <v>0</v>
      </c>
      <c r="J101" s="13">
        <f>'Standardized Values'!J101/J$2</f>
        <v>4.7826086956521741E-2</v>
      </c>
      <c r="K101" s="13">
        <f>'Standardized Values'!K101/K$2</f>
        <v>0.10909090909090909</v>
      </c>
      <c r="L101" s="13">
        <f>'Standardized Values'!L101/L$2</f>
        <v>0</v>
      </c>
      <c r="M101" s="4" t="s">
        <v>342</v>
      </c>
      <c r="N101" s="2" t="s">
        <v>1126</v>
      </c>
      <c r="O101" s="2"/>
      <c r="P101" s="2"/>
      <c r="Q101" s="2"/>
      <c r="R101" s="2"/>
      <c r="S101" s="2"/>
      <c r="T101" s="2"/>
      <c r="U101" s="2"/>
      <c r="V101" s="2"/>
      <c r="W101" s="2"/>
      <c r="X101" s="2"/>
      <c r="Y101" s="2"/>
      <c r="Z101" s="2"/>
    </row>
    <row r="102" spans="1:26" ht="19.5" customHeight="1">
      <c r="A102" s="4" t="s">
        <v>343</v>
      </c>
      <c r="B102" s="4" t="s">
        <v>344</v>
      </c>
      <c r="C102" s="6">
        <v>10</v>
      </c>
      <c r="D102" s="4" t="s">
        <v>316</v>
      </c>
      <c r="E102" s="13">
        <f>'Standardized Values'!E102/E$2</f>
        <v>7.0000000000000007E-2</v>
      </c>
      <c r="F102" s="13">
        <f>'Standardized Values'!F102/F$2</f>
        <v>5.8181818181818182E-2</v>
      </c>
      <c r="G102" s="13">
        <f>'Standardized Values'!G102/G$2</f>
        <v>3.9215686274509803E-2</v>
      </c>
      <c r="H102" s="13">
        <f>'Standardized Values'!H102/H$2</f>
        <v>0.11570247933884298</v>
      </c>
      <c r="I102" s="13">
        <f>'Standardized Values'!I102/I$2</f>
        <v>0</v>
      </c>
      <c r="J102" s="13">
        <f>'Standardized Values'!J102/J$2</f>
        <v>2.8260869565217391E-2</v>
      </c>
      <c r="K102" s="13">
        <f>'Standardized Values'!K102/K$2</f>
        <v>7.2727272727272724E-2</v>
      </c>
      <c r="L102" s="13">
        <f>'Standardized Values'!L102/L$2</f>
        <v>0</v>
      </c>
      <c r="M102" s="4" t="s">
        <v>345</v>
      </c>
      <c r="N102" s="2" t="s">
        <v>1126</v>
      </c>
      <c r="O102" s="2"/>
      <c r="P102" s="2"/>
      <c r="Q102" s="2"/>
      <c r="R102" s="2"/>
      <c r="S102" s="2"/>
      <c r="T102" s="2"/>
      <c r="U102" s="2"/>
      <c r="V102" s="2"/>
      <c r="W102" s="2"/>
      <c r="X102" s="2"/>
      <c r="Y102" s="2"/>
      <c r="Z102" s="2"/>
    </row>
    <row r="103" spans="1:26" ht="19.5" customHeight="1">
      <c r="A103" s="4" t="s">
        <v>346</v>
      </c>
      <c r="B103" s="4" t="s">
        <v>347</v>
      </c>
      <c r="C103" s="7" t="s">
        <v>173</v>
      </c>
      <c r="D103" s="4" t="s">
        <v>320</v>
      </c>
      <c r="E103" s="13">
        <f>'Standardized Values'!E103/E$2</f>
        <v>0.08</v>
      </c>
      <c r="F103" s="13">
        <f>'Standardized Values'!F103/F$2</f>
        <v>3.6363636363636362E-2</v>
      </c>
      <c r="G103" s="13">
        <f>'Standardized Values'!G103/G$2</f>
        <v>0.11764705882352941</v>
      </c>
      <c r="H103" s="13">
        <f>'Standardized Values'!H103/H$2</f>
        <v>0.19834710743801653</v>
      </c>
      <c r="I103" s="13">
        <f>'Standardized Values'!I103/I$2</f>
        <v>0</v>
      </c>
      <c r="J103" s="13">
        <f>'Standardized Values'!J103/J$2</f>
        <v>0.11304347826086956</v>
      </c>
      <c r="K103" s="13">
        <f>'Standardized Values'!K103/K$2</f>
        <v>0.32727272727272727</v>
      </c>
      <c r="L103" s="13">
        <f>'Standardized Values'!L103/L$2</f>
        <v>0</v>
      </c>
      <c r="M103" s="4" t="s">
        <v>348</v>
      </c>
      <c r="N103" s="2" t="s">
        <v>1126</v>
      </c>
      <c r="O103" s="2"/>
      <c r="P103" s="2"/>
      <c r="Q103" s="2"/>
      <c r="R103" s="2"/>
      <c r="S103" s="2"/>
      <c r="T103" s="2"/>
      <c r="U103" s="2"/>
      <c r="V103" s="2"/>
      <c r="W103" s="2"/>
      <c r="X103" s="2"/>
      <c r="Y103" s="2"/>
      <c r="Z103" s="2"/>
    </row>
    <row r="104" spans="1:26" ht="19.5" customHeight="1">
      <c r="A104" s="4" t="s">
        <v>349</v>
      </c>
      <c r="B104" s="4" t="s">
        <v>350</v>
      </c>
      <c r="C104" s="7" t="s">
        <v>351</v>
      </c>
      <c r="D104" s="4" t="s">
        <v>205</v>
      </c>
      <c r="E104" s="13">
        <f>'Standardized Values'!E104/E$2</f>
        <v>0.115</v>
      </c>
      <c r="F104" s="13">
        <f>'Standardized Values'!F104/F$2</f>
        <v>5.4545454545454543E-2</v>
      </c>
      <c r="G104" s="13">
        <f>'Standardized Values'!G104/G$2</f>
        <v>7.8431372549019607E-2</v>
      </c>
      <c r="H104" s="13">
        <f>'Standardized Values'!H104/H$2</f>
        <v>0.2975206611570248</v>
      </c>
      <c r="I104" s="13">
        <f>'Standardized Values'!I104/I$2</f>
        <v>0.32786885245901637</v>
      </c>
      <c r="J104" s="13">
        <f>'Standardized Values'!J104/J$2</f>
        <v>0.32173913043478258</v>
      </c>
      <c r="K104" s="13">
        <f>'Standardized Values'!K104/K$2</f>
        <v>0.18181818181818182</v>
      </c>
      <c r="L104" s="13">
        <f>'Standardized Values'!L104/L$2</f>
        <v>0</v>
      </c>
      <c r="M104" s="4" t="s">
        <v>352</v>
      </c>
      <c r="N104" s="2" t="s">
        <v>1128</v>
      </c>
      <c r="O104" s="2"/>
      <c r="P104" s="2"/>
      <c r="Q104" s="2"/>
      <c r="R104" s="2"/>
      <c r="S104" s="2"/>
      <c r="T104" s="2"/>
      <c r="U104" s="2"/>
      <c r="V104" s="2"/>
      <c r="W104" s="2"/>
      <c r="X104" s="2"/>
      <c r="Y104" s="2"/>
      <c r="Z104" s="2"/>
    </row>
    <row r="105" spans="1:26" ht="19.5" customHeight="1">
      <c r="A105" s="4" t="s">
        <v>353</v>
      </c>
      <c r="B105" s="4" t="s">
        <v>354</v>
      </c>
      <c r="C105" s="7" t="s">
        <v>351</v>
      </c>
      <c r="D105" s="4" t="s">
        <v>205</v>
      </c>
      <c r="E105" s="13">
        <f>'Standardized Values'!E105/E$2</f>
        <v>0.115</v>
      </c>
      <c r="F105" s="13">
        <f>'Standardized Values'!F105/F$2</f>
        <v>6.545454545454546E-2</v>
      </c>
      <c r="G105" s="13">
        <f>'Standardized Values'!G105/G$2</f>
        <v>9.8039215686274508E-2</v>
      </c>
      <c r="H105" s="13">
        <f>'Standardized Values'!H105/H$2</f>
        <v>0.28099173553719009</v>
      </c>
      <c r="I105" s="13">
        <f>'Standardized Values'!I105/I$2</f>
        <v>0.39344262295081966</v>
      </c>
      <c r="J105" s="13">
        <f>'Standardized Values'!J105/J$2</f>
        <v>0.33043478260869563</v>
      </c>
      <c r="K105" s="13">
        <f>'Standardized Values'!K105/K$2</f>
        <v>0.18181818181818182</v>
      </c>
      <c r="L105" s="13">
        <f>'Standardized Values'!L105/L$2</f>
        <v>0</v>
      </c>
      <c r="M105" s="4" t="s">
        <v>355</v>
      </c>
      <c r="N105" s="2" t="s">
        <v>1128</v>
      </c>
      <c r="O105" s="2"/>
      <c r="P105" s="2"/>
      <c r="Q105" s="2"/>
      <c r="R105" s="2"/>
      <c r="S105" s="2"/>
      <c r="T105" s="2"/>
      <c r="U105" s="2"/>
      <c r="V105" s="2"/>
      <c r="W105" s="2"/>
      <c r="X105" s="2"/>
      <c r="Y105" s="2"/>
      <c r="Z105" s="2"/>
    </row>
    <row r="106" spans="1:26" ht="19.5" customHeight="1">
      <c r="A106" s="4" t="s">
        <v>356</v>
      </c>
      <c r="B106" s="4" t="s">
        <v>357</v>
      </c>
      <c r="C106" s="7" t="s">
        <v>351</v>
      </c>
      <c r="D106" s="4" t="s">
        <v>205</v>
      </c>
      <c r="E106" s="13">
        <f>'Standardized Values'!E106/E$2</f>
        <v>0.14499999999999999</v>
      </c>
      <c r="F106" s="13">
        <f>'Standardized Values'!F106/F$2</f>
        <v>0.13818181818181818</v>
      </c>
      <c r="G106" s="13">
        <f>'Standardized Values'!G106/G$2</f>
        <v>0.25490196078431371</v>
      </c>
      <c r="H106" s="13">
        <f>'Standardized Values'!H106/H$2</f>
        <v>0.26446280991735538</v>
      </c>
      <c r="I106" s="13">
        <f>'Standardized Values'!I106/I$2</f>
        <v>0.13114754098360656</v>
      </c>
      <c r="J106" s="13">
        <f>'Standardized Values'!J106/J$2</f>
        <v>0.20434782608695654</v>
      </c>
      <c r="K106" s="13">
        <f>'Standardized Values'!K106/K$2</f>
        <v>0.54545454545454541</v>
      </c>
      <c r="L106" s="13">
        <f>'Standardized Values'!L106/L$2</f>
        <v>0</v>
      </c>
      <c r="M106" s="4" t="s">
        <v>358</v>
      </c>
      <c r="N106" s="2" t="s">
        <v>1128</v>
      </c>
      <c r="O106" s="2"/>
      <c r="P106" s="2"/>
      <c r="Q106" s="2"/>
      <c r="R106" s="2"/>
      <c r="S106" s="2"/>
      <c r="T106" s="2"/>
      <c r="U106" s="2"/>
      <c r="V106" s="2"/>
      <c r="W106" s="2"/>
      <c r="X106" s="2"/>
      <c r="Y106" s="2"/>
      <c r="Z106" s="2"/>
    </row>
    <row r="107" spans="1:26" ht="19.5" customHeight="1">
      <c r="A107" s="4" t="s">
        <v>359</v>
      </c>
      <c r="B107" s="4" t="s">
        <v>360</v>
      </c>
      <c r="C107" s="6">
        <v>8</v>
      </c>
      <c r="D107" s="4" t="s">
        <v>306</v>
      </c>
      <c r="E107" s="13">
        <f>'Standardized Values'!E107/E$2</f>
        <v>2.5000000000000001E-2</v>
      </c>
      <c r="F107" s="13">
        <f>'Standardized Values'!F107/F$2</f>
        <v>4.7272727272727272E-2</v>
      </c>
      <c r="G107" s="13">
        <f>'Standardized Values'!G107/G$2</f>
        <v>0</v>
      </c>
      <c r="H107" s="13">
        <f>'Standardized Values'!H107/H$2</f>
        <v>0</v>
      </c>
      <c r="I107" s="13">
        <f>'Standardized Values'!I107/I$2</f>
        <v>0.36065573770491804</v>
      </c>
      <c r="J107" s="13">
        <f>'Standardized Values'!J107/J$2</f>
        <v>2.6086956521739129E-2</v>
      </c>
      <c r="K107" s="13">
        <f>'Standardized Values'!K107/K$2</f>
        <v>0</v>
      </c>
      <c r="L107" s="13">
        <f>'Standardized Values'!L107/L$2</f>
        <v>0</v>
      </c>
      <c r="M107" s="4" t="s">
        <v>361</v>
      </c>
      <c r="N107" s="2" t="s">
        <v>1129</v>
      </c>
      <c r="O107" s="2"/>
      <c r="P107" s="2"/>
      <c r="Q107" s="2"/>
      <c r="R107" s="2"/>
      <c r="S107" s="2"/>
      <c r="T107" s="2"/>
      <c r="U107" s="2"/>
      <c r="V107" s="2"/>
      <c r="W107" s="2"/>
      <c r="X107" s="2"/>
      <c r="Y107" s="2"/>
      <c r="Z107" s="2"/>
    </row>
    <row r="108" spans="1:26" ht="19.5" customHeight="1">
      <c r="A108" s="4" t="s">
        <v>362</v>
      </c>
      <c r="B108" s="4" t="s">
        <v>363</v>
      </c>
      <c r="C108" s="6">
        <v>8</v>
      </c>
      <c r="D108" s="4" t="s">
        <v>205</v>
      </c>
      <c r="E108" s="13">
        <f>'Standardized Values'!E108/E$2</f>
        <v>0.03</v>
      </c>
      <c r="F108" s="13">
        <f>'Standardized Values'!F108/F$2</f>
        <v>5.8181818181818182E-2</v>
      </c>
      <c r="G108" s="13">
        <f>'Standardized Values'!G108/G$2</f>
        <v>0</v>
      </c>
      <c r="H108" s="13">
        <f>'Standardized Values'!H108/H$2</f>
        <v>0</v>
      </c>
      <c r="I108" s="13">
        <f>'Standardized Values'!I108/I$2</f>
        <v>0.45901639344262296</v>
      </c>
      <c r="J108" s="13">
        <f>'Standardized Values'!J108/J$2</f>
        <v>2.1739130434782609E-3</v>
      </c>
      <c r="K108" s="13">
        <f>'Standardized Values'!K108/K$2</f>
        <v>0</v>
      </c>
      <c r="L108" s="13">
        <f>'Standardized Values'!L108/L$2</f>
        <v>0</v>
      </c>
      <c r="M108" s="4" t="s">
        <v>364</v>
      </c>
      <c r="N108" s="2" t="s">
        <v>1129</v>
      </c>
      <c r="O108" s="2"/>
      <c r="P108" s="2"/>
      <c r="Q108" s="2"/>
      <c r="R108" s="2"/>
      <c r="S108" s="2"/>
      <c r="T108" s="2"/>
      <c r="U108" s="2"/>
      <c r="V108" s="2"/>
      <c r="W108" s="2"/>
      <c r="X108" s="2"/>
      <c r="Y108" s="2"/>
      <c r="Z108" s="2"/>
    </row>
    <row r="109" spans="1:26" ht="19.5" customHeight="1">
      <c r="A109" s="9" t="s">
        <v>365</v>
      </c>
      <c r="B109" s="10" t="s">
        <v>366</v>
      </c>
      <c r="C109" s="6">
        <v>8</v>
      </c>
      <c r="D109" s="4" t="s">
        <v>205</v>
      </c>
      <c r="E109" s="13">
        <f>'Standardized Values'!E109/E$2</f>
        <v>2.5000000000000001E-2</v>
      </c>
      <c r="F109" s="13">
        <f>'Standardized Values'!F109/F$2</f>
        <v>4.7272727272727272E-2</v>
      </c>
      <c r="G109" s="13">
        <f>'Standardized Values'!G109/G$2</f>
        <v>0</v>
      </c>
      <c r="H109" s="13">
        <f>'Standardized Values'!H109/H$2</f>
        <v>0</v>
      </c>
      <c r="I109" s="13">
        <f>'Standardized Values'!I109/I$2</f>
        <v>0.32786885245901637</v>
      </c>
      <c r="J109" s="13">
        <f>'Standardized Values'!J109/J$2</f>
        <v>2.1739130434782609E-3</v>
      </c>
      <c r="K109" s="13">
        <f>'Standardized Values'!K109/K$2</f>
        <v>0</v>
      </c>
      <c r="L109" s="13">
        <f>'Standardized Values'!L109/L$2</f>
        <v>0</v>
      </c>
      <c r="M109" s="4" t="s">
        <v>367</v>
      </c>
      <c r="N109" s="2" t="s">
        <v>1129</v>
      </c>
      <c r="O109" s="2"/>
      <c r="P109" s="2"/>
      <c r="Q109" s="2"/>
      <c r="R109" s="2"/>
      <c r="S109" s="2"/>
      <c r="T109" s="2"/>
      <c r="U109" s="2"/>
      <c r="V109" s="2"/>
      <c r="W109" s="2"/>
      <c r="X109" s="2"/>
      <c r="Y109" s="2"/>
      <c r="Z109" s="2"/>
    </row>
    <row r="110" spans="1:26" ht="19.5" customHeight="1">
      <c r="A110" s="9" t="s">
        <v>368</v>
      </c>
      <c r="B110" s="10" t="s">
        <v>369</v>
      </c>
      <c r="C110" s="6">
        <v>8</v>
      </c>
      <c r="D110" s="4" t="s">
        <v>205</v>
      </c>
      <c r="E110" s="13">
        <f>'Standardized Values'!E110/E$2</f>
        <v>3.5000000000000003E-2</v>
      </c>
      <c r="F110" s="13">
        <f>'Standardized Values'!F110/F$2</f>
        <v>6.9090909090909092E-2</v>
      </c>
      <c r="G110" s="13">
        <f>'Standardized Values'!G110/G$2</f>
        <v>0</v>
      </c>
      <c r="H110" s="13">
        <f>'Standardized Values'!H110/H$2</f>
        <v>0</v>
      </c>
      <c r="I110" s="13">
        <f>'Standardized Values'!I110/I$2</f>
        <v>0.5901639344262295</v>
      </c>
      <c r="J110" s="13">
        <f>'Standardized Values'!J110/J$2</f>
        <v>0</v>
      </c>
      <c r="K110" s="13">
        <f>'Standardized Values'!K110/K$2</f>
        <v>0</v>
      </c>
      <c r="L110" s="13">
        <f>'Standardized Values'!L110/L$2</f>
        <v>0</v>
      </c>
      <c r="M110" s="4" t="s">
        <v>370</v>
      </c>
      <c r="N110" s="2" t="s">
        <v>1129</v>
      </c>
      <c r="O110" s="2"/>
      <c r="P110" s="2"/>
      <c r="Q110" s="2"/>
      <c r="R110" s="2"/>
      <c r="S110" s="2"/>
      <c r="T110" s="2"/>
      <c r="U110" s="2"/>
      <c r="V110" s="2"/>
      <c r="W110" s="2"/>
      <c r="X110" s="2"/>
      <c r="Y110" s="2"/>
      <c r="Z110" s="2"/>
    </row>
    <row r="111" spans="1:26" ht="19.5" customHeight="1">
      <c r="A111" s="4" t="s">
        <v>371</v>
      </c>
      <c r="B111" s="4" t="s">
        <v>372</v>
      </c>
      <c r="C111" s="6">
        <v>8</v>
      </c>
      <c r="D111" s="4" t="s">
        <v>205</v>
      </c>
      <c r="E111" s="13">
        <f>'Standardized Values'!E111/E$2</f>
        <v>2.5000000000000001E-2</v>
      </c>
      <c r="F111" s="13">
        <f>'Standardized Values'!F111/F$2</f>
        <v>0.04</v>
      </c>
      <c r="G111" s="13">
        <f>'Standardized Values'!G111/G$2</f>
        <v>0</v>
      </c>
      <c r="H111" s="13">
        <f>'Standardized Values'!H111/H$2</f>
        <v>0</v>
      </c>
      <c r="I111" s="13">
        <f>'Standardized Values'!I111/I$2</f>
        <v>0.32786885245901637</v>
      </c>
      <c r="J111" s="13">
        <f>'Standardized Values'!J111/J$2</f>
        <v>0</v>
      </c>
      <c r="K111" s="13">
        <f>'Standardized Values'!K111/K$2</f>
        <v>0</v>
      </c>
      <c r="L111" s="13">
        <f>'Standardized Values'!L111/L$2</f>
        <v>0</v>
      </c>
      <c r="M111" s="4" t="s">
        <v>373</v>
      </c>
      <c r="N111" s="2" t="s">
        <v>1129</v>
      </c>
      <c r="O111" s="2"/>
      <c r="P111" s="2"/>
      <c r="Q111" s="2"/>
      <c r="R111" s="2"/>
      <c r="S111" s="2"/>
      <c r="T111" s="2"/>
      <c r="U111" s="2"/>
      <c r="V111" s="2"/>
      <c r="W111" s="2"/>
      <c r="X111" s="2"/>
      <c r="Y111" s="2"/>
      <c r="Z111" s="2"/>
    </row>
    <row r="112" spans="1:26" ht="19.5" customHeight="1">
      <c r="A112" s="9" t="s">
        <v>374</v>
      </c>
      <c r="B112" s="10" t="s">
        <v>375</v>
      </c>
      <c r="C112" s="6">
        <v>8</v>
      </c>
      <c r="D112" s="4" t="s">
        <v>205</v>
      </c>
      <c r="E112" s="13">
        <f>'Standardized Values'!E112/E$2</f>
        <v>0.03</v>
      </c>
      <c r="F112" s="13">
        <f>'Standardized Values'!F112/F$2</f>
        <v>5.8181818181818182E-2</v>
      </c>
      <c r="G112" s="13">
        <f>'Standardized Values'!G112/G$2</f>
        <v>0</v>
      </c>
      <c r="H112" s="13">
        <f>'Standardized Values'!H112/H$2</f>
        <v>0</v>
      </c>
      <c r="I112" s="13">
        <f>'Standardized Values'!I112/I$2</f>
        <v>0.45901639344262296</v>
      </c>
      <c r="J112" s="13">
        <f>'Standardized Values'!J112/J$2</f>
        <v>2.1739130434782609E-3</v>
      </c>
      <c r="K112" s="13">
        <f>'Standardized Values'!K112/K$2</f>
        <v>0</v>
      </c>
      <c r="L112" s="13">
        <f>'Standardized Values'!L112/L$2</f>
        <v>0</v>
      </c>
      <c r="M112" s="4" t="s">
        <v>376</v>
      </c>
      <c r="N112" s="2" t="s">
        <v>1129</v>
      </c>
      <c r="O112" s="2"/>
      <c r="P112" s="2"/>
      <c r="Q112" s="2"/>
      <c r="R112" s="2"/>
      <c r="S112" s="2"/>
      <c r="T112" s="2"/>
      <c r="U112" s="2"/>
      <c r="V112" s="2"/>
      <c r="W112" s="2"/>
      <c r="X112" s="2"/>
      <c r="Y112" s="2"/>
      <c r="Z112" s="2"/>
    </row>
    <row r="113" spans="1:26" ht="19.5" customHeight="1">
      <c r="A113" s="4" t="s">
        <v>377</v>
      </c>
      <c r="B113" s="4" t="s">
        <v>378</v>
      </c>
      <c r="C113" s="6">
        <v>8</v>
      </c>
      <c r="D113" s="4" t="s">
        <v>306</v>
      </c>
      <c r="E113" s="13">
        <f>'Standardized Values'!E113/E$2</f>
        <v>2.5000000000000001E-3</v>
      </c>
      <c r="F113" s="13">
        <f>'Standardized Values'!F113/F$2</f>
        <v>2.181818181818182E-2</v>
      </c>
      <c r="G113" s="13">
        <f>'Standardized Values'!G113/G$2</f>
        <v>0</v>
      </c>
      <c r="H113" s="13">
        <f>'Standardized Values'!H113/H$2</f>
        <v>0</v>
      </c>
      <c r="I113" s="13">
        <f>'Standardized Values'!I113/I$2</f>
        <v>3.2786885245901641E-2</v>
      </c>
      <c r="J113" s="13">
        <f>'Standardized Values'!J113/J$2</f>
        <v>2.1739130434782609E-3</v>
      </c>
      <c r="K113" s="13">
        <f>'Standardized Values'!K113/K$2</f>
        <v>0</v>
      </c>
      <c r="L113" s="13">
        <f>'Standardized Values'!L113/L$2</f>
        <v>0</v>
      </c>
      <c r="M113" s="4" t="s">
        <v>379</v>
      </c>
      <c r="N113" s="2" t="s">
        <v>1129</v>
      </c>
      <c r="O113" s="2"/>
      <c r="P113" s="2"/>
      <c r="Q113" s="2"/>
      <c r="R113" s="2"/>
      <c r="S113" s="2"/>
      <c r="T113" s="2"/>
      <c r="U113" s="2"/>
      <c r="V113" s="2"/>
      <c r="W113" s="2"/>
      <c r="X113" s="2"/>
      <c r="Y113" s="2"/>
      <c r="Z113" s="2"/>
    </row>
    <row r="114" spans="1:26" ht="19.5" customHeight="1">
      <c r="A114" s="4" t="s">
        <v>380</v>
      </c>
      <c r="B114" s="4" t="s">
        <v>381</v>
      </c>
      <c r="C114" s="6">
        <v>8</v>
      </c>
      <c r="D114" s="4" t="s">
        <v>306</v>
      </c>
      <c r="E114" s="13">
        <f>'Standardized Values'!E114/E$2</f>
        <v>2.5000000000000001E-3</v>
      </c>
      <c r="F114" s="13">
        <f>'Standardized Values'!F114/F$2</f>
        <v>2.181818181818182E-2</v>
      </c>
      <c r="G114" s="13">
        <f>'Standardized Values'!G114/G$2</f>
        <v>0</v>
      </c>
      <c r="H114" s="13">
        <f>'Standardized Values'!H114/H$2</f>
        <v>0</v>
      </c>
      <c r="I114" s="13">
        <f>'Standardized Values'!I114/I$2</f>
        <v>3.2786885245901641E-2</v>
      </c>
      <c r="J114" s="13">
        <f>'Standardized Values'!J114/J$2</f>
        <v>2.1739130434782609E-3</v>
      </c>
      <c r="K114" s="13">
        <f>'Standardized Values'!K114/K$2</f>
        <v>0</v>
      </c>
      <c r="L114" s="13">
        <f>'Standardized Values'!L114/L$2</f>
        <v>0</v>
      </c>
      <c r="M114" s="4" t="s">
        <v>382</v>
      </c>
      <c r="N114" s="2" t="s">
        <v>1129</v>
      </c>
      <c r="O114" s="2"/>
      <c r="P114" s="2"/>
      <c r="Q114" s="2"/>
      <c r="R114" s="2"/>
      <c r="S114" s="2"/>
      <c r="T114" s="2"/>
      <c r="U114" s="2"/>
      <c r="V114" s="2"/>
      <c r="W114" s="2"/>
      <c r="X114" s="2"/>
      <c r="Y114" s="2"/>
      <c r="Z114" s="2"/>
    </row>
    <row r="115" spans="1:26" ht="19.5" customHeight="1">
      <c r="A115" s="4" t="s">
        <v>383</v>
      </c>
      <c r="B115" s="4" t="s">
        <v>384</v>
      </c>
      <c r="C115" s="6">
        <v>8</v>
      </c>
      <c r="D115" s="4" t="s">
        <v>306</v>
      </c>
      <c r="E115" s="13">
        <f>'Standardized Values'!E115/E$2</f>
        <v>2.5000000000000001E-3</v>
      </c>
      <c r="F115" s="13">
        <f>'Standardized Values'!F115/F$2</f>
        <v>2.181818181818182E-2</v>
      </c>
      <c r="G115" s="13">
        <f>'Standardized Values'!G115/G$2</f>
        <v>0</v>
      </c>
      <c r="H115" s="13">
        <f>'Standardized Values'!H115/H$2</f>
        <v>0</v>
      </c>
      <c r="I115" s="13">
        <f>'Standardized Values'!I115/I$2</f>
        <v>3.2786885245901641E-2</v>
      </c>
      <c r="J115" s="13">
        <f>'Standardized Values'!J115/J$2</f>
        <v>2.1739130434782609E-3</v>
      </c>
      <c r="K115" s="13">
        <f>'Standardized Values'!K115/K$2</f>
        <v>0</v>
      </c>
      <c r="L115" s="13">
        <f>'Standardized Values'!L115/L$2</f>
        <v>0</v>
      </c>
      <c r="M115" s="4" t="s">
        <v>385</v>
      </c>
      <c r="N115" s="2" t="s">
        <v>1129</v>
      </c>
      <c r="O115" s="2"/>
      <c r="P115" s="2"/>
      <c r="Q115" s="2"/>
      <c r="R115" s="2"/>
      <c r="S115" s="2"/>
      <c r="T115" s="2"/>
      <c r="U115" s="2"/>
      <c r="V115" s="2"/>
      <c r="W115" s="2"/>
      <c r="X115" s="2"/>
      <c r="Y115" s="2"/>
      <c r="Z115" s="2"/>
    </row>
    <row r="116" spans="1:26" ht="19.5" customHeight="1">
      <c r="A116" s="4" t="s">
        <v>386</v>
      </c>
      <c r="B116" s="4" t="s">
        <v>387</v>
      </c>
      <c r="C116" s="6">
        <v>8</v>
      </c>
      <c r="D116" s="4" t="s">
        <v>306</v>
      </c>
      <c r="E116" s="13">
        <f>'Standardized Values'!E116/E$2</f>
        <v>2.5000000000000001E-2</v>
      </c>
      <c r="F116" s="13">
        <f>'Standardized Values'!F116/F$2</f>
        <v>5.0909090909090911E-2</v>
      </c>
      <c r="G116" s="13">
        <f>'Standardized Values'!G116/G$2</f>
        <v>0</v>
      </c>
      <c r="H116" s="13">
        <f>'Standardized Values'!H116/H$2</f>
        <v>0</v>
      </c>
      <c r="I116" s="13">
        <f>'Standardized Values'!I116/I$2</f>
        <v>0.36065573770491804</v>
      </c>
      <c r="J116" s="13">
        <f>'Standardized Values'!J116/J$2</f>
        <v>2.6086956521739129E-2</v>
      </c>
      <c r="K116" s="13">
        <f>'Standardized Values'!K116/K$2</f>
        <v>0</v>
      </c>
      <c r="L116" s="13">
        <f>'Standardized Values'!L116/L$2</f>
        <v>0</v>
      </c>
      <c r="M116" s="4" t="s">
        <v>361</v>
      </c>
      <c r="N116" s="2" t="s">
        <v>1129</v>
      </c>
      <c r="O116" s="2"/>
      <c r="P116" s="2"/>
      <c r="Q116" s="2"/>
      <c r="R116" s="2"/>
      <c r="S116" s="2"/>
      <c r="T116" s="2"/>
      <c r="U116" s="2"/>
      <c r="V116" s="2"/>
      <c r="W116" s="2"/>
      <c r="X116" s="2"/>
      <c r="Y116" s="2"/>
      <c r="Z116" s="2"/>
    </row>
    <row r="117" spans="1:26" ht="19.5" customHeight="1">
      <c r="A117" s="4" t="s">
        <v>389</v>
      </c>
      <c r="B117" s="4" t="s">
        <v>390</v>
      </c>
      <c r="C117" s="6">
        <v>8</v>
      </c>
      <c r="D117" s="4" t="s">
        <v>306</v>
      </c>
      <c r="E117" s="13">
        <f>'Standardized Values'!E117/E$2</f>
        <v>0</v>
      </c>
      <c r="F117" s="13">
        <f>'Standardized Values'!F117/F$2</f>
        <v>0</v>
      </c>
      <c r="G117" s="13">
        <f>'Standardized Values'!G117/G$2</f>
        <v>0</v>
      </c>
      <c r="H117" s="13">
        <f>'Standardized Values'!H117/H$2</f>
        <v>0</v>
      </c>
      <c r="I117" s="13">
        <f>'Standardized Values'!I117/I$2</f>
        <v>0</v>
      </c>
      <c r="J117" s="13">
        <f>'Standardized Values'!J117/J$2</f>
        <v>0</v>
      </c>
      <c r="K117" s="13">
        <f>'Standardized Values'!K117/K$2</f>
        <v>0</v>
      </c>
      <c r="L117" s="13">
        <f>'Standardized Values'!L117/L$2</f>
        <v>0</v>
      </c>
      <c r="M117" s="4" t="s">
        <v>391</v>
      </c>
      <c r="N117" s="2" t="s">
        <v>1129</v>
      </c>
      <c r="O117" s="2"/>
      <c r="P117" s="2"/>
      <c r="Q117" s="2"/>
      <c r="R117" s="2"/>
      <c r="S117" s="2"/>
      <c r="T117" s="2"/>
      <c r="U117" s="2"/>
      <c r="V117" s="2"/>
      <c r="W117" s="2"/>
      <c r="X117" s="2"/>
      <c r="Y117" s="2"/>
      <c r="Z117" s="2"/>
    </row>
    <row r="118" spans="1:26" ht="19.5" customHeight="1">
      <c r="A118" s="4" t="s">
        <v>392</v>
      </c>
      <c r="B118" s="4" t="s">
        <v>393</v>
      </c>
      <c r="C118" s="6">
        <v>8</v>
      </c>
      <c r="D118" s="4" t="s">
        <v>306</v>
      </c>
      <c r="E118" s="13">
        <f>'Standardized Values'!E118/E$2</f>
        <v>0.05</v>
      </c>
      <c r="F118" s="13">
        <f>'Standardized Values'!F118/F$2</f>
        <v>1.8181818181818181E-2</v>
      </c>
      <c r="G118" s="13">
        <f>'Standardized Values'!G118/G$2</f>
        <v>5.8823529411764705E-2</v>
      </c>
      <c r="H118" s="13">
        <f>'Standardized Values'!H118/H$2</f>
        <v>0.13223140495867769</v>
      </c>
      <c r="I118" s="13">
        <f>'Standardized Values'!I118/I$2</f>
        <v>3.2786885245901641E-2</v>
      </c>
      <c r="J118" s="13">
        <f>'Standardized Values'!J118/J$2</f>
        <v>4.5652173913043478E-2</v>
      </c>
      <c r="K118" s="13">
        <f>'Standardized Values'!K118/K$2</f>
        <v>0</v>
      </c>
      <c r="L118" s="13">
        <f>'Standardized Values'!L118/L$2</f>
        <v>0</v>
      </c>
      <c r="M118" s="4" t="s">
        <v>394</v>
      </c>
      <c r="N118" s="2" t="s">
        <v>1129</v>
      </c>
      <c r="O118" s="2"/>
      <c r="P118" s="2"/>
      <c r="Q118" s="2"/>
      <c r="R118" s="2"/>
      <c r="S118" s="2"/>
      <c r="T118" s="2"/>
      <c r="U118" s="2"/>
      <c r="V118" s="2"/>
      <c r="W118" s="2"/>
      <c r="X118" s="2"/>
      <c r="Y118" s="2"/>
      <c r="Z118" s="2"/>
    </row>
    <row r="119" spans="1:26" ht="19.5" customHeight="1">
      <c r="A119" s="4" t="s">
        <v>395</v>
      </c>
      <c r="B119" s="4" t="s">
        <v>396</v>
      </c>
      <c r="C119" s="6">
        <v>8</v>
      </c>
      <c r="D119" s="4" t="s">
        <v>205</v>
      </c>
      <c r="E119" s="13">
        <f>'Standardized Values'!E119/E$2</f>
        <v>0</v>
      </c>
      <c r="F119" s="13">
        <f>'Standardized Values'!F119/F$2</f>
        <v>0</v>
      </c>
      <c r="G119" s="13">
        <f>'Standardized Values'!G119/G$2</f>
        <v>0</v>
      </c>
      <c r="H119" s="13">
        <f>'Standardized Values'!H119/H$2</f>
        <v>0</v>
      </c>
      <c r="I119" s="13">
        <f>'Standardized Values'!I119/I$2</f>
        <v>0</v>
      </c>
      <c r="J119" s="13">
        <f>'Standardized Values'!J119/J$2</f>
        <v>0</v>
      </c>
      <c r="K119" s="13">
        <f>'Standardized Values'!K119/K$2</f>
        <v>0</v>
      </c>
      <c r="L119" s="13">
        <f>'Standardized Values'!L119/L$2</f>
        <v>0</v>
      </c>
      <c r="M119" s="4" t="s">
        <v>397</v>
      </c>
      <c r="N119" s="2" t="s">
        <v>1129</v>
      </c>
      <c r="O119" s="2"/>
      <c r="P119" s="2"/>
      <c r="Q119" s="2"/>
      <c r="R119" s="2"/>
      <c r="S119" s="2"/>
      <c r="T119" s="2"/>
      <c r="U119" s="2"/>
      <c r="V119" s="2"/>
      <c r="W119" s="2"/>
      <c r="X119" s="2"/>
      <c r="Y119" s="2"/>
      <c r="Z119" s="2"/>
    </row>
    <row r="120" spans="1:26" ht="19.5" customHeight="1">
      <c r="A120" s="4" t="s">
        <v>398</v>
      </c>
      <c r="B120" s="4" t="s">
        <v>399</v>
      </c>
      <c r="C120" s="7" t="s">
        <v>400</v>
      </c>
      <c r="D120" s="4" t="s">
        <v>306</v>
      </c>
      <c r="E120" s="13">
        <f>'Standardized Values'!E120/E$2</f>
        <v>0</v>
      </c>
      <c r="F120" s="13">
        <f>'Standardized Values'!F120/F$2</f>
        <v>0</v>
      </c>
      <c r="G120" s="13">
        <f>'Standardized Values'!G120/G$2</f>
        <v>0</v>
      </c>
      <c r="H120" s="13">
        <f>'Standardized Values'!H120/H$2</f>
        <v>0</v>
      </c>
      <c r="I120" s="13">
        <f>'Standardized Values'!I120/I$2</f>
        <v>0</v>
      </c>
      <c r="J120" s="13">
        <f>'Standardized Values'!J120/J$2</f>
        <v>0</v>
      </c>
      <c r="K120" s="13">
        <f>'Standardized Values'!K120/K$2</f>
        <v>0</v>
      </c>
      <c r="L120" s="13">
        <f>'Standardized Values'!L120/L$2</f>
        <v>0</v>
      </c>
      <c r="M120" s="12" t="s">
        <v>391</v>
      </c>
      <c r="N120" s="2" t="s">
        <v>1129</v>
      </c>
      <c r="O120" s="2"/>
      <c r="P120" s="2"/>
      <c r="Q120" s="2"/>
      <c r="R120" s="2"/>
      <c r="S120" s="2"/>
      <c r="T120" s="2"/>
      <c r="U120" s="2"/>
      <c r="V120" s="2"/>
      <c r="W120" s="2"/>
      <c r="X120" s="2"/>
      <c r="Y120" s="2"/>
      <c r="Z120" s="2"/>
    </row>
    <row r="121" spans="1:26" ht="19.5" customHeight="1">
      <c r="A121" s="4" t="s">
        <v>401</v>
      </c>
      <c r="B121" s="4" t="s">
        <v>402</v>
      </c>
      <c r="C121" s="7" t="s">
        <v>400</v>
      </c>
      <c r="D121" s="4" t="s">
        <v>306</v>
      </c>
      <c r="E121" s="13">
        <f>'Standardized Values'!E121/E$2</f>
        <v>7.0000000000000007E-2</v>
      </c>
      <c r="F121" s="13">
        <f>'Standardized Values'!F121/F$2</f>
        <v>2.5454545454545455E-2</v>
      </c>
      <c r="G121" s="13">
        <f>'Standardized Values'!G121/G$2</f>
        <v>3.9215686274509803E-2</v>
      </c>
      <c r="H121" s="13">
        <f>'Standardized Values'!H121/H$2</f>
        <v>0.18181818181818182</v>
      </c>
      <c r="I121" s="13">
        <f>'Standardized Values'!I121/I$2</f>
        <v>0.19672131147540983</v>
      </c>
      <c r="J121" s="13">
        <f>'Standardized Values'!J121/J$2</f>
        <v>3.2608695652173912E-2</v>
      </c>
      <c r="K121" s="13">
        <f>'Standardized Values'!K121/K$2</f>
        <v>0</v>
      </c>
      <c r="L121" s="13">
        <f>'Standardized Values'!L121/L$2</f>
        <v>0</v>
      </c>
      <c r="M121" s="12" t="s">
        <v>405</v>
      </c>
      <c r="N121" s="2" t="s">
        <v>1129</v>
      </c>
      <c r="O121" s="2"/>
      <c r="P121" s="2"/>
      <c r="Q121" s="2"/>
      <c r="R121" s="2"/>
      <c r="S121" s="2"/>
      <c r="T121" s="2"/>
      <c r="U121" s="2"/>
      <c r="V121" s="2"/>
      <c r="W121" s="2"/>
      <c r="X121" s="2"/>
      <c r="Y121" s="2"/>
      <c r="Z121" s="2"/>
    </row>
    <row r="122" spans="1:26" ht="19.5" customHeight="1">
      <c r="A122" s="4" t="s">
        <v>406</v>
      </c>
      <c r="B122" s="4" t="s">
        <v>407</v>
      </c>
      <c r="C122" s="6">
        <v>8</v>
      </c>
      <c r="D122" s="4" t="s">
        <v>306</v>
      </c>
      <c r="E122" s="13">
        <f>'Standardized Values'!E122/E$2</f>
        <v>6.5000000000000002E-2</v>
      </c>
      <c r="F122" s="13">
        <f>'Standardized Values'!F122/F$2</f>
        <v>5.0909090909090911E-2</v>
      </c>
      <c r="G122" s="13">
        <f>'Standardized Values'!G122/G$2</f>
        <v>1.9607843137254902E-2</v>
      </c>
      <c r="H122" s="13">
        <f>'Standardized Values'!H122/H$2</f>
        <v>0.11570247933884298</v>
      </c>
      <c r="I122" s="13">
        <f>'Standardized Values'!I122/I$2</f>
        <v>9.8360655737704916E-2</v>
      </c>
      <c r="J122" s="13">
        <f>'Standardized Values'!J122/J$2</f>
        <v>4.5652173913043478E-2</v>
      </c>
      <c r="K122" s="13">
        <f>'Standardized Values'!K122/K$2</f>
        <v>0</v>
      </c>
      <c r="L122" s="13">
        <f>'Standardized Values'!L122/L$2</f>
        <v>0</v>
      </c>
      <c r="M122" s="4" t="s">
        <v>408</v>
      </c>
      <c r="N122" s="2" t="s">
        <v>1129</v>
      </c>
      <c r="O122" s="2"/>
      <c r="P122" s="2"/>
      <c r="Q122" s="2"/>
      <c r="R122" s="2"/>
      <c r="S122" s="2"/>
      <c r="T122" s="2"/>
      <c r="U122" s="2"/>
      <c r="V122" s="2"/>
      <c r="W122" s="2"/>
      <c r="X122" s="2"/>
      <c r="Y122" s="2"/>
      <c r="Z122" s="2"/>
    </row>
    <row r="123" spans="1:26" ht="19.5" customHeight="1">
      <c r="A123" s="4" t="s">
        <v>409</v>
      </c>
      <c r="B123" s="4" t="s">
        <v>410</v>
      </c>
      <c r="C123" s="6">
        <v>6</v>
      </c>
      <c r="D123" s="4" t="s">
        <v>236</v>
      </c>
      <c r="E123" s="13">
        <f>'Standardized Values'!E123/E$2</f>
        <v>0.04</v>
      </c>
      <c r="F123" s="13">
        <f>'Standardized Values'!F123/F$2</f>
        <v>1.4545454545454545E-2</v>
      </c>
      <c r="G123" s="13">
        <f>'Standardized Values'!G123/G$2</f>
        <v>0.13725490196078433</v>
      </c>
      <c r="H123" s="13">
        <f>'Standardized Values'!H123/H$2</f>
        <v>7.43801652892562E-2</v>
      </c>
      <c r="I123" s="13">
        <f>'Standardized Values'!I123/I$2</f>
        <v>9.8360655737704916E-2</v>
      </c>
      <c r="J123" s="13">
        <f>'Standardized Values'!J123/J$2</f>
        <v>9.5652173913043481E-2</v>
      </c>
      <c r="K123" s="13">
        <f>'Standardized Values'!K123/K$2</f>
        <v>0</v>
      </c>
      <c r="L123" s="13">
        <f>'Standardized Values'!L123/L$2</f>
        <v>6.6666666666666666E-2</v>
      </c>
      <c r="M123" s="4" t="s">
        <v>411</v>
      </c>
      <c r="N123" s="2" t="s">
        <v>1126</v>
      </c>
      <c r="O123" s="2"/>
      <c r="P123" s="2"/>
      <c r="Q123" s="2"/>
      <c r="R123" s="2"/>
      <c r="S123" s="2"/>
      <c r="T123" s="2"/>
      <c r="U123" s="2"/>
      <c r="V123" s="2"/>
      <c r="W123" s="2"/>
      <c r="X123" s="2"/>
      <c r="Y123" s="2"/>
      <c r="Z123" s="2"/>
    </row>
    <row r="124" spans="1:26" ht="19.5" customHeight="1">
      <c r="A124" s="4" t="s">
        <v>412</v>
      </c>
      <c r="B124" s="4" t="s">
        <v>413</v>
      </c>
      <c r="C124" s="6">
        <v>6</v>
      </c>
      <c r="D124" s="4" t="s">
        <v>236</v>
      </c>
      <c r="E124" s="13">
        <f>'Standardized Values'!E124/E$2</f>
        <v>0.05</v>
      </c>
      <c r="F124" s="13">
        <f>'Standardized Values'!F124/F$2</f>
        <v>5.4545454545454543E-2</v>
      </c>
      <c r="G124" s="13">
        <f>'Standardized Values'!G124/G$2</f>
        <v>1.9607843137254902E-2</v>
      </c>
      <c r="H124" s="13">
        <f>'Standardized Values'!H124/H$2</f>
        <v>5.7851239669421489E-2</v>
      </c>
      <c r="I124" s="13">
        <f>'Standardized Values'!I124/I$2</f>
        <v>0.39344262295081966</v>
      </c>
      <c r="J124" s="13">
        <f>'Standardized Values'!J124/J$2</f>
        <v>8.6956521739130436E-3</v>
      </c>
      <c r="K124" s="13">
        <f>'Standardized Values'!K124/K$2</f>
        <v>7.2727272727272724E-2</v>
      </c>
      <c r="L124" s="13">
        <f>'Standardized Values'!L124/L$2</f>
        <v>0</v>
      </c>
      <c r="M124" s="4" t="s">
        <v>414</v>
      </c>
      <c r="N124" s="2" t="s">
        <v>1126</v>
      </c>
      <c r="O124" s="2"/>
      <c r="P124" s="2"/>
      <c r="Q124" s="2"/>
      <c r="R124" s="2"/>
      <c r="S124" s="2"/>
      <c r="T124" s="2"/>
      <c r="U124" s="2"/>
      <c r="V124" s="2"/>
      <c r="W124" s="2"/>
      <c r="X124" s="2"/>
      <c r="Y124" s="2"/>
      <c r="Z124" s="2"/>
    </row>
    <row r="125" spans="1:26" ht="19.5" customHeight="1">
      <c r="A125" s="4" t="s">
        <v>415</v>
      </c>
      <c r="B125" s="25" t="s">
        <v>416</v>
      </c>
      <c r="C125" s="6">
        <v>6</v>
      </c>
      <c r="D125" s="4" t="s">
        <v>236</v>
      </c>
      <c r="E125" s="13">
        <f>'Standardized Values'!E125/E$2</f>
        <v>7.4999999999999997E-2</v>
      </c>
      <c r="F125" s="13">
        <f>'Standardized Values'!F125/F$2</f>
        <v>5.0909090909090911E-2</v>
      </c>
      <c r="G125" s="13">
        <f>'Standardized Values'!G125/G$2</f>
        <v>7.8431372549019607E-2</v>
      </c>
      <c r="H125" s="13">
        <f>'Standardized Values'!H125/H$2</f>
        <v>0.1487603305785124</v>
      </c>
      <c r="I125" s="13">
        <f>'Standardized Values'!I125/I$2</f>
        <v>3.2786885245901641E-2</v>
      </c>
      <c r="J125" s="13">
        <f>'Standardized Values'!J125/J$2</f>
        <v>0.19130434782608696</v>
      </c>
      <c r="K125" s="13">
        <f>'Standardized Values'!K125/K$2</f>
        <v>0.18181818181818182</v>
      </c>
      <c r="L125" s="13">
        <f>'Standardized Values'!L125/L$2</f>
        <v>1.6666666666666666E-2</v>
      </c>
      <c r="M125" s="4" t="s">
        <v>417</v>
      </c>
      <c r="N125" s="2" t="s">
        <v>1128</v>
      </c>
      <c r="O125" s="2"/>
      <c r="P125" s="2"/>
      <c r="Q125" s="2"/>
      <c r="R125" s="2"/>
      <c r="S125" s="2"/>
      <c r="T125" s="2"/>
      <c r="U125" s="2"/>
      <c r="V125" s="2"/>
      <c r="W125" s="2"/>
      <c r="X125" s="2"/>
      <c r="Y125" s="2"/>
      <c r="Z125" s="2"/>
    </row>
    <row r="126" spans="1:26" ht="19.5" customHeight="1">
      <c r="A126" s="4" t="s">
        <v>418</v>
      </c>
      <c r="B126" s="4" t="s">
        <v>419</v>
      </c>
      <c r="C126" s="7" t="s">
        <v>108</v>
      </c>
      <c r="D126" s="4" t="s">
        <v>320</v>
      </c>
      <c r="E126" s="13">
        <f>'Standardized Values'!E126/E$2</f>
        <v>5.5E-2</v>
      </c>
      <c r="F126" s="13">
        <f>'Standardized Values'!F126/F$2</f>
        <v>7.2727272727272724E-2</v>
      </c>
      <c r="G126" s="13">
        <f>'Standardized Values'!G126/G$2</f>
        <v>9.8039215686274508E-2</v>
      </c>
      <c r="H126" s="13">
        <f>'Standardized Values'!H126/H$2</f>
        <v>3.3057851239669422E-2</v>
      </c>
      <c r="I126" s="13">
        <f>'Standardized Values'!I126/I$2</f>
        <v>0</v>
      </c>
      <c r="J126" s="13">
        <f>'Standardized Values'!J126/J$2</f>
        <v>9.6956521739130441E-2</v>
      </c>
      <c r="K126" s="13">
        <f>'Standardized Values'!K126/K$2</f>
        <v>0.14545454545454545</v>
      </c>
      <c r="L126" s="13">
        <f>'Standardized Values'!L126/L$2</f>
        <v>0</v>
      </c>
      <c r="M126" s="4" t="s">
        <v>420</v>
      </c>
      <c r="N126" s="2" t="s">
        <v>1126</v>
      </c>
      <c r="O126" s="2"/>
      <c r="P126" s="2"/>
      <c r="Q126" s="2"/>
      <c r="R126" s="2"/>
      <c r="S126" s="2"/>
      <c r="T126" s="2"/>
      <c r="U126" s="2"/>
      <c r="V126" s="2"/>
      <c r="W126" s="2"/>
      <c r="X126" s="2"/>
      <c r="Y126" s="2"/>
      <c r="Z126" s="2"/>
    </row>
    <row r="127" spans="1:26" ht="19.5" customHeight="1">
      <c r="A127" s="4" t="s">
        <v>421</v>
      </c>
      <c r="B127" s="4" t="s">
        <v>422</v>
      </c>
      <c r="C127" s="6">
        <v>5</v>
      </c>
      <c r="D127" s="4" t="s">
        <v>423</v>
      </c>
      <c r="E127" s="13">
        <f>'Standardized Values'!E127/E$2</f>
        <v>6.5000000000000002E-2</v>
      </c>
      <c r="F127" s="13">
        <f>'Standardized Values'!F127/F$2</f>
        <v>4.7272727272727272E-2</v>
      </c>
      <c r="G127" s="13">
        <f>'Standardized Values'!G127/G$2</f>
        <v>0.23529411764705882</v>
      </c>
      <c r="H127" s="13">
        <f>'Standardized Values'!H127/H$2</f>
        <v>6.6115702479338845E-2</v>
      </c>
      <c r="I127" s="13">
        <f>'Standardized Values'!I127/I$2</f>
        <v>0</v>
      </c>
      <c r="J127" s="13">
        <f>'Standardized Values'!J127/J$2</f>
        <v>0.10869565217391304</v>
      </c>
      <c r="K127" s="13">
        <f>'Standardized Values'!K127/K$2</f>
        <v>7.2727272727272724E-2</v>
      </c>
      <c r="L127" s="13">
        <f>'Standardized Values'!L127/L$2</f>
        <v>0.1</v>
      </c>
      <c r="M127" s="4" t="s">
        <v>425</v>
      </c>
      <c r="N127" s="2" t="s">
        <v>1128</v>
      </c>
      <c r="O127" s="2"/>
      <c r="P127" s="2"/>
      <c r="Q127" s="2"/>
      <c r="R127" s="2"/>
      <c r="S127" s="2"/>
      <c r="T127" s="2"/>
      <c r="U127" s="2"/>
      <c r="V127" s="2"/>
      <c r="W127" s="2"/>
      <c r="X127" s="2"/>
      <c r="Y127" s="2"/>
      <c r="Z127" s="2"/>
    </row>
    <row r="128" spans="1:26" ht="19.5" customHeight="1">
      <c r="A128" s="4" t="s">
        <v>426</v>
      </c>
      <c r="B128" s="4" t="s">
        <v>427</v>
      </c>
      <c r="C128" s="6">
        <v>4.4000000000000004</v>
      </c>
      <c r="D128" s="4" t="s">
        <v>205</v>
      </c>
      <c r="E128" s="13">
        <f>'Standardized Values'!E128/E$2</f>
        <v>0.13500000000000001</v>
      </c>
      <c r="F128" s="13">
        <f>'Standardized Values'!F128/F$2</f>
        <v>5.4545454545454543E-2</v>
      </c>
      <c r="G128" s="13">
        <f>'Standardized Values'!G128/G$2</f>
        <v>5.8823529411764705E-2</v>
      </c>
      <c r="H128" s="13">
        <f>'Standardized Values'!H128/H$2</f>
        <v>0.38016528925619836</v>
      </c>
      <c r="I128" s="13">
        <f>'Standardized Values'!I128/I$2</f>
        <v>0.29508196721311475</v>
      </c>
      <c r="J128" s="13">
        <f>'Standardized Values'!J128/J$2</f>
        <v>0.19565217391304349</v>
      </c>
      <c r="K128" s="13">
        <f>'Standardized Values'!K128/K$2</f>
        <v>0.14545454545454545</v>
      </c>
      <c r="L128" s="13">
        <f>'Standardized Values'!L128/L$2</f>
        <v>0</v>
      </c>
      <c r="M128" s="4" t="s">
        <v>428</v>
      </c>
      <c r="N128" s="2" t="s">
        <v>1127</v>
      </c>
      <c r="O128" s="2"/>
      <c r="P128" s="2"/>
      <c r="Q128" s="2"/>
      <c r="R128" s="2"/>
      <c r="S128" s="2"/>
      <c r="T128" s="2"/>
      <c r="U128" s="2"/>
      <c r="V128" s="2"/>
      <c r="W128" s="2"/>
      <c r="X128" s="2"/>
      <c r="Y128" s="2"/>
      <c r="Z128" s="2"/>
    </row>
    <row r="129" spans="1:26" ht="19.5" customHeight="1">
      <c r="A129" s="4" t="s">
        <v>429</v>
      </c>
      <c r="B129" s="4" t="s">
        <v>430</v>
      </c>
      <c r="C129" s="6">
        <v>4</v>
      </c>
      <c r="D129" s="4" t="s">
        <v>205</v>
      </c>
      <c r="E129" s="13">
        <f>'Standardized Values'!E129/E$2</f>
        <v>0.12</v>
      </c>
      <c r="F129" s="13">
        <f>'Standardized Values'!F129/F$2</f>
        <v>3.272727272727273E-2</v>
      </c>
      <c r="G129" s="13">
        <f>'Standardized Values'!G129/G$2</f>
        <v>0.37254901960784315</v>
      </c>
      <c r="H129" s="13">
        <f>'Standardized Values'!H129/H$2</f>
        <v>0.23140495867768596</v>
      </c>
      <c r="I129" s="13">
        <f>'Standardized Values'!I129/I$2</f>
        <v>0</v>
      </c>
      <c r="J129" s="13">
        <f>'Standardized Values'!J129/J$2</f>
        <v>0.16086956521739129</v>
      </c>
      <c r="K129" s="13">
        <f>'Standardized Values'!K129/K$2</f>
        <v>0.10909090909090909</v>
      </c>
      <c r="L129" s="13">
        <f>'Standardized Values'!L129/L$2</f>
        <v>0</v>
      </c>
      <c r="M129" s="4" t="s">
        <v>431</v>
      </c>
      <c r="N129" s="2" t="s">
        <v>1128</v>
      </c>
      <c r="O129" s="2"/>
      <c r="P129" s="2"/>
      <c r="Q129" s="2"/>
      <c r="R129" s="2"/>
      <c r="S129" s="2"/>
      <c r="T129" s="2"/>
      <c r="U129" s="2"/>
      <c r="V129" s="2"/>
      <c r="W129" s="2"/>
      <c r="X129" s="2"/>
      <c r="Y129" s="2"/>
      <c r="Z129" s="2"/>
    </row>
    <row r="130" spans="1:26" ht="19.5" customHeight="1">
      <c r="A130" s="4" t="s">
        <v>432</v>
      </c>
      <c r="B130" s="4" t="s">
        <v>433</v>
      </c>
      <c r="C130" s="6">
        <v>4</v>
      </c>
      <c r="D130" s="4" t="s">
        <v>236</v>
      </c>
      <c r="E130" s="13">
        <f>'Standardized Values'!E130/E$2</f>
        <v>6.5000000000000002E-2</v>
      </c>
      <c r="F130" s="13">
        <f>'Standardized Values'!F130/F$2</f>
        <v>5.8181818181818182E-2</v>
      </c>
      <c r="G130" s="13">
        <f>'Standardized Values'!G130/G$2</f>
        <v>1.9607843137254902E-2</v>
      </c>
      <c r="H130" s="13">
        <f>'Standardized Values'!H130/H$2</f>
        <v>9.9173553719008267E-2</v>
      </c>
      <c r="I130" s="13">
        <f>'Standardized Values'!I130/I$2</f>
        <v>0.39344262295081966</v>
      </c>
      <c r="J130" s="13">
        <f>'Standardized Values'!J130/J$2</f>
        <v>0</v>
      </c>
      <c r="K130" s="13">
        <f>'Standardized Values'!K130/K$2</f>
        <v>3.6363636363636362E-2</v>
      </c>
      <c r="L130" s="13">
        <f>'Standardized Values'!L130/L$2</f>
        <v>0</v>
      </c>
      <c r="M130" s="4" t="s">
        <v>434</v>
      </c>
      <c r="N130" s="2" t="s">
        <v>1126</v>
      </c>
      <c r="O130" s="2"/>
      <c r="P130" s="2"/>
      <c r="Q130" s="2"/>
      <c r="R130" s="2"/>
      <c r="S130" s="2"/>
      <c r="T130" s="2"/>
      <c r="U130" s="2"/>
      <c r="V130" s="2"/>
      <c r="W130" s="2"/>
      <c r="X130" s="2"/>
      <c r="Y130" s="2"/>
      <c r="Z130" s="2"/>
    </row>
    <row r="131" spans="1:26" ht="19.5" customHeight="1">
      <c r="A131" s="4" t="s">
        <v>435</v>
      </c>
      <c r="B131" s="4" t="s">
        <v>436</v>
      </c>
      <c r="C131" s="6">
        <v>4</v>
      </c>
      <c r="D131" s="4" t="s">
        <v>76</v>
      </c>
      <c r="E131" s="13">
        <f>'Standardized Values'!E131/E$2</f>
        <v>0.02</v>
      </c>
      <c r="F131" s="13">
        <f>'Standardized Values'!F131/F$2</f>
        <v>3.272727272727273E-2</v>
      </c>
      <c r="G131" s="13">
        <f>'Standardized Values'!G131/G$2</f>
        <v>0</v>
      </c>
      <c r="H131" s="13">
        <f>'Standardized Values'!H131/H$2</f>
        <v>0</v>
      </c>
      <c r="I131" s="13">
        <f>'Standardized Values'!I131/I$2</f>
        <v>0.16393442622950818</v>
      </c>
      <c r="J131" s="13">
        <f>'Standardized Values'!J131/J$2</f>
        <v>0.21304347826086956</v>
      </c>
      <c r="K131" s="13">
        <f>'Standardized Values'!K131/K$2</f>
        <v>3.6363636363636362E-2</v>
      </c>
      <c r="L131" s="13">
        <f>'Standardized Values'!L131/L$2</f>
        <v>0</v>
      </c>
      <c r="M131" s="4" t="s">
        <v>437</v>
      </c>
      <c r="N131" s="2" t="s">
        <v>1127</v>
      </c>
      <c r="O131" s="2"/>
      <c r="P131" s="2"/>
      <c r="Q131" s="2"/>
      <c r="R131" s="2"/>
      <c r="S131" s="2"/>
      <c r="T131" s="2"/>
      <c r="U131" s="2"/>
      <c r="V131" s="2"/>
      <c r="W131" s="2"/>
      <c r="X131" s="2"/>
      <c r="Y131" s="2"/>
      <c r="Z131" s="2"/>
    </row>
    <row r="132" spans="1:26" ht="19.5" customHeight="1">
      <c r="A132" s="4" t="s">
        <v>438</v>
      </c>
      <c r="B132" s="25" t="s">
        <v>439</v>
      </c>
      <c r="C132" s="6">
        <v>3</v>
      </c>
      <c r="D132" s="4" t="s">
        <v>440</v>
      </c>
      <c r="E132" s="13">
        <f>'Standardized Values'!E132/E$2</f>
        <v>4.4999999999999998E-2</v>
      </c>
      <c r="F132" s="13">
        <f>'Standardized Values'!F132/F$2</f>
        <v>3.6363636363636364E-3</v>
      </c>
      <c r="G132" s="13">
        <f>'Standardized Values'!G132/G$2</f>
        <v>0.21568627450980393</v>
      </c>
      <c r="H132" s="13">
        <f>'Standardized Values'!H132/H$2</f>
        <v>8.2644628099173556E-2</v>
      </c>
      <c r="I132" s="13">
        <f>'Standardized Values'!I132/I$2</f>
        <v>0</v>
      </c>
      <c r="J132" s="13">
        <f>'Standardized Values'!J132/J$2</f>
        <v>0.19130434782608696</v>
      </c>
      <c r="K132" s="13">
        <f>'Standardized Values'!K132/K$2</f>
        <v>0</v>
      </c>
      <c r="L132" s="13">
        <f>'Standardized Values'!L132/L$2</f>
        <v>0.15</v>
      </c>
      <c r="M132" s="4" t="s">
        <v>441</v>
      </c>
      <c r="N132" s="2" t="s">
        <v>1128</v>
      </c>
      <c r="O132" s="2"/>
      <c r="P132" s="2"/>
      <c r="Q132" s="2"/>
      <c r="R132" s="2"/>
      <c r="S132" s="2"/>
      <c r="T132" s="2"/>
      <c r="U132" s="2"/>
      <c r="V132" s="2"/>
      <c r="W132" s="2"/>
      <c r="X132" s="2"/>
      <c r="Y132" s="2"/>
      <c r="Z132" s="2"/>
    </row>
    <row r="133" spans="1:26" ht="19.5" customHeight="1">
      <c r="A133" s="4" t="s">
        <v>442</v>
      </c>
      <c r="B133" s="25" t="s">
        <v>443</v>
      </c>
      <c r="C133" s="6">
        <v>3</v>
      </c>
      <c r="D133" s="4" t="s">
        <v>205</v>
      </c>
      <c r="E133" s="13">
        <f>'Standardized Values'!E133/E$2</f>
        <v>0.05</v>
      </c>
      <c r="F133" s="13">
        <f>'Standardized Values'!F133/F$2</f>
        <v>0</v>
      </c>
      <c r="G133" s="13">
        <f>'Standardized Values'!G133/G$2</f>
        <v>0.41176470588235292</v>
      </c>
      <c r="H133" s="13">
        <f>'Standardized Values'!H133/H$2</f>
        <v>4.1322314049586778E-2</v>
      </c>
      <c r="I133" s="13">
        <f>'Standardized Values'!I133/I$2</f>
        <v>0</v>
      </c>
      <c r="J133" s="13">
        <f>'Standardized Values'!J133/J$2</f>
        <v>3.6956521739130437E-2</v>
      </c>
      <c r="K133" s="13">
        <f>'Standardized Values'!K133/K$2</f>
        <v>0</v>
      </c>
      <c r="L133" s="13">
        <f>'Standardized Values'!L133/L$2</f>
        <v>6.6666666666666666E-2</v>
      </c>
      <c r="M133" s="4" t="s">
        <v>444</v>
      </c>
      <c r="N133" s="2" t="s">
        <v>1127</v>
      </c>
      <c r="O133" s="2"/>
      <c r="P133" s="2"/>
      <c r="Q133" s="2"/>
      <c r="R133" s="2"/>
      <c r="S133" s="2"/>
      <c r="T133" s="2"/>
      <c r="U133" s="2"/>
      <c r="V133" s="2"/>
      <c r="W133" s="2"/>
      <c r="X133" s="2"/>
      <c r="Y133" s="2"/>
      <c r="Z133" s="2"/>
    </row>
    <row r="134" spans="1:26" ht="19.5" customHeight="1">
      <c r="A134" s="4" t="s">
        <v>445</v>
      </c>
      <c r="B134" s="25" t="s">
        <v>446</v>
      </c>
      <c r="C134" s="6">
        <v>3</v>
      </c>
      <c r="D134" s="4" t="s">
        <v>205</v>
      </c>
      <c r="E134" s="13">
        <f>'Standardized Values'!E134/E$2</f>
        <v>0</v>
      </c>
      <c r="F134" s="13">
        <f>'Standardized Values'!F134/F$2</f>
        <v>3.6363636363636364E-3</v>
      </c>
      <c r="G134" s="13">
        <f>'Standardized Values'!G134/G$2</f>
        <v>0</v>
      </c>
      <c r="H134" s="13">
        <f>'Standardized Values'!H134/H$2</f>
        <v>0</v>
      </c>
      <c r="I134" s="13">
        <f>'Standardized Values'!I134/I$2</f>
        <v>0</v>
      </c>
      <c r="J134" s="13">
        <f>'Standardized Values'!J134/J$2</f>
        <v>0</v>
      </c>
      <c r="K134" s="13">
        <f>'Standardized Values'!K134/K$2</f>
        <v>7.2727272727272724E-2</v>
      </c>
      <c r="L134" s="13">
        <f>'Standardized Values'!L134/L$2</f>
        <v>0</v>
      </c>
      <c r="M134" s="4" t="s">
        <v>447</v>
      </c>
      <c r="N134" s="2" t="s">
        <v>1127</v>
      </c>
      <c r="O134" s="2"/>
      <c r="P134" s="2"/>
      <c r="Q134" s="2"/>
      <c r="R134" s="2"/>
      <c r="S134" s="2"/>
      <c r="T134" s="2"/>
      <c r="U134" s="2"/>
      <c r="V134" s="2"/>
      <c r="W134" s="2"/>
      <c r="X134" s="2"/>
      <c r="Y134" s="2"/>
      <c r="Z134" s="2"/>
    </row>
    <row r="135" spans="1:26" ht="19.5" customHeight="1">
      <c r="A135" s="4" t="s">
        <v>448</v>
      </c>
      <c r="B135" s="4" t="s">
        <v>449</v>
      </c>
      <c r="C135" s="6">
        <v>3</v>
      </c>
      <c r="D135" s="4" t="s">
        <v>450</v>
      </c>
      <c r="E135" s="13">
        <f>'Standardized Values'!E135/E$2</f>
        <v>7.0000000000000007E-2</v>
      </c>
      <c r="F135" s="13">
        <f>'Standardized Values'!F135/F$2</f>
        <v>6.545454545454546E-2</v>
      </c>
      <c r="G135" s="13">
        <f>'Standardized Values'!G135/G$2</f>
        <v>3.9215686274509803E-2</v>
      </c>
      <c r="H135" s="13">
        <f>'Standardized Values'!H135/H$2</f>
        <v>0.11570247933884298</v>
      </c>
      <c r="I135" s="13">
        <f>'Standardized Values'!I135/I$2</f>
        <v>0.26229508196721313</v>
      </c>
      <c r="J135" s="13">
        <f>'Standardized Values'!J135/J$2</f>
        <v>4.1304347826086954E-2</v>
      </c>
      <c r="K135" s="13">
        <f>'Standardized Values'!K135/K$2</f>
        <v>3.6363636363636362E-2</v>
      </c>
      <c r="L135" s="13">
        <f>'Standardized Values'!L135/L$2</f>
        <v>0</v>
      </c>
      <c r="M135" s="4" t="s">
        <v>451</v>
      </c>
      <c r="N135" s="2" t="s">
        <v>1126</v>
      </c>
      <c r="O135" s="2"/>
      <c r="P135" s="2"/>
      <c r="Q135" s="2"/>
      <c r="R135" s="2"/>
      <c r="S135" s="2"/>
      <c r="T135" s="2"/>
      <c r="U135" s="2"/>
      <c r="V135" s="2"/>
      <c r="W135" s="2"/>
      <c r="X135" s="2"/>
      <c r="Y135" s="2"/>
      <c r="Z135" s="2"/>
    </row>
    <row r="136" spans="1:26" ht="19.5" customHeight="1">
      <c r="A136" s="4" t="s">
        <v>452</v>
      </c>
      <c r="B136" s="4" t="s">
        <v>453</v>
      </c>
      <c r="C136" s="6">
        <v>3</v>
      </c>
      <c r="D136" s="4" t="s">
        <v>205</v>
      </c>
      <c r="E136" s="13">
        <f>'Standardized Values'!E136/E$2</f>
        <v>9.5000000000000001E-2</v>
      </c>
      <c r="F136" s="13">
        <f>'Standardized Values'!F136/F$2</f>
        <v>6.1818181818181821E-2</v>
      </c>
      <c r="G136" s="13">
        <f>'Standardized Values'!G136/G$2</f>
        <v>0.25490196078431371</v>
      </c>
      <c r="H136" s="13">
        <f>'Standardized Values'!H136/H$2</f>
        <v>0.13223140495867769</v>
      </c>
      <c r="I136" s="13">
        <f>'Standardized Values'!I136/I$2</f>
        <v>0</v>
      </c>
      <c r="J136" s="13">
        <f>'Standardized Values'!J136/J$2</f>
        <v>0.20434782608695654</v>
      </c>
      <c r="K136" s="13">
        <f>'Standardized Values'!K136/K$2</f>
        <v>3.6363636363636362E-2</v>
      </c>
      <c r="L136" s="13">
        <f>'Standardized Values'!L136/L$2</f>
        <v>0.13333333333333333</v>
      </c>
      <c r="M136" s="4" t="s">
        <v>454</v>
      </c>
      <c r="N136" s="2" t="s">
        <v>1128</v>
      </c>
      <c r="O136" s="2"/>
      <c r="P136" s="2"/>
      <c r="Q136" s="2"/>
      <c r="R136" s="2"/>
      <c r="S136" s="2"/>
      <c r="T136" s="2"/>
      <c r="U136" s="2"/>
      <c r="V136" s="2"/>
      <c r="W136" s="2"/>
      <c r="X136" s="2"/>
      <c r="Y136" s="2"/>
      <c r="Z136" s="2"/>
    </row>
    <row r="137" spans="1:26" ht="19.5" customHeight="1">
      <c r="A137" s="4" t="s">
        <v>455</v>
      </c>
      <c r="B137" s="4" t="s">
        <v>456</v>
      </c>
      <c r="C137" s="7" t="s">
        <v>457</v>
      </c>
      <c r="D137" s="4" t="s">
        <v>440</v>
      </c>
      <c r="E137" s="13">
        <f>'Standardized Values'!E137/E$2</f>
        <v>5.5E-2</v>
      </c>
      <c r="F137" s="13">
        <f>'Standardized Values'!F137/F$2</f>
        <v>7.2727272727272727E-3</v>
      </c>
      <c r="G137" s="13">
        <f>'Standardized Values'!G137/G$2</f>
        <v>0.17647058823529413</v>
      </c>
      <c r="H137" s="13">
        <f>'Standardized Values'!H137/H$2</f>
        <v>0.11570247933884298</v>
      </c>
      <c r="I137" s="13">
        <f>'Standardized Values'!I137/I$2</f>
        <v>6.5573770491803282E-2</v>
      </c>
      <c r="J137" s="13">
        <f>'Standardized Values'!J137/J$2</f>
        <v>0.16956521739130434</v>
      </c>
      <c r="K137" s="13">
        <f>'Standardized Values'!K137/K$2</f>
        <v>0</v>
      </c>
      <c r="L137" s="13">
        <f>'Standardized Values'!L137/L$2</f>
        <v>0.15</v>
      </c>
      <c r="M137" s="4" t="s">
        <v>458</v>
      </c>
      <c r="N137" s="2" t="s">
        <v>1128</v>
      </c>
      <c r="O137" s="2"/>
      <c r="P137" s="2"/>
      <c r="Q137" s="2"/>
      <c r="R137" s="2"/>
      <c r="S137" s="2"/>
      <c r="T137" s="2"/>
      <c r="U137" s="2"/>
      <c r="V137" s="2"/>
      <c r="W137" s="2"/>
      <c r="X137" s="2"/>
      <c r="Y137" s="2"/>
      <c r="Z137" s="2"/>
    </row>
    <row r="138" spans="1:26" ht="19.5" customHeight="1">
      <c r="A138" s="4" t="s">
        <v>459</v>
      </c>
      <c r="B138" s="4" t="s">
        <v>460</v>
      </c>
      <c r="C138" s="6">
        <v>3</v>
      </c>
      <c r="D138" s="4" t="s">
        <v>440</v>
      </c>
      <c r="E138" s="13">
        <f>'Standardized Values'!E138/E$2</f>
        <v>8.5000000000000006E-2</v>
      </c>
      <c r="F138" s="13">
        <f>'Standardized Values'!F138/F$2</f>
        <v>3.6363636363636364E-3</v>
      </c>
      <c r="G138" s="13">
        <f>'Standardized Values'!G138/G$2</f>
        <v>0.21568627450980393</v>
      </c>
      <c r="H138" s="13">
        <f>'Standardized Values'!H138/H$2</f>
        <v>0.23140495867768596</v>
      </c>
      <c r="I138" s="13">
        <f>'Standardized Values'!I138/I$2</f>
        <v>0</v>
      </c>
      <c r="J138" s="13">
        <f>'Standardized Values'!J138/J$2</f>
        <v>0.17391304347826086</v>
      </c>
      <c r="K138" s="13">
        <f>'Standardized Values'!K138/K$2</f>
        <v>0</v>
      </c>
      <c r="L138" s="13">
        <f>'Standardized Values'!L138/L$2</f>
        <v>0.13333333333333333</v>
      </c>
      <c r="M138" s="4" t="s">
        <v>461</v>
      </c>
      <c r="N138" s="2" t="s">
        <v>1128</v>
      </c>
      <c r="O138" s="2"/>
      <c r="P138" s="2"/>
      <c r="Q138" s="2"/>
      <c r="R138" s="2"/>
      <c r="S138" s="2"/>
      <c r="T138" s="2"/>
      <c r="U138" s="2"/>
      <c r="V138" s="2"/>
      <c r="W138" s="2"/>
      <c r="X138" s="2"/>
      <c r="Y138" s="2"/>
      <c r="Z138" s="2"/>
    </row>
    <row r="139" spans="1:26" ht="19.5" customHeight="1">
      <c r="A139" s="4" t="s">
        <v>462</v>
      </c>
      <c r="B139" s="4" t="s">
        <v>463</v>
      </c>
      <c r="C139" s="7" t="s">
        <v>457</v>
      </c>
      <c r="D139" s="4" t="s">
        <v>205</v>
      </c>
      <c r="E139" s="13">
        <f>'Standardized Values'!E139/E$2</f>
        <v>9.5000000000000001E-2</v>
      </c>
      <c r="F139" s="13">
        <f>'Standardized Values'!F139/F$2</f>
        <v>6.545454545454546E-2</v>
      </c>
      <c r="G139" s="13">
        <f>'Standardized Values'!G139/G$2</f>
        <v>0.23529411764705882</v>
      </c>
      <c r="H139" s="13">
        <f>'Standardized Values'!H139/H$2</f>
        <v>0.13223140495867769</v>
      </c>
      <c r="I139" s="13">
        <f>'Standardized Values'!I139/I$2</f>
        <v>0</v>
      </c>
      <c r="J139" s="13">
        <f>'Standardized Values'!J139/J$2</f>
        <v>0.18260869565217391</v>
      </c>
      <c r="K139" s="13">
        <f>'Standardized Values'!K139/K$2</f>
        <v>3.6363636363636362E-2</v>
      </c>
      <c r="L139" s="13">
        <f>'Standardized Values'!L139/L$2</f>
        <v>0.13333333333333333</v>
      </c>
      <c r="M139" s="4" t="s">
        <v>464</v>
      </c>
      <c r="N139" s="2" t="s">
        <v>1128</v>
      </c>
      <c r="O139" s="2"/>
      <c r="P139" s="2"/>
      <c r="Q139" s="2"/>
      <c r="R139" s="2"/>
      <c r="S139" s="2"/>
      <c r="T139" s="2"/>
      <c r="U139" s="2"/>
      <c r="V139" s="2"/>
      <c r="W139" s="2"/>
      <c r="X139" s="2"/>
      <c r="Y139" s="2"/>
      <c r="Z139" s="2"/>
    </row>
    <row r="140" spans="1:26" ht="19.5" customHeight="1">
      <c r="A140" s="4" t="s">
        <v>465</v>
      </c>
      <c r="B140" s="4" t="s">
        <v>466</v>
      </c>
      <c r="C140" s="6">
        <v>3</v>
      </c>
      <c r="D140" s="4" t="s">
        <v>467</v>
      </c>
      <c r="E140" s="13">
        <f>'Standardized Values'!E140/E$2</f>
        <v>3.5000000000000003E-2</v>
      </c>
      <c r="F140" s="13">
        <f>'Standardized Values'!F140/F$2</f>
        <v>5.0909090909090911E-2</v>
      </c>
      <c r="G140" s="13">
        <f>'Standardized Values'!G140/G$2</f>
        <v>3.9215686274509803E-2</v>
      </c>
      <c r="H140" s="13">
        <f>'Standardized Values'!H140/H$2</f>
        <v>0</v>
      </c>
      <c r="I140" s="13">
        <f>'Standardized Values'!I140/I$2</f>
        <v>0</v>
      </c>
      <c r="J140" s="13">
        <f>'Standardized Values'!J140/J$2</f>
        <v>3.6956521739130437E-2</v>
      </c>
      <c r="K140" s="13">
        <f>'Standardized Values'!K140/K$2</f>
        <v>7.2727272727272724E-2</v>
      </c>
      <c r="L140" s="13">
        <f>'Standardized Values'!L140/L$2</f>
        <v>0</v>
      </c>
      <c r="M140" s="4" t="s">
        <v>468</v>
      </c>
      <c r="N140" s="2" t="s">
        <v>1126</v>
      </c>
      <c r="O140" s="2"/>
      <c r="P140" s="2"/>
      <c r="Q140" s="2"/>
      <c r="R140" s="2"/>
      <c r="S140" s="2"/>
      <c r="T140" s="2"/>
      <c r="U140" s="2"/>
      <c r="V140" s="2"/>
      <c r="W140" s="2"/>
      <c r="X140" s="2"/>
      <c r="Y140" s="2"/>
      <c r="Z140" s="2"/>
    </row>
    <row r="141" spans="1:26" ht="19.5" customHeight="1">
      <c r="A141" s="4" t="s">
        <v>469</v>
      </c>
      <c r="B141" s="4" t="s">
        <v>470</v>
      </c>
      <c r="C141" s="6">
        <v>2</v>
      </c>
      <c r="D141" s="4" t="s">
        <v>31</v>
      </c>
      <c r="E141" s="13">
        <f>'Standardized Values'!E141/E$2</f>
        <v>0.1</v>
      </c>
      <c r="F141" s="13">
        <f>'Standardized Values'!F141/F$2</f>
        <v>0.08</v>
      </c>
      <c r="G141" s="13">
        <f>'Standardized Values'!G141/G$2</f>
        <v>3.9215686274509803E-2</v>
      </c>
      <c r="H141" s="13">
        <f>'Standardized Values'!H141/H$2</f>
        <v>0.19834710743801653</v>
      </c>
      <c r="I141" s="13">
        <f>'Standardized Values'!I141/I$2</f>
        <v>0.68852459016393441</v>
      </c>
      <c r="J141" s="13">
        <f>'Standardized Values'!J141/J$2</f>
        <v>1.5217391304347827E-2</v>
      </c>
      <c r="K141" s="13">
        <f>'Standardized Values'!K141/K$2</f>
        <v>3.6363636363636362E-2</v>
      </c>
      <c r="L141" s="13">
        <f>'Standardized Values'!L141/L$2</f>
        <v>0</v>
      </c>
      <c r="M141" s="4" t="s">
        <v>471</v>
      </c>
      <c r="N141" s="2" t="s">
        <v>1126</v>
      </c>
      <c r="O141" s="2"/>
      <c r="P141" s="2"/>
      <c r="Q141" s="2"/>
      <c r="R141" s="2"/>
      <c r="S141" s="2"/>
      <c r="T141" s="2"/>
      <c r="U141" s="2"/>
      <c r="V141" s="2"/>
      <c r="W141" s="2"/>
      <c r="X141" s="2"/>
      <c r="Y141" s="2"/>
      <c r="Z141" s="2"/>
    </row>
    <row r="142" spans="1:26" ht="19.5" customHeight="1">
      <c r="A142" s="4" t="s">
        <v>472</v>
      </c>
      <c r="B142" s="4" t="s">
        <v>473</v>
      </c>
      <c r="C142" s="6">
        <v>2</v>
      </c>
      <c r="D142" s="4" t="s">
        <v>474</v>
      </c>
      <c r="E142" s="13">
        <f>'Standardized Values'!E142/E$2</f>
        <v>4.4999999999999998E-2</v>
      </c>
      <c r="F142" s="13">
        <f>'Standardized Values'!F142/F$2</f>
        <v>5.0909090909090911E-2</v>
      </c>
      <c r="G142" s="13">
        <f>'Standardized Values'!G142/G$2</f>
        <v>3.9215686274509803E-2</v>
      </c>
      <c r="H142" s="13">
        <f>'Standardized Values'!H142/H$2</f>
        <v>4.1322314049586778E-2</v>
      </c>
      <c r="I142" s="13">
        <f>'Standardized Values'!I142/I$2</f>
        <v>0</v>
      </c>
      <c r="J142" s="13">
        <f>'Standardized Values'!J142/J$2</f>
        <v>9.1304347826086957E-2</v>
      </c>
      <c r="K142" s="13">
        <f>'Standardized Values'!K142/K$2</f>
        <v>0.10909090909090909</v>
      </c>
      <c r="L142" s="13">
        <f>'Standardized Values'!L142/L$2</f>
        <v>0</v>
      </c>
      <c r="M142" s="4" t="s">
        <v>475</v>
      </c>
      <c r="N142" s="2" t="s">
        <v>1126</v>
      </c>
      <c r="O142" s="2"/>
      <c r="P142" s="2"/>
      <c r="Q142" s="2"/>
      <c r="R142" s="2"/>
      <c r="S142" s="2"/>
      <c r="T142" s="2"/>
      <c r="U142" s="2"/>
      <c r="V142" s="2"/>
      <c r="W142" s="2"/>
      <c r="X142" s="2"/>
      <c r="Y142" s="2"/>
      <c r="Z142" s="2"/>
    </row>
    <row r="143" spans="1:26" ht="19.5" customHeight="1">
      <c r="A143" s="4" t="s">
        <v>476</v>
      </c>
      <c r="B143" s="4" t="s">
        <v>477</v>
      </c>
      <c r="C143" s="6">
        <v>2</v>
      </c>
      <c r="D143" s="4" t="s">
        <v>31</v>
      </c>
      <c r="E143" s="13">
        <f>'Standardized Values'!E143/E$2</f>
        <v>0.04</v>
      </c>
      <c r="F143" s="13">
        <f>'Standardized Values'!F143/F$2</f>
        <v>0</v>
      </c>
      <c r="G143" s="13">
        <f>'Standardized Values'!G143/G$2</f>
        <v>1.9607843137254902E-2</v>
      </c>
      <c r="H143" s="13">
        <f>'Standardized Values'!H143/H$2</f>
        <v>0.13223140495867769</v>
      </c>
      <c r="I143" s="13">
        <f>'Standardized Values'!I143/I$2</f>
        <v>0</v>
      </c>
      <c r="J143" s="13">
        <f>'Standardized Values'!J143/J$2</f>
        <v>3.2608695652173912E-2</v>
      </c>
      <c r="K143" s="13">
        <f>'Standardized Values'!K143/K$2</f>
        <v>0</v>
      </c>
      <c r="L143" s="13">
        <f>'Standardized Values'!L143/L$2</f>
        <v>8.3333333333333329E-2</v>
      </c>
      <c r="M143" s="4" t="s">
        <v>478</v>
      </c>
      <c r="N143" s="2" t="s">
        <v>1126</v>
      </c>
      <c r="O143" s="2"/>
      <c r="P143" s="2"/>
      <c r="Q143" s="2"/>
      <c r="R143" s="2"/>
      <c r="S143" s="2"/>
      <c r="T143" s="2"/>
      <c r="U143" s="2"/>
      <c r="V143" s="2"/>
      <c r="W143" s="2"/>
      <c r="X143" s="2"/>
      <c r="Y143" s="2"/>
      <c r="Z143" s="2"/>
    </row>
    <row r="144" spans="1:26" ht="19.5" customHeight="1">
      <c r="A144" s="4" t="s">
        <v>479</v>
      </c>
      <c r="B144" s="4" t="s">
        <v>480</v>
      </c>
      <c r="C144" s="6">
        <v>2</v>
      </c>
      <c r="D144" s="4" t="s">
        <v>31</v>
      </c>
      <c r="E144" s="13">
        <f>'Standardized Values'!E144/E$2</f>
        <v>9.5000000000000001E-2</v>
      </c>
      <c r="F144" s="13">
        <f>'Standardized Values'!F144/F$2</f>
        <v>2.9090909090909091E-2</v>
      </c>
      <c r="G144" s="13">
        <f>'Standardized Values'!G144/G$2</f>
        <v>0.13725490196078433</v>
      </c>
      <c r="H144" s="13">
        <f>'Standardized Values'!H144/H$2</f>
        <v>0.26446280991735538</v>
      </c>
      <c r="I144" s="13">
        <f>'Standardized Values'!I144/I$2</f>
        <v>0.13114754098360656</v>
      </c>
      <c r="J144" s="13">
        <f>'Standardized Values'!J144/J$2</f>
        <v>3.4782608695652174E-2</v>
      </c>
      <c r="K144" s="13">
        <f>'Standardized Values'!K144/K$2</f>
        <v>0.10909090909090909</v>
      </c>
      <c r="L144" s="13">
        <f>'Standardized Values'!L144/L$2</f>
        <v>0</v>
      </c>
      <c r="M144" s="4" t="s">
        <v>481</v>
      </c>
      <c r="N144" s="2" t="s">
        <v>1126</v>
      </c>
      <c r="O144" s="2"/>
      <c r="P144" s="2"/>
      <c r="Q144" s="2"/>
      <c r="R144" s="2"/>
      <c r="S144" s="2"/>
      <c r="T144" s="2"/>
      <c r="U144" s="2"/>
      <c r="V144" s="2"/>
      <c r="W144" s="2"/>
      <c r="X144" s="2"/>
      <c r="Y144" s="2"/>
      <c r="Z144" s="2"/>
    </row>
    <row r="145" spans="1:26" ht="19.5" customHeight="1">
      <c r="A145" s="4" t="s">
        <v>482</v>
      </c>
      <c r="B145" s="4" t="s">
        <v>483</v>
      </c>
      <c r="C145" s="6">
        <v>2</v>
      </c>
      <c r="D145" s="4" t="s">
        <v>205</v>
      </c>
      <c r="E145" s="13">
        <f>'Standardized Values'!E145/E$2</f>
        <v>9.5000000000000001E-2</v>
      </c>
      <c r="F145" s="13">
        <f>'Standardized Values'!F145/F$2</f>
        <v>0.11636363636363636</v>
      </c>
      <c r="G145" s="13">
        <f>'Standardized Values'!G145/G$2</f>
        <v>0.27450980392156865</v>
      </c>
      <c r="H145" s="13">
        <f>'Standardized Values'!H145/H$2</f>
        <v>5.7851239669421489E-2</v>
      </c>
      <c r="I145" s="13">
        <f>'Standardized Values'!I145/I$2</f>
        <v>0.16393442622950818</v>
      </c>
      <c r="J145" s="13">
        <f>'Standardized Values'!J145/J$2</f>
        <v>2.6086956521739129E-2</v>
      </c>
      <c r="K145" s="13">
        <f>'Standardized Values'!K145/K$2</f>
        <v>0.29090909090909089</v>
      </c>
      <c r="L145" s="13">
        <f>'Standardized Values'!L145/L$2</f>
        <v>0</v>
      </c>
      <c r="M145" s="4" t="s">
        <v>484</v>
      </c>
      <c r="N145" s="2" t="s">
        <v>1127</v>
      </c>
      <c r="O145" s="2"/>
      <c r="P145" s="2"/>
      <c r="Q145" s="2"/>
      <c r="R145" s="2"/>
      <c r="S145" s="2"/>
      <c r="T145" s="2"/>
      <c r="U145" s="2"/>
      <c r="V145" s="2"/>
      <c r="W145" s="2"/>
      <c r="X145" s="2"/>
      <c r="Y145" s="2"/>
      <c r="Z145" s="2"/>
    </row>
    <row r="146" spans="1:26" ht="19.5" customHeight="1">
      <c r="A146" s="4" t="s">
        <v>485</v>
      </c>
      <c r="B146" s="4" t="s">
        <v>486</v>
      </c>
      <c r="C146" s="7" t="s">
        <v>112</v>
      </c>
      <c r="D146" s="4" t="s">
        <v>205</v>
      </c>
      <c r="E146" s="13">
        <f>'Standardized Values'!E146/E$2</f>
        <v>0.09</v>
      </c>
      <c r="F146" s="13">
        <f>'Standardized Values'!F146/F$2</f>
        <v>7.2727272727272724E-2</v>
      </c>
      <c r="G146" s="13">
        <f>'Standardized Values'!G146/G$2</f>
        <v>0.47058823529411764</v>
      </c>
      <c r="H146" s="13">
        <f>'Standardized Values'!H146/H$2</f>
        <v>5.7851239669421489E-2</v>
      </c>
      <c r="I146" s="13">
        <f>'Standardized Values'!I146/I$2</f>
        <v>9.8360655737704916E-2</v>
      </c>
      <c r="J146" s="13">
        <f>'Standardized Values'!J146/J$2</f>
        <v>0</v>
      </c>
      <c r="K146" s="13">
        <f>'Standardized Values'!K146/K$2</f>
        <v>0.47272727272727272</v>
      </c>
      <c r="L146" s="13">
        <f>'Standardized Values'!L146/L$2</f>
        <v>0</v>
      </c>
      <c r="M146" s="4" t="s">
        <v>492</v>
      </c>
      <c r="N146" s="2" t="s">
        <v>1128</v>
      </c>
      <c r="O146" s="2"/>
      <c r="P146" s="2"/>
      <c r="Q146" s="2"/>
      <c r="R146" s="2"/>
      <c r="S146" s="2"/>
      <c r="T146" s="2"/>
      <c r="U146" s="2"/>
      <c r="V146" s="2"/>
      <c r="W146" s="2"/>
      <c r="X146" s="2"/>
      <c r="Y146" s="2"/>
      <c r="Z146" s="2"/>
    </row>
    <row r="147" spans="1:26" ht="19.5" customHeight="1">
      <c r="A147" s="4" t="s">
        <v>493</v>
      </c>
      <c r="B147" s="4" t="s">
        <v>494</v>
      </c>
      <c r="C147" s="6">
        <v>2</v>
      </c>
      <c r="D147" s="4" t="s">
        <v>31</v>
      </c>
      <c r="E147" s="13">
        <f>'Standardized Values'!E147/E$2</f>
        <v>9.5000000000000001E-2</v>
      </c>
      <c r="F147" s="13">
        <f>'Standardized Values'!F147/F$2</f>
        <v>2.9090909090909091E-2</v>
      </c>
      <c r="G147" s="13">
        <f>'Standardized Values'!G147/G$2</f>
        <v>0.11764705882352941</v>
      </c>
      <c r="H147" s="13">
        <f>'Standardized Values'!H147/H$2</f>
        <v>0.26446280991735538</v>
      </c>
      <c r="I147" s="13">
        <f>'Standardized Values'!I147/I$2</f>
        <v>9.8360655737704916E-2</v>
      </c>
      <c r="J147" s="13">
        <f>'Standardized Values'!J147/J$2</f>
        <v>2.8260869565217391E-2</v>
      </c>
      <c r="K147" s="13">
        <f>'Standardized Values'!K147/K$2</f>
        <v>0.10909090909090909</v>
      </c>
      <c r="L147" s="13">
        <f>'Standardized Values'!L147/L$2</f>
        <v>0</v>
      </c>
      <c r="M147" s="4" t="s">
        <v>495</v>
      </c>
      <c r="N147" s="2" t="s">
        <v>1126</v>
      </c>
      <c r="O147" s="2"/>
      <c r="P147" s="2"/>
      <c r="Q147" s="2"/>
      <c r="R147" s="2"/>
      <c r="S147" s="2"/>
      <c r="T147" s="2"/>
      <c r="U147" s="2"/>
      <c r="V147" s="2"/>
      <c r="W147" s="2"/>
      <c r="X147" s="2"/>
      <c r="Y147" s="2"/>
      <c r="Z147" s="2"/>
    </row>
    <row r="148" spans="1:26" ht="19.5" customHeight="1">
      <c r="A148" s="4" t="s">
        <v>496</v>
      </c>
      <c r="B148" s="25" t="s">
        <v>497</v>
      </c>
      <c r="C148" s="6">
        <v>2</v>
      </c>
      <c r="D148" s="4" t="s">
        <v>31</v>
      </c>
      <c r="E148" s="13">
        <f>'Standardized Values'!E148/E$2</f>
        <v>4.4999999999999998E-2</v>
      </c>
      <c r="F148" s="13">
        <f>'Standardized Values'!F148/F$2</f>
        <v>1.090909090909091E-2</v>
      </c>
      <c r="G148" s="13">
        <f>'Standardized Values'!G148/G$2</f>
        <v>0</v>
      </c>
      <c r="H148" s="13">
        <f>'Standardized Values'!H148/H$2</f>
        <v>0.1487603305785124</v>
      </c>
      <c r="I148" s="13">
        <f>'Standardized Values'!I148/I$2</f>
        <v>6.5573770491803282E-2</v>
      </c>
      <c r="J148" s="13">
        <f>'Standardized Values'!J148/J$2</f>
        <v>7.3913043478260873E-2</v>
      </c>
      <c r="K148" s="13">
        <f>'Standardized Values'!K148/K$2</f>
        <v>0</v>
      </c>
      <c r="L148" s="13">
        <f>'Standardized Values'!L148/L$2</f>
        <v>0</v>
      </c>
      <c r="M148" s="4" t="s">
        <v>498</v>
      </c>
      <c r="N148" s="2" t="s">
        <v>1125</v>
      </c>
      <c r="O148" s="2"/>
      <c r="P148" s="2"/>
      <c r="Q148" s="2"/>
      <c r="R148" s="2"/>
      <c r="S148" s="2"/>
      <c r="T148" s="2"/>
      <c r="U148" s="2"/>
      <c r="V148" s="2"/>
      <c r="W148" s="2"/>
      <c r="X148" s="2"/>
      <c r="Y148" s="2"/>
      <c r="Z148" s="2"/>
    </row>
    <row r="149" spans="1:26" ht="19.5" customHeight="1">
      <c r="A149" s="4" t="s">
        <v>499</v>
      </c>
      <c r="B149" s="4" t="s">
        <v>500</v>
      </c>
      <c r="C149" s="7" t="s">
        <v>112</v>
      </c>
      <c r="D149" s="4" t="s">
        <v>31</v>
      </c>
      <c r="E149" s="13">
        <f>'Standardized Values'!E149/E$2</f>
        <v>0.06</v>
      </c>
      <c r="F149" s="13">
        <f>'Standardized Values'!F149/F$2</f>
        <v>3.6363636363636364E-3</v>
      </c>
      <c r="G149" s="13">
        <f>'Standardized Values'!G149/G$2</f>
        <v>0</v>
      </c>
      <c r="H149" s="13">
        <f>'Standardized Values'!H149/H$2</f>
        <v>0.21487603305785125</v>
      </c>
      <c r="I149" s="13">
        <f>'Standardized Values'!I149/I$2</f>
        <v>0</v>
      </c>
      <c r="J149" s="13">
        <f>'Standardized Values'!J149/J$2</f>
        <v>0.11304347826086956</v>
      </c>
      <c r="K149" s="13">
        <f>'Standardized Values'!K149/K$2</f>
        <v>0</v>
      </c>
      <c r="L149" s="13">
        <f>'Standardized Values'!L149/L$2</f>
        <v>0</v>
      </c>
      <c r="M149" s="4" t="s">
        <v>501</v>
      </c>
      <c r="N149" s="2" t="s">
        <v>1125</v>
      </c>
      <c r="O149" s="2"/>
      <c r="P149" s="2"/>
      <c r="Q149" s="2"/>
      <c r="R149" s="2"/>
      <c r="S149" s="2"/>
      <c r="T149" s="2"/>
      <c r="U149" s="2"/>
      <c r="V149" s="2"/>
      <c r="W149" s="2"/>
      <c r="X149" s="2"/>
      <c r="Y149" s="2"/>
      <c r="Z149" s="2"/>
    </row>
    <row r="150" spans="1:26" ht="19.5" customHeight="1">
      <c r="A150" s="4" t="s">
        <v>502</v>
      </c>
      <c r="B150" s="4" t="s">
        <v>503</v>
      </c>
      <c r="C150" s="6">
        <v>2</v>
      </c>
      <c r="D150" s="4" t="s">
        <v>31</v>
      </c>
      <c r="E150" s="13">
        <f>'Standardized Values'!E150/E$2</f>
        <v>0.06</v>
      </c>
      <c r="F150" s="13">
        <f>'Standardized Values'!F150/F$2</f>
        <v>7.2727272727272727E-3</v>
      </c>
      <c r="G150" s="13">
        <f>'Standardized Values'!G150/G$2</f>
        <v>1.9607843137254902E-2</v>
      </c>
      <c r="H150" s="13">
        <f>'Standardized Values'!H150/H$2</f>
        <v>0.19834710743801653</v>
      </c>
      <c r="I150" s="13">
        <f>'Standardized Values'!I150/I$2</f>
        <v>0</v>
      </c>
      <c r="J150" s="13">
        <f>'Standardized Values'!J150/J$2</f>
        <v>0.14782608695652175</v>
      </c>
      <c r="K150" s="13">
        <f>'Standardized Values'!K150/K$2</f>
        <v>0</v>
      </c>
      <c r="L150" s="13">
        <f>'Standardized Values'!L150/L$2</f>
        <v>0</v>
      </c>
      <c r="M150" s="4" t="s">
        <v>504</v>
      </c>
      <c r="N150" s="2" t="s">
        <v>1125</v>
      </c>
      <c r="O150" s="2"/>
      <c r="P150" s="2"/>
      <c r="Q150" s="2"/>
      <c r="R150" s="2"/>
      <c r="S150" s="2"/>
      <c r="T150" s="2"/>
      <c r="U150" s="2"/>
      <c r="V150" s="2"/>
      <c r="W150" s="2"/>
      <c r="X150" s="2"/>
      <c r="Y150" s="2"/>
      <c r="Z150" s="2"/>
    </row>
    <row r="151" spans="1:26" ht="19.5" customHeight="1">
      <c r="A151" s="4" t="s">
        <v>505</v>
      </c>
      <c r="B151" s="4" t="s">
        <v>506</v>
      </c>
      <c r="C151" s="7" t="s">
        <v>112</v>
      </c>
      <c r="D151" s="4" t="s">
        <v>31</v>
      </c>
      <c r="E151" s="13">
        <f>'Standardized Values'!E151/E$2</f>
        <v>0.09</v>
      </c>
      <c r="F151" s="13">
        <f>'Standardized Values'!F151/F$2</f>
        <v>2.5454545454545455E-2</v>
      </c>
      <c r="G151" s="13">
        <f>'Standardized Values'!G151/G$2</f>
        <v>0.13725490196078433</v>
      </c>
      <c r="H151" s="13">
        <f>'Standardized Values'!H151/H$2</f>
        <v>0.26446280991735538</v>
      </c>
      <c r="I151" s="13">
        <f>'Standardized Values'!I151/I$2</f>
        <v>3.2786885245901641E-2</v>
      </c>
      <c r="J151" s="13">
        <f>'Standardized Values'!J151/J$2</f>
        <v>0</v>
      </c>
      <c r="K151" s="13">
        <f>'Standardized Values'!K151/K$2</f>
        <v>0.14545454545454545</v>
      </c>
      <c r="L151" s="13">
        <f>'Standardized Values'!L151/L$2</f>
        <v>0</v>
      </c>
      <c r="M151" s="4" t="s">
        <v>507</v>
      </c>
      <c r="N151" s="2" t="s">
        <v>1126</v>
      </c>
      <c r="O151" s="2"/>
      <c r="P151" s="2"/>
      <c r="Q151" s="2"/>
      <c r="R151" s="2"/>
      <c r="S151" s="2"/>
      <c r="T151" s="2"/>
      <c r="U151" s="2"/>
      <c r="V151" s="2"/>
      <c r="W151" s="2"/>
      <c r="X151" s="2"/>
      <c r="Y151" s="2"/>
      <c r="Z151" s="2"/>
    </row>
    <row r="152" spans="1:26" ht="19.5" customHeight="1">
      <c r="A152" s="4" t="s">
        <v>508</v>
      </c>
      <c r="B152" s="4" t="s">
        <v>509</v>
      </c>
      <c r="C152" s="7" t="s">
        <v>112</v>
      </c>
      <c r="D152" s="4" t="s">
        <v>31</v>
      </c>
      <c r="E152" s="13">
        <f>'Standardized Values'!E152/E$2</f>
        <v>1.4999999999999999E-2</v>
      </c>
      <c r="F152" s="13">
        <f>'Standardized Values'!F152/F$2</f>
        <v>7.2727272727272727E-3</v>
      </c>
      <c r="G152" s="13">
        <f>'Standardized Values'!G152/G$2</f>
        <v>1.9607843137254902E-2</v>
      </c>
      <c r="H152" s="13">
        <f>'Standardized Values'!H152/H$2</f>
        <v>3.3057851239669422E-2</v>
      </c>
      <c r="I152" s="13">
        <f>'Standardized Values'!I152/I$2</f>
        <v>0</v>
      </c>
      <c r="J152" s="13">
        <f>'Standardized Values'!J152/J$2</f>
        <v>8.6956521739130432E-2</v>
      </c>
      <c r="K152" s="13">
        <f>'Standardized Values'!K152/K$2</f>
        <v>3.6363636363636362E-2</v>
      </c>
      <c r="L152" s="13">
        <f>'Standardized Values'!L152/L$2</f>
        <v>0</v>
      </c>
      <c r="M152" s="4" t="s">
        <v>510</v>
      </c>
      <c r="N152" s="2" t="s">
        <v>1125</v>
      </c>
      <c r="O152" s="2"/>
      <c r="P152" s="2"/>
      <c r="Q152" s="2"/>
      <c r="R152" s="2"/>
      <c r="S152" s="2"/>
      <c r="T152" s="2"/>
      <c r="U152" s="2"/>
      <c r="V152" s="2"/>
      <c r="W152" s="2"/>
      <c r="X152" s="2"/>
      <c r="Y152" s="2"/>
      <c r="Z152" s="2"/>
    </row>
    <row r="153" spans="1:26" ht="19.5" customHeight="1">
      <c r="A153" s="4" t="s">
        <v>511</v>
      </c>
      <c r="B153" s="4" t="s">
        <v>512</v>
      </c>
      <c r="C153" s="7" t="s">
        <v>112</v>
      </c>
      <c r="D153" s="4" t="s">
        <v>31</v>
      </c>
      <c r="E153" s="13">
        <f>'Standardized Values'!E153/E$2</f>
        <v>0.03</v>
      </c>
      <c r="F153" s="13">
        <f>'Standardized Values'!F153/F$2</f>
        <v>7.2727272727272727E-3</v>
      </c>
      <c r="G153" s="13">
        <f>'Standardized Values'!G153/G$2</f>
        <v>1.9607843137254902E-2</v>
      </c>
      <c r="H153" s="13">
        <f>'Standardized Values'!H153/H$2</f>
        <v>8.2644628099173556E-2</v>
      </c>
      <c r="I153" s="13">
        <f>'Standardized Values'!I153/I$2</f>
        <v>6.5573770491803282E-2</v>
      </c>
      <c r="J153" s="13">
        <f>'Standardized Values'!J153/J$2</f>
        <v>4.1304347826086954E-2</v>
      </c>
      <c r="K153" s="13">
        <f>'Standardized Values'!K153/K$2</f>
        <v>0</v>
      </c>
      <c r="L153" s="13">
        <f>'Standardized Values'!L153/L$2</f>
        <v>6.6666666666666666E-2</v>
      </c>
      <c r="M153" s="4" t="s">
        <v>513</v>
      </c>
      <c r="N153" s="2" t="s">
        <v>1126</v>
      </c>
      <c r="O153" s="2"/>
      <c r="P153" s="2"/>
      <c r="Q153" s="2"/>
      <c r="R153" s="2"/>
      <c r="S153" s="2"/>
      <c r="T153" s="2"/>
      <c r="U153" s="2"/>
      <c r="V153" s="2"/>
      <c r="W153" s="2"/>
      <c r="X153" s="2"/>
      <c r="Y153" s="2"/>
      <c r="Z153" s="2"/>
    </row>
    <row r="154" spans="1:26" ht="19.5" customHeight="1">
      <c r="A154" s="4" t="s">
        <v>514</v>
      </c>
      <c r="B154" s="4" t="s">
        <v>515</v>
      </c>
      <c r="C154" s="6">
        <v>2</v>
      </c>
      <c r="D154" s="4" t="s">
        <v>440</v>
      </c>
      <c r="E154" s="13">
        <f>'Standardized Values'!E154/E$2</f>
        <v>6.5000000000000002E-2</v>
      </c>
      <c r="F154" s="13">
        <f>'Standardized Values'!F154/F$2</f>
        <v>3.6363636363636364E-3</v>
      </c>
      <c r="G154" s="13">
        <f>'Standardized Values'!G154/G$2</f>
        <v>0.13725490196078433</v>
      </c>
      <c r="H154" s="13">
        <f>'Standardized Values'!H154/H$2</f>
        <v>0.18181818181818182</v>
      </c>
      <c r="I154" s="13">
        <f>'Standardized Values'!I154/I$2</f>
        <v>3.2786885245901641E-2</v>
      </c>
      <c r="J154" s="13">
        <f>'Standardized Values'!J154/J$2</f>
        <v>0.17826086956521739</v>
      </c>
      <c r="K154" s="13">
        <f>'Standardized Values'!K154/K$2</f>
        <v>0</v>
      </c>
      <c r="L154" s="13">
        <f>'Standardized Values'!L154/L$2</f>
        <v>8.3333333333333329E-2</v>
      </c>
      <c r="M154" s="4" t="s">
        <v>516</v>
      </c>
      <c r="N154" s="2" t="s">
        <v>1128</v>
      </c>
      <c r="O154" s="2"/>
      <c r="P154" s="2"/>
      <c r="Q154" s="2"/>
      <c r="R154" s="2"/>
      <c r="S154" s="2"/>
      <c r="T154" s="2"/>
      <c r="U154" s="2"/>
      <c r="V154" s="2"/>
      <c r="W154" s="2"/>
      <c r="X154" s="2"/>
      <c r="Y154" s="2"/>
      <c r="Z154" s="2"/>
    </row>
    <row r="155" spans="1:26" ht="19.5" customHeight="1">
      <c r="A155" s="4" t="s">
        <v>517</v>
      </c>
      <c r="B155" s="4" t="s">
        <v>518</v>
      </c>
      <c r="C155" s="6">
        <v>2</v>
      </c>
      <c r="D155" s="4" t="s">
        <v>31</v>
      </c>
      <c r="E155" s="13">
        <f>'Standardized Values'!E155/E$2</f>
        <v>0.1075</v>
      </c>
      <c r="F155" s="13">
        <f>'Standardized Values'!F155/F$2</f>
        <v>1.4545454545454545E-2</v>
      </c>
      <c r="G155" s="13">
        <f>'Standardized Values'!G155/G$2</f>
        <v>0.15686274509803921</v>
      </c>
      <c r="H155" s="13">
        <f>'Standardized Values'!H155/H$2</f>
        <v>0.31404958677685951</v>
      </c>
      <c r="I155" s="13">
        <f>'Standardized Values'!I155/I$2</f>
        <v>0</v>
      </c>
      <c r="J155" s="13">
        <f>'Standardized Values'!J155/J$2</f>
        <v>1.9565217391304349E-2</v>
      </c>
      <c r="K155" s="13">
        <f>'Standardized Values'!K155/K$2</f>
        <v>0.14545454545454545</v>
      </c>
      <c r="L155" s="13">
        <f>'Standardized Values'!L155/L$2</f>
        <v>0</v>
      </c>
      <c r="M155" s="4" t="s">
        <v>519</v>
      </c>
      <c r="N155" s="2" t="s">
        <v>1126</v>
      </c>
      <c r="O155" s="2"/>
      <c r="P155" s="2"/>
      <c r="Q155" s="2"/>
      <c r="R155" s="2"/>
      <c r="S155" s="2"/>
      <c r="T155" s="2"/>
      <c r="U155" s="2"/>
      <c r="V155" s="2"/>
      <c r="W155" s="2"/>
      <c r="X155" s="2"/>
      <c r="Y155" s="2"/>
      <c r="Z155" s="2"/>
    </row>
    <row r="156" spans="1:26" ht="19.5" customHeight="1">
      <c r="A156" s="4" t="s">
        <v>520</v>
      </c>
      <c r="B156" s="4" t="s">
        <v>521</v>
      </c>
      <c r="C156" s="6">
        <v>2</v>
      </c>
      <c r="D156" s="4" t="s">
        <v>31</v>
      </c>
      <c r="E156" s="13">
        <f>'Standardized Values'!E156/E$2</f>
        <v>8.5000000000000006E-2</v>
      </c>
      <c r="F156" s="13">
        <f>'Standardized Values'!F156/F$2</f>
        <v>5.4545454545454543E-2</v>
      </c>
      <c r="G156" s="13">
        <f>'Standardized Values'!G156/G$2</f>
        <v>9.8039215686274508E-2</v>
      </c>
      <c r="H156" s="13">
        <f>'Standardized Values'!H156/H$2</f>
        <v>0.18181818181818182</v>
      </c>
      <c r="I156" s="13">
        <f>'Standardized Values'!I156/I$2</f>
        <v>0.32786885245901637</v>
      </c>
      <c r="J156" s="13">
        <f>'Standardized Values'!J156/J$2</f>
        <v>0</v>
      </c>
      <c r="K156" s="13">
        <f>'Standardized Values'!K156/K$2</f>
        <v>0.10909090909090909</v>
      </c>
      <c r="L156" s="13">
        <f>'Standardized Values'!L156/L$2</f>
        <v>0</v>
      </c>
      <c r="M156" s="4" t="s">
        <v>522</v>
      </c>
      <c r="N156" s="2" t="s">
        <v>1126</v>
      </c>
      <c r="O156" s="2"/>
      <c r="P156" s="2"/>
      <c r="Q156" s="2"/>
      <c r="R156" s="2"/>
      <c r="S156" s="2"/>
      <c r="T156" s="2"/>
      <c r="U156" s="2"/>
      <c r="V156" s="2"/>
      <c r="W156" s="2"/>
      <c r="X156" s="2"/>
      <c r="Y156" s="2"/>
      <c r="Z156" s="2"/>
    </row>
    <row r="157" spans="1:26" ht="19.5" customHeight="1">
      <c r="A157" s="4" t="s">
        <v>523</v>
      </c>
      <c r="B157" s="4" t="s">
        <v>524</v>
      </c>
      <c r="C157" s="6">
        <v>2</v>
      </c>
      <c r="D157" s="4" t="s">
        <v>31</v>
      </c>
      <c r="E157" s="13">
        <f>'Standardized Values'!E157/E$2</f>
        <v>9.5000000000000001E-2</v>
      </c>
      <c r="F157" s="13">
        <f>'Standardized Values'!F157/F$2</f>
        <v>1.090909090909091E-2</v>
      </c>
      <c r="G157" s="13">
        <f>'Standardized Values'!G157/G$2</f>
        <v>0.11764705882352941</v>
      </c>
      <c r="H157" s="13">
        <f>'Standardized Values'!H157/H$2</f>
        <v>0.28099173553719009</v>
      </c>
      <c r="I157" s="13">
        <f>'Standardized Values'!I157/I$2</f>
        <v>0</v>
      </c>
      <c r="J157" s="13">
        <f>'Standardized Values'!J157/J$2</f>
        <v>0</v>
      </c>
      <c r="K157" s="13">
        <f>'Standardized Values'!K157/K$2</f>
        <v>0</v>
      </c>
      <c r="L157" s="13">
        <f>'Standardized Values'!L157/L$2</f>
        <v>0</v>
      </c>
      <c r="M157" s="4" t="s">
        <v>525</v>
      </c>
      <c r="N157" s="2" t="s">
        <v>1126</v>
      </c>
      <c r="O157" s="2"/>
      <c r="P157" s="2"/>
      <c r="Q157" s="2"/>
      <c r="R157" s="2"/>
      <c r="S157" s="2"/>
      <c r="T157" s="2"/>
      <c r="U157" s="2"/>
      <c r="V157" s="2"/>
      <c r="W157" s="2"/>
      <c r="X157" s="2"/>
      <c r="Y157" s="2"/>
      <c r="Z157" s="2"/>
    </row>
    <row r="158" spans="1:26" ht="19.5" customHeight="1">
      <c r="A158" s="4" t="s">
        <v>526</v>
      </c>
      <c r="B158" s="4" t="s">
        <v>527</v>
      </c>
      <c r="C158" s="6">
        <v>2</v>
      </c>
      <c r="D158" s="4" t="s">
        <v>31</v>
      </c>
      <c r="E158" s="13">
        <f>'Standardized Values'!E158/E$2</f>
        <v>0.1075</v>
      </c>
      <c r="F158" s="13">
        <f>'Standardized Values'!F158/F$2</f>
        <v>5.4545454545454543E-2</v>
      </c>
      <c r="G158" s="13">
        <f>'Standardized Values'!G158/G$2</f>
        <v>7.8431372549019607E-2</v>
      </c>
      <c r="H158" s="13">
        <f>'Standardized Values'!H158/H$2</f>
        <v>0.19834710743801653</v>
      </c>
      <c r="I158" s="13">
        <f>'Standardized Values'!I158/I$2</f>
        <v>9.8360655737704916E-2</v>
      </c>
      <c r="J158" s="13">
        <f>'Standardized Values'!J158/J$2</f>
        <v>8.6956521739130436E-3</v>
      </c>
      <c r="K158" s="13">
        <f>'Standardized Values'!K158/K$2</f>
        <v>0.14545454545454545</v>
      </c>
      <c r="L158" s="13">
        <f>'Standardized Values'!L158/L$2</f>
        <v>0</v>
      </c>
      <c r="M158" s="4" t="s">
        <v>528</v>
      </c>
      <c r="N158" s="2" t="s">
        <v>1126</v>
      </c>
      <c r="O158" s="2"/>
      <c r="P158" s="2"/>
      <c r="Q158" s="2"/>
      <c r="R158" s="2"/>
      <c r="S158" s="2"/>
      <c r="T158" s="2"/>
      <c r="U158" s="2"/>
      <c r="V158" s="2"/>
      <c r="W158" s="2"/>
      <c r="X158" s="2"/>
      <c r="Y158" s="2"/>
      <c r="Z158" s="2"/>
    </row>
    <row r="159" spans="1:26" ht="19.5" customHeight="1">
      <c r="A159" s="4" t="s">
        <v>529</v>
      </c>
      <c r="B159" s="4" t="s">
        <v>530</v>
      </c>
      <c r="C159" s="6">
        <v>2</v>
      </c>
      <c r="D159" s="4" t="s">
        <v>236</v>
      </c>
      <c r="E159" s="13">
        <f>'Standardized Values'!E159/E$2</f>
        <v>0.06</v>
      </c>
      <c r="F159" s="13">
        <f>'Standardized Values'!F159/F$2</f>
        <v>4.363636363636364E-2</v>
      </c>
      <c r="G159" s="13">
        <f>'Standardized Values'!G159/G$2</f>
        <v>0.31372549019607843</v>
      </c>
      <c r="H159" s="13">
        <f>'Standardized Values'!H159/H$2</f>
        <v>2.4793388429752067E-2</v>
      </c>
      <c r="I159" s="13">
        <f>'Standardized Values'!I159/I$2</f>
        <v>0</v>
      </c>
      <c r="J159" s="13">
        <f>'Standardized Values'!J159/J$2</f>
        <v>0.16956521739130434</v>
      </c>
      <c r="K159" s="13">
        <f>'Standardized Values'!K159/K$2</f>
        <v>3.6363636363636362E-2</v>
      </c>
      <c r="L159" s="13">
        <f>'Standardized Values'!L159/L$2</f>
        <v>0.13333333333333333</v>
      </c>
      <c r="M159" s="4" t="s">
        <v>531</v>
      </c>
      <c r="N159" s="2" t="s">
        <v>1128</v>
      </c>
      <c r="O159" s="2"/>
      <c r="P159" s="2"/>
      <c r="Q159" s="2"/>
      <c r="R159" s="2"/>
      <c r="S159" s="2"/>
      <c r="T159" s="2"/>
      <c r="U159" s="2"/>
      <c r="V159" s="2"/>
      <c r="W159" s="2"/>
      <c r="X159" s="2"/>
      <c r="Y159" s="2"/>
      <c r="Z159" s="2"/>
    </row>
    <row r="160" spans="1:26" ht="19.5" customHeight="1">
      <c r="A160" s="4" t="s">
        <v>532</v>
      </c>
      <c r="B160" s="4" t="s">
        <v>533</v>
      </c>
      <c r="C160" s="6">
        <v>2</v>
      </c>
      <c r="D160" s="4" t="s">
        <v>534</v>
      </c>
      <c r="E160" s="13">
        <f>'Standardized Values'!E160/E$2</f>
        <v>6.5000000000000002E-2</v>
      </c>
      <c r="F160" s="13">
        <f>'Standardized Values'!F160/F$2</f>
        <v>8.727272727272728E-2</v>
      </c>
      <c r="G160" s="13">
        <f>'Standardized Values'!G160/G$2</f>
        <v>1.9607843137254902E-2</v>
      </c>
      <c r="H160" s="13">
        <f>'Standardized Values'!H160/H$2</f>
        <v>4.9586776859504134E-2</v>
      </c>
      <c r="I160" s="13">
        <f>'Standardized Values'!I160/I$2</f>
        <v>3.2786885245901641E-2</v>
      </c>
      <c r="J160" s="13">
        <f>'Standardized Values'!J160/J$2</f>
        <v>0.10434782608695652</v>
      </c>
      <c r="K160" s="13">
        <f>'Standardized Values'!K160/K$2</f>
        <v>0.10909090909090909</v>
      </c>
      <c r="L160" s="13">
        <f>'Standardized Values'!L160/L$2</f>
        <v>0</v>
      </c>
      <c r="M160" s="4" t="s">
        <v>535</v>
      </c>
      <c r="N160" s="2" t="s">
        <v>1127</v>
      </c>
      <c r="O160" s="2"/>
      <c r="P160" s="2"/>
      <c r="Q160" s="2"/>
      <c r="R160" s="2"/>
      <c r="S160" s="2"/>
      <c r="T160" s="2"/>
      <c r="U160" s="2"/>
      <c r="V160" s="2"/>
      <c r="W160" s="2"/>
      <c r="X160" s="2"/>
      <c r="Y160" s="2"/>
      <c r="Z160" s="2"/>
    </row>
    <row r="161" spans="1:26" ht="19.5" customHeight="1">
      <c r="A161" s="4" t="s">
        <v>536</v>
      </c>
      <c r="B161" s="4" t="s">
        <v>537</v>
      </c>
      <c r="C161" s="6">
        <v>2</v>
      </c>
      <c r="D161" s="4" t="s">
        <v>76</v>
      </c>
      <c r="E161" s="13">
        <f>'Standardized Values'!E161/E$2</f>
        <v>0.01</v>
      </c>
      <c r="F161" s="13">
        <f>'Standardized Values'!F161/F$2</f>
        <v>7.2727272727272727E-3</v>
      </c>
      <c r="G161" s="13">
        <f>'Standardized Values'!G161/G$2</f>
        <v>0</v>
      </c>
      <c r="H161" s="13">
        <f>'Standardized Values'!H161/H$2</f>
        <v>2.4793388429752067E-2</v>
      </c>
      <c r="I161" s="13">
        <f>'Standardized Values'!I161/I$2</f>
        <v>0</v>
      </c>
      <c r="J161" s="13">
        <f>'Standardized Values'!J161/J$2</f>
        <v>0</v>
      </c>
      <c r="K161" s="13">
        <f>'Standardized Values'!K161/K$2</f>
        <v>0</v>
      </c>
      <c r="L161" s="13">
        <f>'Standardized Values'!L161/L$2</f>
        <v>0</v>
      </c>
      <c r="M161" s="4" t="s">
        <v>538</v>
      </c>
      <c r="N161" s="2" t="s">
        <v>1129</v>
      </c>
      <c r="O161" s="2"/>
      <c r="P161" s="2"/>
      <c r="Q161" s="2"/>
      <c r="R161" s="2"/>
      <c r="S161" s="2"/>
      <c r="T161" s="2"/>
      <c r="U161" s="2"/>
      <c r="V161" s="2"/>
      <c r="W161" s="2"/>
      <c r="X161" s="2"/>
      <c r="Y161" s="2"/>
      <c r="Z161" s="2"/>
    </row>
    <row r="162" spans="1:26" ht="19.5" customHeight="1">
      <c r="A162" s="4" t="s">
        <v>539</v>
      </c>
      <c r="B162" s="4" t="s">
        <v>540</v>
      </c>
      <c r="C162" s="6">
        <v>2</v>
      </c>
      <c r="D162" s="4" t="s">
        <v>76</v>
      </c>
      <c r="E162" s="13">
        <f>'Standardized Values'!E162/E$2</f>
        <v>0.01</v>
      </c>
      <c r="F162" s="13">
        <f>'Standardized Values'!F162/F$2</f>
        <v>7.2727272727272727E-3</v>
      </c>
      <c r="G162" s="13">
        <f>'Standardized Values'!G162/G$2</f>
        <v>0</v>
      </c>
      <c r="H162" s="13">
        <f>'Standardized Values'!H162/H$2</f>
        <v>2.4793388429752067E-2</v>
      </c>
      <c r="I162" s="13">
        <f>'Standardized Values'!I162/I$2</f>
        <v>0</v>
      </c>
      <c r="J162" s="13">
        <f>'Standardized Values'!J162/J$2</f>
        <v>0</v>
      </c>
      <c r="K162" s="13">
        <f>'Standardized Values'!K162/K$2</f>
        <v>0</v>
      </c>
      <c r="L162" s="13">
        <f>'Standardized Values'!L162/L$2</f>
        <v>0</v>
      </c>
      <c r="M162" s="4" t="s">
        <v>541</v>
      </c>
      <c r="N162" s="2" t="s">
        <v>1129</v>
      </c>
      <c r="O162" s="2"/>
      <c r="P162" s="2"/>
      <c r="Q162" s="2"/>
      <c r="R162" s="2"/>
      <c r="S162" s="2"/>
      <c r="T162" s="2"/>
      <c r="U162" s="2"/>
      <c r="V162" s="2"/>
      <c r="W162" s="2"/>
      <c r="X162" s="2"/>
      <c r="Y162" s="2"/>
      <c r="Z162" s="2"/>
    </row>
    <row r="163" spans="1:26" ht="19.5" customHeight="1">
      <c r="A163" s="4" t="s">
        <v>542</v>
      </c>
      <c r="B163" s="4" t="s">
        <v>543</v>
      </c>
      <c r="C163" s="7" t="s">
        <v>112</v>
      </c>
      <c r="D163" s="4" t="s">
        <v>544</v>
      </c>
      <c r="E163" s="13">
        <f>'Standardized Values'!E163/E$2</f>
        <v>7.0000000000000007E-2</v>
      </c>
      <c r="F163" s="13">
        <f>'Standardized Values'!F163/F$2</f>
        <v>0.11272727272727273</v>
      </c>
      <c r="G163" s="13">
        <f>'Standardized Values'!G163/G$2</f>
        <v>1.9607843137254902E-2</v>
      </c>
      <c r="H163" s="13">
        <f>'Standardized Values'!H163/H$2</f>
        <v>1.6528925619834711E-2</v>
      </c>
      <c r="I163" s="13">
        <f>'Standardized Values'!I163/I$2</f>
        <v>0.65573770491803274</v>
      </c>
      <c r="J163" s="13">
        <f>'Standardized Values'!J163/J$2</f>
        <v>6.5217391304347823E-3</v>
      </c>
      <c r="K163" s="13">
        <f>'Standardized Values'!K163/K$2</f>
        <v>0</v>
      </c>
      <c r="L163" s="13">
        <f>'Standardized Values'!L163/L$2</f>
        <v>0</v>
      </c>
      <c r="M163" s="4" t="s">
        <v>545</v>
      </c>
      <c r="N163" s="2" t="s">
        <v>1129</v>
      </c>
      <c r="O163" s="2"/>
      <c r="P163" s="2"/>
      <c r="Q163" s="2"/>
      <c r="R163" s="2"/>
      <c r="S163" s="2"/>
      <c r="T163" s="2"/>
      <c r="U163" s="2"/>
      <c r="V163" s="2"/>
      <c r="W163" s="2"/>
      <c r="X163" s="2"/>
      <c r="Y163" s="2"/>
      <c r="Z163" s="2"/>
    </row>
    <row r="164" spans="1:26" ht="19.5" customHeight="1">
      <c r="A164" s="4" t="s">
        <v>546</v>
      </c>
      <c r="B164" s="4" t="s">
        <v>547</v>
      </c>
      <c r="C164" s="6">
        <v>2</v>
      </c>
      <c r="D164" s="4" t="s">
        <v>76</v>
      </c>
      <c r="E164" s="13">
        <f>'Standardized Values'!E164/E$2</f>
        <v>0.01</v>
      </c>
      <c r="F164" s="13">
        <f>'Standardized Values'!F164/F$2</f>
        <v>7.2727272727272727E-3</v>
      </c>
      <c r="G164" s="13">
        <f>'Standardized Values'!G164/G$2</f>
        <v>0</v>
      </c>
      <c r="H164" s="13">
        <f>'Standardized Values'!H164/H$2</f>
        <v>2.4793388429752067E-2</v>
      </c>
      <c r="I164" s="13">
        <f>'Standardized Values'!I164/I$2</f>
        <v>0</v>
      </c>
      <c r="J164" s="13">
        <f>'Standardized Values'!J164/J$2</f>
        <v>0</v>
      </c>
      <c r="K164" s="13">
        <f>'Standardized Values'!K164/K$2</f>
        <v>0</v>
      </c>
      <c r="L164" s="13">
        <f>'Standardized Values'!L164/L$2</f>
        <v>0</v>
      </c>
      <c r="M164" s="4" t="s">
        <v>548</v>
      </c>
      <c r="N164" s="2" t="s">
        <v>1129</v>
      </c>
      <c r="O164" s="2"/>
      <c r="P164" s="2"/>
      <c r="Q164" s="2"/>
      <c r="R164" s="2"/>
      <c r="S164" s="2"/>
      <c r="T164" s="2"/>
      <c r="U164" s="2"/>
      <c r="V164" s="2"/>
      <c r="W164" s="2"/>
      <c r="X164" s="2"/>
      <c r="Y164" s="2"/>
      <c r="Z164" s="2"/>
    </row>
    <row r="165" spans="1:26" ht="19.5" customHeight="1">
      <c r="A165" s="4" t="s">
        <v>549</v>
      </c>
      <c r="B165" s="4" t="s">
        <v>550</v>
      </c>
      <c r="C165" s="6">
        <v>2</v>
      </c>
      <c r="D165" s="4" t="s">
        <v>544</v>
      </c>
      <c r="E165" s="13">
        <f>'Standardized Values'!E165/E$2</f>
        <v>7.0000000000000007E-2</v>
      </c>
      <c r="F165" s="13">
        <f>'Standardized Values'!F165/F$2</f>
        <v>0.11636363636363636</v>
      </c>
      <c r="G165" s="13">
        <f>'Standardized Values'!G165/G$2</f>
        <v>1.9607843137254902E-2</v>
      </c>
      <c r="H165" s="13">
        <f>'Standardized Values'!H165/H$2</f>
        <v>1.6528925619834711E-2</v>
      </c>
      <c r="I165" s="13">
        <f>'Standardized Values'!I165/I$2</f>
        <v>0.65573770491803274</v>
      </c>
      <c r="J165" s="13">
        <f>'Standardized Values'!J165/J$2</f>
        <v>6.5217391304347823E-3</v>
      </c>
      <c r="K165" s="13">
        <f>'Standardized Values'!K165/K$2</f>
        <v>0</v>
      </c>
      <c r="L165" s="13">
        <f>'Standardized Values'!L165/L$2</f>
        <v>0</v>
      </c>
      <c r="M165" s="12" t="s">
        <v>551</v>
      </c>
      <c r="N165" s="2" t="s">
        <v>1129</v>
      </c>
      <c r="O165" s="2"/>
      <c r="P165" s="2"/>
      <c r="Q165" s="2"/>
      <c r="R165" s="2"/>
      <c r="S165" s="2"/>
      <c r="T165" s="2"/>
      <c r="U165" s="2"/>
      <c r="V165" s="2"/>
      <c r="W165" s="2"/>
      <c r="X165" s="2"/>
      <c r="Y165" s="2"/>
      <c r="Z165" s="2"/>
    </row>
    <row r="166" spans="1:26" ht="19.5" customHeight="1">
      <c r="A166" s="4" t="s">
        <v>552</v>
      </c>
      <c r="B166" s="4" t="s">
        <v>553</v>
      </c>
      <c r="C166" s="6">
        <v>2</v>
      </c>
      <c r="D166" s="4" t="s">
        <v>554</v>
      </c>
      <c r="E166" s="13">
        <f>'Standardized Values'!E166/E$2</f>
        <v>0.02</v>
      </c>
      <c r="F166" s="13">
        <f>'Standardized Values'!F166/F$2</f>
        <v>3.6363636363636362E-2</v>
      </c>
      <c r="G166" s="13">
        <f>'Standardized Values'!G166/G$2</f>
        <v>0</v>
      </c>
      <c r="H166" s="13">
        <f>'Standardized Values'!H166/H$2</f>
        <v>0</v>
      </c>
      <c r="I166" s="13">
        <f>'Standardized Values'!I166/I$2</f>
        <v>0.32786885245901637</v>
      </c>
      <c r="J166" s="13">
        <f>'Standardized Values'!J166/J$2</f>
        <v>6.9565217391304349E-2</v>
      </c>
      <c r="K166" s="13">
        <f>'Standardized Values'!K166/K$2</f>
        <v>0</v>
      </c>
      <c r="L166" s="13">
        <f>'Standardized Values'!L166/L$2</f>
        <v>0</v>
      </c>
      <c r="M166" s="12" t="s">
        <v>555</v>
      </c>
      <c r="N166" s="2" t="s">
        <v>1126</v>
      </c>
      <c r="O166" s="2"/>
      <c r="P166" s="2"/>
      <c r="Q166" s="2"/>
      <c r="R166" s="2"/>
      <c r="S166" s="2"/>
      <c r="T166" s="2"/>
      <c r="U166" s="2"/>
      <c r="V166" s="2"/>
      <c r="W166" s="2"/>
      <c r="X166" s="2"/>
      <c r="Y166" s="2"/>
      <c r="Z166" s="2"/>
    </row>
    <row r="167" spans="1:26" ht="19.5" customHeight="1">
      <c r="A167" s="9" t="s">
        <v>556</v>
      </c>
      <c r="B167" s="10" t="s">
        <v>557</v>
      </c>
      <c r="C167" s="6">
        <v>2</v>
      </c>
      <c r="D167" s="4" t="s">
        <v>558</v>
      </c>
      <c r="E167" s="13">
        <f>'Standardized Values'!E167/E$2</f>
        <v>7.4999999999999997E-3</v>
      </c>
      <c r="F167" s="13">
        <f>'Standardized Values'!F167/F$2</f>
        <v>1.4545454545454545E-2</v>
      </c>
      <c r="G167" s="13">
        <f>'Standardized Values'!G167/G$2</f>
        <v>0</v>
      </c>
      <c r="H167" s="13">
        <f>'Standardized Values'!H167/H$2</f>
        <v>0</v>
      </c>
      <c r="I167" s="13">
        <f>'Standardized Values'!I167/I$2</f>
        <v>0.13114754098360656</v>
      </c>
      <c r="J167" s="13">
        <f>'Standardized Values'!J167/J$2</f>
        <v>1.7391304347826087E-2</v>
      </c>
      <c r="K167" s="13">
        <f>'Standardized Values'!K167/K$2</f>
        <v>0</v>
      </c>
      <c r="L167" s="13">
        <f>'Standardized Values'!L167/L$2</f>
        <v>0</v>
      </c>
      <c r="M167" s="4" t="s">
        <v>559</v>
      </c>
      <c r="N167" s="2" t="s">
        <v>1126</v>
      </c>
      <c r="O167" s="2"/>
      <c r="P167" s="2"/>
      <c r="Q167" s="2"/>
      <c r="R167" s="2"/>
      <c r="S167" s="2"/>
      <c r="T167" s="2"/>
      <c r="U167" s="2"/>
      <c r="V167" s="2"/>
      <c r="W167" s="2"/>
      <c r="X167" s="2"/>
      <c r="Y167" s="2"/>
      <c r="Z167" s="2"/>
    </row>
    <row r="168" spans="1:26" ht="19.5" customHeight="1">
      <c r="A168" s="4" t="s">
        <v>560</v>
      </c>
      <c r="B168" s="4" t="s">
        <v>561</v>
      </c>
      <c r="C168" s="6">
        <v>2</v>
      </c>
      <c r="D168" s="4" t="s">
        <v>562</v>
      </c>
      <c r="E168" s="13">
        <f>'Standardized Values'!E168/E$2</f>
        <v>7.0000000000000007E-2</v>
      </c>
      <c r="F168" s="13">
        <f>'Standardized Values'!F168/F$2</f>
        <v>9.0909090909090912E-2</v>
      </c>
      <c r="G168" s="13">
        <f>'Standardized Values'!G168/G$2</f>
        <v>5.8823529411764705E-2</v>
      </c>
      <c r="H168" s="13">
        <f>'Standardized Values'!H168/H$2</f>
        <v>8.2644628099173556E-2</v>
      </c>
      <c r="I168" s="13">
        <f>'Standardized Values'!I168/I$2</f>
        <v>9.8360655737704916E-2</v>
      </c>
      <c r="J168" s="13">
        <f>'Standardized Values'!J168/J$2</f>
        <v>0.13478260869565217</v>
      </c>
      <c r="K168" s="13">
        <f>'Standardized Values'!K168/K$2</f>
        <v>0.25454545454545452</v>
      </c>
      <c r="L168" s="13">
        <f>'Standardized Values'!L168/L$2</f>
        <v>0</v>
      </c>
      <c r="M168" s="4" t="s">
        <v>563</v>
      </c>
      <c r="N168" s="2" t="s">
        <v>1128</v>
      </c>
      <c r="O168" s="2"/>
      <c r="P168" s="2"/>
      <c r="Q168" s="2"/>
      <c r="R168" s="2"/>
      <c r="S168" s="2"/>
      <c r="T168" s="2"/>
      <c r="U168" s="2"/>
      <c r="V168" s="2"/>
      <c r="W168" s="2"/>
      <c r="X168" s="2"/>
      <c r="Y168" s="2"/>
      <c r="Z168" s="2"/>
    </row>
    <row r="169" spans="1:26" ht="19.5" customHeight="1">
      <c r="A169" s="4" t="s">
        <v>564</v>
      </c>
      <c r="B169" s="4" t="s">
        <v>565</v>
      </c>
      <c r="C169" s="6">
        <v>2</v>
      </c>
      <c r="D169" s="4" t="s">
        <v>562</v>
      </c>
      <c r="E169" s="13">
        <f>'Standardized Values'!E169/E$2</f>
        <v>7.0000000000000007E-2</v>
      </c>
      <c r="F169" s="13">
        <f>'Standardized Values'!F169/F$2</f>
        <v>9.0909090909090912E-2</v>
      </c>
      <c r="G169" s="13">
        <f>'Standardized Values'!G169/G$2</f>
        <v>5.8823529411764705E-2</v>
      </c>
      <c r="H169" s="13">
        <f>'Standardized Values'!H169/H$2</f>
        <v>8.2644628099173556E-2</v>
      </c>
      <c r="I169" s="13">
        <f>'Standardized Values'!I169/I$2</f>
        <v>9.8360655737704916E-2</v>
      </c>
      <c r="J169" s="13">
        <f>'Standardized Values'!J169/J$2</f>
        <v>0.13478260869565217</v>
      </c>
      <c r="K169" s="13">
        <f>'Standardized Values'!K169/K$2</f>
        <v>0.25454545454545452</v>
      </c>
      <c r="L169" s="13">
        <f>'Standardized Values'!L169/L$2</f>
        <v>0</v>
      </c>
      <c r="M169" s="12" t="s">
        <v>566</v>
      </c>
      <c r="N169" s="2" t="s">
        <v>1128</v>
      </c>
      <c r="O169" s="2"/>
      <c r="P169" s="2"/>
      <c r="Q169" s="2"/>
      <c r="R169" s="2"/>
      <c r="S169" s="2"/>
      <c r="T169" s="2"/>
      <c r="U169" s="2"/>
      <c r="V169" s="2"/>
      <c r="W169" s="2"/>
      <c r="X169" s="2"/>
      <c r="Y169" s="2"/>
      <c r="Z169" s="2"/>
    </row>
    <row r="170" spans="1:26" ht="19.5" customHeight="1">
      <c r="A170" s="4" t="s">
        <v>567</v>
      </c>
      <c r="B170" s="4" t="s">
        <v>568</v>
      </c>
      <c r="C170" s="6">
        <v>2</v>
      </c>
      <c r="D170" s="4" t="s">
        <v>569</v>
      </c>
      <c r="E170" s="13">
        <f>'Standardized Values'!E170/E$2</f>
        <v>3.5000000000000003E-2</v>
      </c>
      <c r="F170" s="13">
        <f>'Standardized Values'!F170/F$2</f>
        <v>0</v>
      </c>
      <c r="G170" s="13">
        <f>'Standardized Values'!G170/G$2</f>
        <v>0.11764705882352941</v>
      </c>
      <c r="H170" s="13">
        <f>'Standardized Values'!H170/H$2</f>
        <v>8.2644628099173556E-2</v>
      </c>
      <c r="I170" s="13">
        <f>'Standardized Values'!I170/I$2</f>
        <v>0</v>
      </c>
      <c r="J170" s="13">
        <f>'Standardized Values'!J170/J$2</f>
        <v>0.13478260869565217</v>
      </c>
      <c r="K170" s="13">
        <f>'Standardized Values'!K170/K$2</f>
        <v>0</v>
      </c>
      <c r="L170" s="13">
        <f>'Standardized Values'!L170/L$2</f>
        <v>3.3333333333333333E-2</v>
      </c>
      <c r="M170" s="4" t="s">
        <v>570</v>
      </c>
      <c r="N170" s="2" t="s">
        <v>1128</v>
      </c>
      <c r="O170" s="2"/>
      <c r="P170" s="2"/>
      <c r="Q170" s="2"/>
      <c r="R170" s="2"/>
      <c r="S170" s="2"/>
      <c r="T170" s="2"/>
      <c r="U170" s="2"/>
      <c r="V170" s="2"/>
      <c r="W170" s="2"/>
      <c r="X170" s="2"/>
      <c r="Y170" s="2"/>
      <c r="Z170" s="2"/>
    </row>
    <row r="171" spans="1:26" ht="19.5" customHeight="1">
      <c r="A171" s="4" t="s">
        <v>571</v>
      </c>
      <c r="B171" s="4" t="s">
        <v>572</v>
      </c>
      <c r="C171" s="6">
        <v>2</v>
      </c>
      <c r="D171" s="4" t="s">
        <v>31</v>
      </c>
      <c r="E171" s="13">
        <f>'Standardized Values'!E171/E$2</f>
        <v>7.4999999999999997E-3</v>
      </c>
      <c r="F171" s="13">
        <f>'Standardized Values'!F171/F$2</f>
        <v>7.2727272727272727E-3</v>
      </c>
      <c r="G171" s="13">
        <f>'Standardized Values'!G171/G$2</f>
        <v>0</v>
      </c>
      <c r="H171" s="13">
        <f>'Standardized Values'!H171/H$2</f>
        <v>1.6528925619834711E-2</v>
      </c>
      <c r="I171" s="13">
        <f>'Standardized Values'!I171/I$2</f>
        <v>1.6393442622950821E-2</v>
      </c>
      <c r="J171" s="13">
        <f>'Standardized Values'!J171/J$2</f>
        <v>8.6956521739130432E-2</v>
      </c>
      <c r="K171" s="13">
        <f>'Standardized Values'!K171/K$2</f>
        <v>1.8181818181818181E-2</v>
      </c>
      <c r="L171" s="13">
        <f>'Standardized Values'!L171/L$2</f>
        <v>0</v>
      </c>
      <c r="M171" s="4" t="s">
        <v>573</v>
      </c>
      <c r="N171" s="2" t="s">
        <v>1126</v>
      </c>
      <c r="O171" s="2"/>
      <c r="P171" s="2"/>
      <c r="Q171" s="2"/>
      <c r="R171" s="2"/>
      <c r="S171" s="2"/>
      <c r="T171" s="2"/>
      <c r="U171" s="2"/>
      <c r="V171" s="2"/>
      <c r="W171" s="2"/>
      <c r="X171" s="2"/>
      <c r="Y171" s="2"/>
      <c r="Z171" s="2"/>
    </row>
    <row r="172" spans="1:26" ht="19.5" customHeight="1">
      <c r="A172" s="4" t="s">
        <v>574</v>
      </c>
      <c r="B172" s="4" t="s">
        <v>575</v>
      </c>
      <c r="C172" s="6">
        <v>2</v>
      </c>
      <c r="D172" s="4" t="s">
        <v>467</v>
      </c>
      <c r="E172" s="13">
        <f>'Standardized Values'!E172/E$2</f>
        <v>0.03</v>
      </c>
      <c r="F172" s="13">
        <f>'Standardized Values'!F172/F$2</f>
        <v>5.4545454545454543E-2</v>
      </c>
      <c r="G172" s="13">
        <f>'Standardized Values'!G172/G$2</f>
        <v>3.9215686274509803E-2</v>
      </c>
      <c r="H172" s="13">
        <f>'Standardized Values'!H172/H$2</f>
        <v>0</v>
      </c>
      <c r="I172" s="13">
        <f>'Standardized Values'!I172/I$2</f>
        <v>0</v>
      </c>
      <c r="J172" s="13">
        <f>'Standardized Values'!J172/J$2</f>
        <v>3.0434782608695653E-2</v>
      </c>
      <c r="K172" s="13">
        <f>'Standardized Values'!K172/K$2</f>
        <v>0.10909090909090909</v>
      </c>
      <c r="L172" s="13">
        <f>'Standardized Values'!L172/L$2</f>
        <v>0</v>
      </c>
      <c r="M172" s="4" t="s">
        <v>576</v>
      </c>
      <c r="N172" s="2" t="s">
        <v>1126</v>
      </c>
      <c r="O172" s="2"/>
      <c r="P172" s="2"/>
      <c r="Q172" s="2"/>
      <c r="R172" s="2"/>
      <c r="S172" s="2"/>
      <c r="T172" s="2"/>
      <c r="U172" s="2"/>
      <c r="V172" s="2"/>
      <c r="W172" s="2"/>
      <c r="X172" s="2"/>
      <c r="Y172" s="2"/>
      <c r="Z172" s="2"/>
    </row>
    <row r="173" spans="1:26" ht="19.5" customHeight="1">
      <c r="A173" s="4" t="s">
        <v>577</v>
      </c>
      <c r="B173" s="4" t="s">
        <v>578</v>
      </c>
      <c r="C173" s="6">
        <v>2</v>
      </c>
      <c r="D173" s="4" t="s">
        <v>31</v>
      </c>
      <c r="E173" s="13">
        <f>'Standardized Values'!E173/E$2</f>
        <v>7.4999999999999997E-3</v>
      </c>
      <c r="F173" s="13">
        <f>'Standardized Values'!F173/F$2</f>
        <v>0</v>
      </c>
      <c r="G173" s="13">
        <f>'Standardized Values'!G173/G$2</f>
        <v>0</v>
      </c>
      <c r="H173" s="13">
        <f>'Standardized Values'!H173/H$2</f>
        <v>2.4793388429752067E-2</v>
      </c>
      <c r="I173" s="13">
        <f>'Standardized Values'!I173/I$2</f>
        <v>0</v>
      </c>
      <c r="J173" s="13">
        <f>'Standardized Values'!J173/J$2</f>
        <v>1.3043478260869565E-2</v>
      </c>
      <c r="K173" s="13">
        <f>'Standardized Values'!K173/K$2</f>
        <v>0</v>
      </c>
      <c r="L173" s="13">
        <f>'Standardized Values'!L173/L$2</f>
        <v>0</v>
      </c>
      <c r="M173" s="4" t="s">
        <v>579</v>
      </c>
      <c r="N173" s="2" t="s">
        <v>1127</v>
      </c>
      <c r="O173" s="2"/>
      <c r="P173" s="2"/>
      <c r="Q173" s="2"/>
      <c r="R173" s="2"/>
      <c r="S173" s="2"/>
      <c r="T173" s="2"/>
      <c r="U173" s="2"/>
      <c r="V173" s="2"/>
      <c r="W173" s="2"/>
      <c r="X173" s="2"/>
      <c r="Y173" s="2"/>
      <c r="Z173" s="2"/>
    </row>
    <row r="174" spans="1:26" ht="19.5" customHeight="1">
      <c r="A174" s="4" t="s">
        <v>580</v>
      </c>
      <c r="B174" s="4" t="s">
        <v>581</v>
      </c>
      <c r="C174" s="6">
        <v>2</v>
      </c>
      <c r="D174" s="4" t="s">
        <v>582</v>
      </c>
      <c r="E174" s="13">
        <f>'Standardized Values'!E174/E$2</f>
        <v>7.0000000000000007E-2</v>
      </c>
      <c r="F174" s="13">
        <f>'Standardized Values'!F174/F$2</f>
        <v>5.8181818181818182E-2</v>
      </c>
      <c r="G174" s="13">
        <f>'Standardized Values'!G174/G$2</f>
        <v>0.13725490196078433</v>
      </c>
      <c r="H174" s="13">
        <f>'Standardized Values'!H174/H$2</f>
        <v>0.11570247933884298</v>
      </c>
      <c r="I174" s="13">
        <f>'Standardized Values'!I174/I$2</f>
        <v>0</v>
      </c>
      <c r="J174" s="13">
        <f>'Standardized Values'!J174/J$2</f>
        <v>0.14782608695652175</v>
      </c>
      <c r="K174" s="13">
        <f>'Standardized Values'!K174/K$2</f>
        <v>0.18181818181818182</v>
      </c>
      <c r="L174" s="13">
        <f>'Standardized Values'!L174/L$2</f>
        <v>0.33333333333333331</v>
      </c>
      <c r="M174" s="4" t="s">
        <v>583</v>
      </c>
      <c r="N174" s="2" t="s">
        <v>1128</v>
      </c>
      <c r="O174" s="2"/>
      <c r="P174" s="2"/>
      <c r="Q174" s="2"/>
      <c r="R174" s="2"/>
      <c r="S174" s="2"/>
      <c r="T174" s="2"/>
      <c r="U174" s="2"/>
      <c r="V174" s="2"/>
      <c r="W174" s="2"/>
      <c r="X174" s="2"/>
      <c r="Y174" s="2"/>
      <c r="Z174" s="2"/>
    </row>
    <row r="175" spans="1:26" ht="19.5" customHeight="1">
      <c r="A175" s="4" t="s">
        <v>584</v>
      </c>
      <c r="B175" s="4" t="s">
        <v>585</v>
      </c>
      <c r="C175" s="6">
        <v>2</v>
      </c>
      <c r="D175" s="4" t="s">
        <v>440</v>
      </c>
      <c r="E175" s="13">
        <f>'Standardized Values'!E175/E$2</f>
        <v>0.06</v>
      </c>
      <c r="F175" s="13">
        <f>'Standardized Values'!F175/F$2</f>
        <v>3.6363636363636364E-3</v>
      </c>
      <c r="G175" s="13">
        <f>'Standardized Values'!G175/G$2</f>
        <v>0.13725490196078433</v>
      </c>
      <c r="H175" s="13">
        <f>'Standardized Values'!H175/H$2</f>
        <v>0.16528925619834711</v>
      </c>
      <c r="I175" s="13">
        <f>'Standardized Values'!I175/I$2</f>
        <v>3.2786885245901641E-2</v>
      </c>
      <c r="J175" s="13">
        <f>'Standardized Values'!J175/J$2</f>
        <v>0.16956521739130434</v>
      </c>
      <c r="K175" s="13">
        <f>'Standardized Values'!K175/K$2</f>
        <v>0</v>
      </c>
      <c r="L175" s="13">
        <f>'Standardized Values'!L175/L$2</f>
        <v>0.1</v>
      </c>
      <c r="M175" s="4" t="s">
        <v>586</v>
      </c>
      <c r="N175" s="2" t="s">
        <v>1128</v>
      </c>
      <c r="O175" s="2"/>
      <c r="P175" s="2"/>
      <c r="Q175" s="2"/>
      <c r="R175" s="2"/>
      <c r="S175" s="2"/>
      <c r="T175" s="2"/>
      <c r="U175" s="2"/>
      <c r="V175" s="2"/>
      <c r="W175" s="2"/>
      <c r="X175" s="2"/>
      <c r="Y175" s="2"/>
      <c r="Z175" s="2"/>
    </row>
    <row r="176" spans="1:26" ht="19.5" customHeight="1">
      <c r="A176" s="4" t="s">
        <v>587</v>
      </c>
      <c r="B176" s="4" t="s">
        <v>575</v>
      </c>
      <c r="C176" s="7" t="s">
        <v>112</v>
      </c>
      <c r="D176" s="4" t="s">
        <v>467</v>
      </c>
      <c r="E176" s="13">
        <f>'Standardized Values'!E176/E$2</f>
        <v>0.03</v>
      </c>
      <c r="F176" s="13">
        <f>'Standardized Values'!F176/F$2</f>
        <v>5.4545454545454543E-2</v>
      </c>
      <c r="G176" s="13">
        <f>'Standardized Values'!G176/G$2</f>
        <v>3.9215686274509803E-2</v>
      </c>
      <c r="H176" s="13">
        <f>'Standardized Values'!H176/H$2</f>
        <v>0</v>
      </c>
      <c r="I176" s="13">
        <f>'Standardized Values'!I176/I$2</f>
        <v>0</v>
      </c>
      <c r="J176" s="13">
        <f>'Standardized Values'!J176/J$2</f>
        <v>3.0434782608695653E-2</v>
      </c>
      <c r="K176" s="13">
        <f>'Standardized Values'!K176/K$2</f>
        <v>0.10909090909090909</v>
      </c>
      <c r="L176" s="13">
        <f>'Standardized Values'!L176/L$2</f>
        <v>0</v>
      </c>
      <c r="M176" s="4" t="s">
        <v>576</v>
      </c>
      <c r="N176" s="2" t="s">
        <v>1126</v>
      </c>
      <c r="O176" s="2"/>
      <c r="P176" s="2"/>
      <c r="Q176" s="2"/>
      <c r="R176" s="2"/>
      <c r="S176" s="2"/>
      <c r="T176" s="2"/>
      <c r="U176" s="2"/>
      <c r="V176" s="2"/>
      <c r="W176" s="2"/>
      <c r="X176" s="2"/>
      <c r="Y176" s="2"/>
      <c r="Z176" s="2"/>
    </row>
    <row r="177" spans="1:26" ht="19.5" customHeight="1">
      <c r="A177" s="4" t="s">
        <v>588</v>
      </c>
      <c r="B177" s="4" t="s">
        <v>589</v>
      </c>
      <c r="C177" s="6">
        <v>2</v>
      </c>
      <c r="D177" s="4" t="s">
        <v>236</v>
      </c>
      <c r="E177" s="13">
        <f>'Standardized Values'!E177/E$2</f>
        <v>0.04</v>
      </c>
      <c r="F177" s="13">
        <f>'Standardized Values'!F177/F$2</f>
        <v>4.363636363636364E-2</v>
      </c>
      <c r="G177" s="13">
        <f>'Standardized Values'!G177/G$2</f>
        <v>3.9215686274509803E-2</v>
      </c>
      <c r="H177" s="13">
        <f>'Standardized Values'!H177/H$2</f>
        <v>4.1322314049586778E-2</v>
      </c>
      <c r="I177" s="13">
        <f>'Standardized Values'!I177/I$2</f>
        <v>0.22950819672131148</v>
      </c>
      <c r="J177" s="13">
        <f>'Standardized Values'!J177/J$2</f>
        <v>0</v>
      </c>
      <c r="K177" s="13">
        <f>'Standardized Values'!K177/K$2</f>
        <v>7.2727272727272724E-2</v>
      </c>
      <c r="L177" s="13">
        <f>'Standardized Values'!L177/L$2</f>
        <v>0</v>
      </c>
      <c r="M177" s="4" t="s">
        <v>590</v>
      </c>
      <c r="N177" s="2" t="s">
        <v>1126</v>
      </c>
      <c r="O177" s="2"/>
      <c r="P177" s="2"/>
      <c r="Q177" s="2"/>
      <c r="R177" s="2"/>
      <c r="S177" s="2"/>
      <c r="T177" s="2"/>
      <c r="U177" s="2"/>
      <c r="V177" s="2"/>
      <c r="W177" s="2"/>
      <c r="X177" s="2"/>
      <c r="Y177" s="2"/>
      <c r="Z177" s="2"/>
    </row>
    <row r="178" spans="1:26" ht="19.5" customHeight="1">
      <c r="A178" s="4" t="s">
        <v>591</v>
      </c>
      <c r="B178" s="4" t="s">
        <v>592</v>
      </c>
      <c r="C178" s="6">
        <v>1.75</v>
      </c>
      <c r="D178" s="4" t="s">
        <v>62</v>
      </c>
      <c r="E178" s="13">
        <f>'Standardized Values'!E178/E$2</f>
        <v>7.0000000000000007E-2</v>
      </c>
      <c r="F178" s="13">
        <f>'Standardized Values'!F178/F$2</f>
        <v>6.1818181818181821E-2</v>
      </c>
      <c r="G178" s="13">
        <f>'Standardized Values'!G178/G$2</f>
        <v>5.8823529411764705E-2</v>
      </c>
      <c r="H178" s="13">
        <f>'Standardized Values'!H178/H$2</f>
        <v>0.13223140495867769</v>
      </c>
      <c r="I178" s="13">
        <f>'Standardized Values'!I178/I$2</f>
        <v>3.2786885245901641E-2</v>
      </c>
      <c r="J178" s="13">
        <f>'Standardized Values'!J178/J$2</f>
        <v>6.9565217391304349E-2</v>
      </c>
      <c r="K178" s="13">
        <f>'Standardized Values'!K178/K$2</f>
        <v>7.2727272727272724E-2</v>
      </c>
      <c r="L178" s="13">
        <f>'Standardized Values'!L178/L$2</f>
        <v>0</v>
      </c>
      <c r="M178" s="4" t="s">
        <v>593</v>
      </c>
      <c r="N178" s="2" t="s">
        <v>1126</v>
      </c>
      <c r="O178" s="2"/>
      <c r="P178" s="2"/>
      <c r="Q178" s="2"/>
      <c r="R178" s="2"/>
      <c r="S178" s="2"/>
      <c r="T178" s="2"/>
      <c r="U178" s="2"/>
      <c r="V178" s="2"/>
      <c r="W178" s="2"/>
      <c r="X178" s="2"/>
      <c r="Y178" s="2"/>
      <c r="Z178" s="2"/>
    </row>
    <row r="179" spans="1:26" ht="19.5" customHeight="1">
      <c r="A179" s="4" t="s">
        <v>594</v>
      </c>
      <c r="B179" s="4" t="s">
        <v>595</v>
      </c>
      <c r="C179" s="6">
        <v>1.25</v>
      </c>
      <c r="D179" s="4" t="s">
        <v>17</v>
      </c>
      <c r="E179" s="13">
        <f>'Standardized Values'!E179/E$2</f>
        <v>0.08</v>
      </c>
      <c r="F179" s="13">
        <f>'Standardized Values'!F179/F$2</f>
        <v>6.545454545454546E-2</v>
      </c>
      <c r="G179" s="13">
        <f>'Standardized Values'!G179/G$2</f>
        <v>0.19607843137254902</v>
      </c>
      <c r="H179" s="13">
        <f>'Standardized Values'!H179/H$2</f>
        <v>8.2644628099173556E-2</v>
      </c>
      <c r="I179" s="13">
        <f>'Standardized Values'!I179/I$2</f>
        <v>6.5573770491803282E-2</v>
      </c>
      <c r="J179" s="13">
        <f>'Standardized Values'!J179/J$2</f>
        <v>0.14347826086956522</v>
      </c>
      <c r="K179" s="13">
        <f>'Standardized Values'!K179/K$2</f>
        <v>3.6363636363636362E-2</v>
      </c>
      <c r="L179" s="13">
        <f>'Standardized Values'!L179/L$2</f>
        <v>0.05</v>
      </c>
      <c r="M179" s="4" t="s">
        <v>596</v>
      </c>
      <c r="N179" s="2" t="s">
        <v>1128</v>
      </c>
      <c r="O179" s="2"/>
      <c r="P179" s="2"/>
      <c r="Q179" s="2"/>
      <c r="R179" s="2"/>
      <c r="S179" s="2"/>
      <c r="T179" s="2"/>
      <c r="U179" s="2"/>
      <c r="V179" s="2"/>
      <c r="W179" s="2"/>
      <c r="X179" s="2"/>
      <c r="Y179" s="2"/>
      <c r="Z179" s="2"/>
    </row>
    <row r="180" spans="1:26" ht="19.5" customHeight="1">
      <c r="A180" s="4" t="s">
        <v>597</v>
      </c>
      <c r="B180" s="4" t="s">
        <v>598</v>
      </c>
      <c r="C180" s="6">
        <v>1</v>
      </c>
      <c r="D180" s="4" t="s">
        <v>599</v>
      </c>
      <c r="E180" s="13">
        <f>'Standardized Values'!E180/E$2</f>
        <v>0.125</v>
      </c>
      <c r="F180" s="13">
        <f>'Standardized Values'!F180/F$2</f>
        <v>7.2727272727272724E-2</v>
      </c>
      <c r="G180" s="13">
        <f>'Standardized Values'!G180/G$2</f>
        <v>5.8823529411764705E-2</v>
      </c>
      <c r="H180" s="13">
        <f>'Standardized Values'!H180/H$2</f>
        <v>0.2975206611570248</v>
      </c>
      <c r="I180" s="13">
        <f>'Standardized Values'!I180/I$2</f>
        <v>0.62295081967213117</v>
      </c>
      <c r="J180" s="13">
        <f>'Standardized Values'!J180/J$2</f>
        <v>1.7391304347826087E-2</v>
      </c>
      <c r="K180" s="13">
        <f>'Standardized Values'!K180/K$2</f>
        <v>0</v>
      </c>
      <c r="L180" s="13">
        <f>'Standardized Values'!L180/L$2</f>
        <v>0.15</v>
      </c>
      <c r="M180" s="4" t="s">
        <v>600</v>
      </c>
      <c r="N180" s="2" t="s">
        <v>1126</v>
      </c>
      <c r="O180" s="2"/>
      <c r="P180" s="2"/>
      <c r="Q180" s="2"/>
      <c r="R180" s="2"/>
      <c r="S180" s="2"/>
      <c r="T180" s="2"/>
      <c r="U180" s="2"/>
      <c r="V180" s="2"/>
      <c r="W180" s="2"/>
      <c r="X180" s="2"/>
      <c r="Y180" s="2"/>
      <c r="Z180" s="2"/>
    </row>
    <row r="181" spans="1:26" ht="19.5" customHeight="1">
      <c r="A181" s="4" t="s">
        <v>601</v>
      </c>
      <c r="B181" s="4" t="s">
        <v>602</v>
      </c>
      <c r="C181" s="6">
        <v>1</v>
      </c>
      <c r="D181" s="4" t="s">
        <v>17</v>
      </c>
      <c r="E181" s="13">
        <f>'Standardized Values'!E181/E$2</f>
        <v>0.06</v>
      </c>
      <c r="F181" s="13">
        <f>'Standardized Values'!F181/F$2</f>
        <v>8.3636363636363634E-2</v>
      </c>
      <c r="G181" s="13">
        <f>'Standardized Values'!G181/G$2</f>
        <v>3.9215686274509803E-2</v>
      </c>
      <c r="H181" s="13">
        <f>'Standardized Values'!H181/H$2</f>
        <v>4.1322314049586778E-2</v>
      </c>
      <c r="I181" s="13">
        <f>'Standardized Values'!I181/I$2</f>
        <v>0.22950819672131148</v>
      </c>
      <c r="J181" s="13">
        <f>'Standardized Values'!J181/J$2</f>
        <v>8.2608695652173908E-2</v>
      </c>
      <c r="K181" s="13">
        <f>'Standardized Values'!K181/K$2</f>
        <v>0.10909090909090909</v>
      </c>
      <c r="L181" s="13">
        <f>'Standardized Values'!L181/L$2</f>
        <v>0</v>
      </c>
      <c r="M181" s="4" t="s">
        <v>603</v>
      </c>
      <c r="N181" s="2" t="s">
        <v>1128</v>
      </c>
      <c r="O181" s="2"/>
      <c r="P181" s="2"/>
      <c r="Q181" s="2"/>
      <c r="R181" s="2"/>
      <c r="S181" s="2"/>
      <c r="T181" s="2"/>
      <c r="U181" s="2"/>
      <c r="V181" s="2"/>
      <c r="W181" s="2"/>
      <c r="X181" s="2"/>
      <c r="Y181" s="2"/>
      <c r="Z181" s="2"/>
    </row>
    <row r="182" spans="1:26" ht="19.5" customHeight="1">
      <c r="A182" s="4" t="s">
        <v>604</v>
      </c>
      <c r="B182" s="4" t="s">
        <v>605</v>
      </c>
      <c r="C182" s="6">
        <v>1</v>
      </c>
      <c r="D182" s="4" t="s">
        <v>606</v>
      </c>
      <c r="E182" s="13">
        <f>'Standardized Values'!E182/E$2</f>
        <v>0.16500000000000001</v>
      </c>
      <c r="F182" s="13">
        <f>'Standardized Values'!F182/F$2</f>
        <v>8.727272727272728E-2</v>
      </c>
      <c r="G182" s="13">
        <f>'Standardized Values'!G182/G$2</f>
        <v>0.13725490196078433</v>
      </c>
      <c r="H182" s="13">
        <f>'Standardized Values'!H182/H$2</f>
        <v>0.38016528925619836</v>
      </c>
      <c r="I182" s="13">
        <f>'Standardized Values'!I182/I$2</f>
        <v>0.29508196721311475</v>
      </c>
      <c r="J182" s="13">
        <f>'Standardized Values'!J182/J$2</f>
        <v>0.56521739130434778</v>
      </c>
      <c r="K182" s="13">
        <f>'Standardized Values'!K182/K$2</f>
        <v>0.14545454545454545</v>
      </c>
      <c r="L182" s="13">
        <f>'Standardized Values'!L182/L$2</f>
        <v>0</v>
      </c>
      <c r="M182" s="4" t="s">
        <v>607</v>
      </c>
      <c r="N182" s="2" t="s">
        <v>1128</v>
      </c>
      <c r="O182" s="2"/>
      <c r="P182" s="2"/>
      <c r="Q182" s="2"/>
      <c r="R182" s="2"/>
      <c r="S182" s="2"/>
      <c r="T182" s="2"/>
      <c r="U182" s="2"/>
      <c r="V182" s="2"/>
      <c r="W182" s="2"/>
      <c r="X182" s="2"/>
      <c r="Y182" s="2"/>
      <c r="Z182" s="2"/>
    </row>
    <row r="183" spans="1:26" ht="19.5" customHeight="1">
      <c r="A183" s="4" t="s">
        <v>608</v>
      </c>
      <c r="B183" s="4" t="s">
        <v>609</v>
      </c>
      <c r="C183" s="7" t="s">
        <v>176</v>
      </c>
      <c r="D183" s="4" t="s">
        <v>17</v>
      </c>
      <c r="E183" s="13">
        <f>'Standardized Values'!E183/E$2</f>
        <v>8.5000000000000006E-2</v>
      </c>
      <c r="F183" s="13">
        <f>'Standardized Values'!F183/F$2</f>
        <v>0.08</v>
      </c>
      <c r="G183" s="13">
        <f>'Standardized Values'!G183/G$2</f>
        <v>0.19607843137254902</v>
      </c>
      <c r="H183" s="13">
        <f>'Standardized Values'!H183/H$2</f>
        <v>8.2644628099173556E-2</v>
      </c>
      <c r="I183" s="13">
        <f>'Standardized Values'!I183/I$2</f>
        <v>6.5573770491803282E-2</v>
      </c>
      <c r="J183" s="13">
        <f>'Standardized Values'!J183/J$2</f>
        <v>0.17826086956521739</v>
      </c>
      <c r="K183" s="13">
        <f>'Standardized Values'!K183/K$2</f>
        <v>7.2727272727272724E-2</v>
      </c>
      <c r="L183" s="13">
        <f>'Standardized Values'!L183/L$2</f>
        <v>0.05</v>
      </c>
      <c r="M183" s="4" t="s">
        <v>610</v>
      </c>
      <c r="N183" s="2" t="s">
        <v>1128</v>
      </c>
      <c r="O183" s="2"/>
      <c r="P183" s="2"/>
      <c r="Q183" s="2"/>
      <c r="R183" s="2"/>
      <c r="S183" s="2"/>
      <c r="T183" s="2"/>
      <c r="U183" s="2"/>
      <c r="V183" s="2"/>
      <c r="W183" s="2"/>
      <c r="X183" s="2"/>
      <c r="Y183" s="2"/>
      <c r="Z183" s="2"/>
    </row>
    <row r="184" spans="1:26" ht="19.5" customHeight="1">
      <c r="A184" s="4" t="s">
        <v>611</v>
      </c>
      <c r="B184" s="4" t="s">
        <v>612</v>
      </c>
      <c r="C184" s="6">
        <v>1</v>
      </c>
      <c r="D184" s="4" t="s">
        <v>613</v>
      </c>
      <c r="E184" s="13">
        <f>'Standardized Values'!E184/E$2</f>
        <v>9.5000000000000001E-2</v>
      </c>
      <c r="F184" s="13">
        <f>'Standardized Values'!F184/F$2</f>
        <v>5.4545454545454543E-2</v>
      </c>
      <c r="G184" s="13">
        <f>'Standardized Values'!G184/G$2</f>
        <v>0.45098039215686275</v>
      </c>
      <c r="H184" s="13">
        <f>'Standardized Values'!H184/H$2</f>
        <v>6.6115702479338845E-2</v>
      </c>
      <c r="I184" s="13">
        <f>'Standardized Values'!I184/I$2</f>
        <v>0.26229508196721313</v>
      </c>
      <c r="J184" s="13">
        <f>'Standardized Values'!J184/J$2</f>
        <v>0.21739130434782608</v>
      </c>
      <c r="K184" s="13">
        <f>'Standardized Values'!K184/K$2</f>
        <v>0.14545454545454545</v>
      </c>
      <c r="L184" s="13">
        <f>'Standardized Values'!L184/L$2</f>
        <v>0.25</v>
      </c>
      <c r="M184" s="4" t="s">
        <v>614</v>
      </c>
      <c r="N184" s="2" t="s">
        <v>1128</v>
      </c>
      <c r="O184" s="2"/>
      <c r="P184" s="2"/>
      <c r="Q184" s="2"/>
      <c r="R184" s="2"/>
      <c r="S184" s="2"/>
      <c r="T184" s="2"/>
      <c r="U184" s="2"/>
      <c r="V184" s="2"/>
      <c r="W184" s="2"/>
      <c r="X184" s="2"/>
      <c r="Y184" s="2"/>
      <c r="Z184" s="2"/>
    </row>
    <row r="185" spans="1:26" ht="19.5" customHeight="1">
      <c r="A185" s="4" t="s">
        <v>615</v>
      </c>
      <c r="B185" s="4" t="s">
        <v>616</v>
      </c>
      <c r="C185" s="6">
        <v>1</v>
      </c>
      <c r="D185" s="4" t="s">
        <v>617</v>
      </c>
      <c r="E185" s="13">
        <f>'Standardized Values'!E185/E$2</f>
        <v>4.4999999999999998E-2</v>
      </c>
      <c r="F185" s="13">
        <f>'Standardized Values'!F185/F$2</f>
        <v>6.1818181818181821E-2</v>
      </c>
      <c r="G185" s="13">
        <f>'Standardized Values'!G185/G$2</f>
        <v>7.8431372549019607E-2</v>
      </c>
      <c r="H185" s="13">
        <f>'Standardized Values'!H185/H$2</f>
        <v>2.4793388429752067E-2</v>
      </c>
      <c r="I185" s="13">
        <f>'Standardized Values'!I185/I$2</f>
        <v>9.8360655737704916E-2</v>
      </c>
      <c r="J185" s="13">
        <f>'Standardized Values'!J185/J$2</f>
        <v>3.4782608695652174E-2</v>
      </c>
      <c r="K185" s="13">
        <f>'Standardized Values'!K185/K$2</f>
        <v>0.14545454545454545</v>
      </c>
      <c r="L185" s="13">
        <f>'Standardized Values'!L185/L$2</f>
        <v>0</v>
      </c>
      <c r="M185" s="4" t="s">
        <v>618</v>
      </c>
      <c r="N185" s="2" t="s">
        <v>1128</v>
      </c>
      <c r="O185" s="2"/>
      <c r="P185" s="2"/>
      <c r="Q185" s="2"/>
      <c r="R185" s="2"/>
      <c r="S185" s="2"/>
      <c r="T185" s="2"/>
      <c r="U185" s="2"/>
      <c r="V185" s="2"/>
      <c r="W185" s="2"/>
      <c r="X185" s="2"/>
      <c r="Y185" s="2"/>
      <c r="Z185" s="2"/>
    </row>
    <row r="186" spans="1:26" ht="19.5" customHeight="1">
      <c r="A186" s="4" t="s">
        <v>619</v>
      </c>
      <c r="B186" s="4" t="s">
        <v>620</v>
      </c>
      <c r="C186" s="7" t="s">
        <v>176</v>
      </c>
      <c r="D186" s="4" t="s">
        <v>613</v>
      </c>
      <c r="E186" s="13">
        <f>'Standardized Values'!E186/E$2</f>
        <v>9.5000000000000001E-2</v>
      </c>
      <c r="F186" s="13">
        <f>'Standardized Values'!F186/F$2</f>
        <v>2.9090909090909091E-2</v>
      </c>
      <c r="G186" s="13">
        <f>'Standardized Values'!G186/G$2</f>
        <v>0.5490196078431373</v>
      </c>
      <c r="H186" s="13">
        <f>'Standardized Values'!H186/H$2</f>
        <v>8.2644628099173556E-2</v>
      </c>
      <c r="I186" s="13">
        <f>'Standardized Values'!I186/I$2</f>
        <v>6.5573770491803282E-2</v>
      </c>
      <c r="J186" s="13">
        <f>'Standardized Values'!J186/J$2</f>
        <v>0.2608695652173913</v>
      </c>
      <c r="K186" s="13">
        <f>'Standardized Values'!K186/K$2</f>
        <v>0.14545454545454545</v>
      </c>
      <c r="L186" s="13">
        <f>'Standardized Values'!L186/L$2</f>
        <v>0.28333333333333333</v>
      </c>
      <c r="M186" s="4" t="s">
        <v>621</v>
      </c>
      <c r="N186" s="2" t="s">
        <v>1128</v>
      </c>
      <c r="O186" s="2"/>
      <c r="P186" s="2"/>
      <c r="Q186" s="2"/>
      <c r="R186" s="2"/>
      <c r="S186" s="2"/>
      <c r="T186" s="2"/>
      <c r="U186" s="2"/>
      <c r="V186" s="2"/>
      <c r="W186" s="2"/>
      <c r="X186" s="2"/>
      <c r="Y186" s="2"/>
      <c r="Z186" s="2"/>
    </row>
    <row r="187" spans="1:26" ht="19.5" customHeight="1">
      <c r="A187" s="4" t="s">
        <v>622</v>
      </c>
      <c r="B187" s="4" t="s">
        <v>623</v>
      </c>
      <c r="C187" s="6">
        <v>1</v>
      </c>
      <c r="D187" s="4" t="s">
        <v>624</v>
      </c>
      <c r="E187" s="13">
        <f>'Standardized Values'!E187/E$2</f>
        <v>0.08</v>
      </c>
      <c r="F187" s="13">
        <f>'Standardized Values'!F187/F$2</f>
        <v>6.545454545454546E-2</v>
      </c>
      <c r="G187" s="13">
        <f>'Standardized Values'!G187/G$2</f>
        <v>9.8039215686274508E-2</v>
      </c>
      <c r="H187" s="13">
        <f>'Standardized Values'!H187/H$2</f>
        <v>0.19834710743801653</v>
      </c>
      <c r="I187" s="13">
        <f>'Standardized Values'!I187/I$2</f>
        <v>3.2786885245901641E-2</v>
      </c>
      <c r="J187" s="13">
        <f>'Standardized Values'!J187/J$2</f>
        <v>0.12173913043478261</v>
      </c>
      <c r="K187" s="13">
        <f>'Standardized Values'!K187/K$2</f>
        <v>0.14545454545454545</v>
      </c>
      <c r="L187" s="13">
        <f>'Standardized Values'!L187/L$2</f>
        <v>0.23333333333333334</v>
      </c>
      <c r="M187" s="12" t="s">
        <v>625</v>
      </c>
      <c r="N187" s="2" t="s">
        <v>1126</v>
      </c>
      <c r="O187" s="2"/>
      <c r="P187" s="2"/>
      <c r="Q187" s="2"/>
      <c r="R187" s="2"/>
      <c r="S187" s="2"/>
      <c r="T187" s="2"/>
      <c r="U187" s="2"/>
      <c r="V187" s="2"/>
      <c r="W187" s="2"/>
      <c r="X187" s="2"/>
      <c r="Y187" s="2"/>
      <c r="Z187" s="2"/>
    </row>
    <row r="188" spans="1:26" ht="19.5" customHeight="1">
      <c r="A188" s="4" t="s">
        <v>626</v>
      </c>
      <c r="B188" s="4" t="s">
        <v>627</v>
      </c>
      <c r="C188" s="6">
        <v>1</v>
      </c>
      <c r="D188" s="4" t="s">
        <v>628</v>
      </c>
      <c r="E188" s="13">
        <f>'Standardized Values'!E188/E$2</f>
        <v>0.03</v>
      </c>
      <c r="F188" s="13">
        <f>'Standardized Values'!F188/F$2</f>
        <v>3.6363636363636364E-3</v>
      </c>
      <c r="G188" s="13">
        <f>'Standardized Values'!G188/G$2</f>
        <v>9.8039215686274508E-2</v>
      </c>
      <c r="H188" s="13">
        <f>'Standardized Values'!H188/H$2</f>
        <v>6.6115702479338845E-2</v>
      </c>
      <c r="I188" s="13">
        <f>'Standardized Values'!I188/I$2</f>
        <v>3.2786885245901641E-2</v>
      </c>
      <c r="J188" s="13">
        <f>'Standardized Values'!J188/J$2</f>
        <v>9.5652173913043481E-2</v>
      </c>
      <c r="K188" s="13">
        <f>'Standardized Values'!K188/K$2</f>
        <v>0</v>
      </c>
      <c r="L188" s="13">
        <f>'Standardized Values'!L188/L$2</f>
        <v>8.3333333333333329E-2</v>
      </c>
      <c r="M188" s="12" t="s">
        <v>629</v>
      </c>
      <c r="N188" s="2" t="s">
        <v>1128</v>
      </c>
      <c r="O188" s="2"/>
      <c r="P188" s="2"/>
      <c r="Q188" s="2"/>
      <c r="R188" s="2"/>
      <c r="S188" s="2"/>
      <c r="T188" s="2"/>
      <c r="U188" s="2"/>
      <c r="V188" s="2"/>
      <c r="W188" s="2"/>
      <c r="X188" s="2"/>
      <c r="Y188" s="2"/>
      <c r="Z188" s="2"/>
    </row>
    <row r="189" spans="1:26" ht="19.5" customHeight="1">
      <c r="A189" s="4" t="s">
        <v>630</v>
      </c>
      <c r="B189" s="4" t="s">
        <v>631</v>
      </c>
      <c r="C189" s="6">
        <v>1</v>
      </c>
      <c r="D189" s="4" t="s">
        <v>200</v>
      </c>
      <c r="E189" s="13">
        <f>'Standardized Values'!E189/E$2</f>
        <v>5.5E-2</v>
      </c>
      <c r="F189" s="13">
        <f>'Standardized Values'!F189/F$2</f>
        <v>7.636363636363637E-2</v>
      </c>
      <c r="G189" s="13">
        <f>'Standardized Values'!G189/G$2</f>
        <v>5.8823529411764705E-2</v>
      </c>
      <c r="H189" s="13">
        <f>'Standardized Values'!H189/H$2</f>
        <v>3.3057851239669422E-2</v>
      </c>
      <c r="I189" s="13">
        <f>'Standardized Values'!I189/I$2</f>
        <v>0.32786885245901637</v>
      </c>
      <c r="J189" s="13">
        <f>'Standardized Values'!J189/J$2</f>
        <v>5.434782608695652E-2</v>
      </c>
      <c r="K189" s="13">
        <f>'Standardized Values'!K189/K$2</f>
        <v>7.2727272727272724E-2</v>
      </c>
      <c r="L189" s="13">
        <f>'Standardized Values'!L189/L$2</f>
        <v>8.3333333333333329E-2</v>
      </c>
      <c r="M189" s="4" t="s">
        <v>632</v>
      </c>
      <c r="N189" s="2" t="s">
        <v>1126</v>
      </c>
      <c r="O189" s="2"/>
      <c r="P189" s="2"/>
      <c r="Q189" s="2"/>
      <c r="R189" s="2"/>
      <c r="S189" s="2"/>
      <c r="T189" s="2"/>
      <c r="U189" s="2"/>
      <c r="V189" s="2"/>
      <c r="W189" s="2"/>
      <c r="X189" s="2"/>
      <c r="Y189" s="2"/>
      <c r="Z189" s="2"/>
    </row>
    <row r="190" spans="1:26" ht="19.5" customHeight="1">
      <c r="A190" s="4" t="s">
        <v>633</v>
      </c>
      <c r="B190" s="4" t="s">
        <v>634</v>
      </c>
      <c r="C190" s="7" t="s">
        <v>176</v>
      </c>
      <c r="D190" s="4" t="s">
        <v>606</v>
      </c>
      <c r="E190" s="13">
        <f>'Standardized Values'!E190/E$2</f>
        <v>0</v>
      </c>
      <c r="F190" s="13">
        <f>'Standardized Values'!F190/F$2</f>
        <v>0</v>
      </c>
      <c r="G190" s="13">
        <f>'Standardized Values'!G190/G$2</f>
        <v>0</v>
      </c>
      <c r="H190" s="13">
        <f>'Standardized Values'!H190/H$2</f>
        <v>0</v>
      </c>
      <c r="I190" s="13">
        <f>'Standardized Values'!I190/I$2</f>
        <v>0</v>
      </c>
      <c r="J190" s="13">
        <f>'Standardized Values'!J190/J$2</f>
        <v>1.5217391304347827E-2</v>
      </c>
      <c r="K190" s="13">
        <f>'Standardized Values'!K190/K$2</f>
        <v>0</v>
      </c>
      <c r="L190" s="13">
        <f>'Standardized Values'!L190/L$2</f>
        <v>0</v>
      </c>
      <c r="M190" s="12" t="s">
        <v>635</v>
      </c>
      <c r="N190" s="2" t="s">
        <v>1129</v>
      </c>
      <c r="O190" s="2"/>
      <c r="P190" s="2"/>
      <c r="Q190" s="2"/>
      <c r="R190" s="2"/>
      <c r="S190" s="2"/>
      <c r="T190" s="2"/>
      <c r="U190" s="2"/>
      <c r="V190" s="2"/>
      <c r="W190" s="2"/>
      <c r="X190" s="2"/>
      <c r="Y190" s="2"/>
      <c r="Z190" s="2"/>
    </row>
    <row r="191" spans="1:26" ht="19.5" customHeight="1">
      <c r="A191" s="4" t="s">
        <v>636</v>
      </c>
      <c r="B191" s="4" t="s">
        <v>637</v>
      </c>
      <c r="C191" s="7" t="s">
        <v>176</v>
      </c>
      <c r="D191" s="4" t="s">
        <v>606</v>
      </c>
      <c r="E191" s="13">
        <f>'Standardized Values'!E191/E$2</f>
        <v>0</v>
      </c>
      <c r="F191" s="13">
        <f>'Standardized Values'!F191/F$2</f>
        <v>0</v>
      </c>
      <c r="G191" s="13">
        <f>'Standardized Values'!G191/G$2</f>
        <v>0</v>
      </c>
      <c r="H191" s="13">
        <f>'Standardized Values'!H191/H$2</f>
        <v>0</v>
      </c>
      <c r="I191" s="13">
        <f>'Standardized Values'!I191/I$2</f>
        <v>0</v>
      </c>
      <c r="J191" s="13">
        <f>'Standardized Values'!J191/J$2</f>
        <v>0</v>
      </c>
      <c r="K191" s="13">
        <f>'Standardized Values'!K191/K$2</f>
        <v>0</v>
      </c>
      <c r="L191" s="13">
        <f>'Standardized Values'!L191/L$2</f>
        <v>0</v>
      </c>
      <c r="M191" s="4" t="s">
        <v>638</v>
      </c>
      <c r="N191" s="2" t="s">
        <v>1129</v>
      </c>
      <c r="O191" s="2"/>
      <c r="P191" s="2"/>
      <c r="Q191" s="2"/>
      <c r="R191" s="2"/>
      <c r="S191" s="2"/>
      <c r="T191" s="2"/>
      <c r="U191" s="2"/>
      <c r="V191" s="2"/>
      <c r="W191" s="2"/>
      <c r="X191" s="2"/>
      <c r="Y191" s="2"/>
      <c r="Z191" s="2"/>
    </row>
    <row r="192" spans="1:26" ht="19.5" customHeight="1">
      <c r="A192" s="4" t="s">
        <v>639</v>
      </c>
      <c r="B192" s="4" t="s">
        <v>640</v>
      </c>
      <c r="C192" s="6">
        <v>1</v>
      </c>
      <c r="D192" s="4" t="s">
        <v>76</v>
      </c>
      <c r="E192" s="13">
        <f>'Standardized Values'!E192/E$2</f>
        <v>5.0000000000000001E-3</v>
      </c>
      <c r="F192" s="13">
        <f>'Standardized Values'!F192/F$2</f>
        <v>0</v>
      </c>
      <c r="G192" s="13">
        <f>'Standardized Values'!G192/G$2</f>
        <v>0</v>
      </c>
      <c r="H192" s="13">
        <f>'Standardized Values'!H192/H$2</f>
        <v>1.6528925619834711E-2</v>
      </c>
      <c r="I192" s="13">
        <f>'Standardized Values'!I192/I$2</f>
        <v>0</v>
      </c>
      <c r="J192" s="13">
        <f>'Standardized Values'!J192/J$2</f>
        <v>1.5217391304347827E-2</v>
      </c>
      <c r="K192" s="13">
        <f>'Standardized Values'!K192/K$2</f>
        <v>0</v>
      </c>
      <c r="L192" s="13">
        <f>'Standardized Values'!L192/L$2</f>
        <v>0</v>
      </c>
      <c r="M192" s="4" t="s">
        <v>641</v>
      </c>
      <c r="N192" s="2" t="s">
        <v>1127</v>
      </c>
      <c r="O192" s="2"/>
      <c r="P192" s="2"/>
      <c r="Q192" s="2"/>
      <c r="R192" s="2"/>
      <c r="S192" s="2"/>
      <c r="T192" s="2"/>
      <c r="U192" s="2"/>
      <c r="V192" s="2"/>
      <c r="W192" s="2"/>
      <c r="X192" s="2"/>
      <c r="Y192" s="2"/>
      <c r="Z192" s="2"/>
    </row>
    <row r="193" spans="1:26" ht="19.5" customHeight="1">
      <c r="A193" s="4" t="s">
        <v>642</v>
      </c>
      <c r="B193" s="4" t="s">
        <v>643</v>
      </c>
      <c r="C193" s="7" t="s">
        <v>176</v>
      </c>
      <c r="D193" s="4" t="s">
        <v>624</v>
      </c>
      <c r="E193" s="13">
        <f>'Standardized Values'!E193/E$2</f>
        <v>0.09</v>
      </c>
      <c r="F193" s="13">
        <f>'Standardized Values'!F193/F$2</f>
        <v>6.9090909090909092E-2</v>
      </c>
      <c r="G193" s="13">
        <f>'Standardized Values'!G193/G$2</f>
        <v>9.8039215686274508E-2</v>
      </c>
      <c r="H193" s="13">
        <f>'Standardized Values'!H193/H$2</f>
        <v>0.21487603305785125</v>
      </c>
      <c r="I193" s="13">
        <f>'Standardized Values'!I193/I$2</f>
        <v>0</v>
      </c>
      <c r="J193" s="13">
        <f>'Standardized Values'!J193/J$2</f>
        <v>0.11304347826086956</v>
      </c>
      <c r="K193" s="13">
        <f>'Standardized Values'!K193/K$2</f>
        <v>0.14545454545454545</v>
      </c>
      <c r="L193" s="13">
        <f>'Standardized Values'!L193/L$2</f>
        <v>0.23333333333333334</v>
      </c>
      <c r="M193" s="4" t="s">
        <v>644</v>
      </c>
      <c r="N193" s="2" t="s">
        <v>1126</v>
      </c>
      <c r="O193" s="2"/>
      <c r="P193" s="2"/>
      <c r="Q193" s="2"/>
      <c r="R193" s="2"/>
      <c r="S193" s="2"/>
      <c r="T193" s="2"/>
      <c r="U193" s="2"/>
      <c r="V193" s="2"/>
      <c r="W193" s="2"/>
      <c r="X193" s="2"/>
      <c r="Y193" s="2"/>
      <c r="Z193" s="2"/>
    </row>
    <row r="194" spans="1:26" ht="19.5" customHeight="1">
      <c r="A194" s="4" t="s">
        <v>645</v>
      </c>
      <c r="B194" s="4" t="s">
        <v>646</v>
      </c>
      <c r="C194" s="6">
        <v>1</v>
      </c>
      <c r="D194" s="4" t="s">
        <v>606</v>
      </c>
      <c r="E194" s="13">
        <f>'Standardized Values'!E194/E$2</f>
        <v>2.5000000000000001E-3</v>
      </c>
      <c r="F194" s="13">
        <f>'Standardized Values'!F194/F$2</f>
        <v>3.272727272727273E-2</v>
      </c>
      <c r="G194" s="13">
        <f>'Standardized Values'!G194/G$2</f>
        <v>0</v>
      </c>
      <c r="H194" s="13">
        <f>'Standardized Values'!H194/H$2</f>
        <v>0</v>
      </c>
      <c r="I194" s="13">
        <f>'Standardized Values'!I194/I$2</f>
        <v>3.2786885245901641E-2</v>
      </c>
      <c r="J194" s="13">
        <f>'Standardized Values'!J194/J$2</f>
        <v>4.3478260869565218E-3</v>
      </c>
      <c r="K194" s="13">
        <f>'Standardized Values'!K194/K$2</f>
        <v>0</v>
      </c>
      <c r="L194" s="13">
        <f>'Standardized Values'!L194/L$2</f>
        <v>0</v>
      </c>
      <c r="M194" s="4" t="s">
        <v>647</v>
      </c>
      <c r="N194" s="2" t="s">
        <v>1129</v>
      </c>
      <c r="O194" s="2"/>
      <c r="P194" s="2"/>
      <c r="Q194" s="2"/>
      <c r="R194" s="2"/>
      <c r="S194" s="2"/>
      <c r="T194" s="2"/>
      <c r="U194" s="2"/>
      <c r="V194" s="2"/>
      <c r="W194" s="2"/>
      <c r="X194" s="2"/>
      <c r="Y194" s="2"/>
      <c r="Z194" s="2"/>
    </row>
    <row r="195" spans="1:26" ht="19.5" customHeight="1">
      <c r="A195" s="4" t="s">
        <v>648</v>
      </c>
      <c r="B195" s="4" t="s">
        <v>649</v>
      </c>
      <c r="C195" s="6">
        <v>1</v>
      </c>
      <c r="D195" s="4" t="s">
        <v>205</v>
      </c>
      <c r="E195" s="13">
        <f>'Standardized Values'!E195/E$2</f>
        <v>2.2499999999999999E-2</v>
      </c>
      <c r="F195" s="13">
        <f>'Standardized Values'!F195/F$2</f>
        <v>0</v>
      </c>
      <c r="G195" s="13">
        <f>'Standardized Values'!G195/G$2</f>
        <v>9.8039215686274508E-2</v>
      </c>
      <c r="H195" s="13">
        <f>'Standardized Values'!H195/H$2</f>
        <v>4.9586776859504134E-2</v>
      </c>
      <c r="I195" s="13">
        <f>'Standardized Values'!I195/I$2</f>
        <v>0</v>
      </c>
      <c r="J195" s="13">
        <f>'Standardized Values'!J195/J$2</f>
        <v>6.5217391304347824E-2</v>
      </c>
      <c r="K195" s="13">
        <f>'Standardized Values'!K195/K$2</f>
        <v>0</v>
      </c>
      <c r="L195" s="13">
        <f>'Standardized Values'!L195/L$2</f>
        <v>3.3333333333333333E-2</v>
      </c>
      <c r="M195" s="4" t="s">
        <v>650</v>
      </c>
      <c r="N195" s="2" t="s">
        <v>1127</v>
      </c>
      <c r="O195" s="2"/>
      <c r="P195" s="2"/>
      <c r="Q195" s="2"/>
      <c r="R195" s="2"/>
      <c r="S195" s="2"/>
      <c r="T195" s="2"/>
      <c r="U195" s="2"/>
      <c r="V195" s="2"/>
      <c r="W195" s="2"/>
      <c r="X195" s="2"/>
      <c r="Y195" s="2"/>
      <c r="Z195" s="2"/>
    </row>
    <row r="196" spans="1:26" ht="19.5" customHeight="1">
      <c r="A196" s="4" t="s">
        <v>651</v>
      </c>
      <c r="B196" s="4" t="s">
        <v>652</v>
      </c>
      <c r="C196" s="6">
        <v>1</v>
      </c>
      <c r="D196" s="4" t="s">
        <v>31</v>
      </c>
      <c r="E196" s="13">
        <f>'Standardized Values'!E196/E$2</f>
        <v>1.2500000000000001E-2</v>
      </c>
      <c r="F196" s="13">
        <f>'Standardized Values'!F196/F$2</f>
        <v>2.181818181818182E-2</v>
      </c>
      <c r="G196" s="13">
        <f>'Standardized Values'!G196/G$2</f>
        <v>0</v>
      </c>
      <c r="H196" s="13">
        <f>'Standardized Values'!H196/H$2</f>
        <v>0</v>
      </c>
      <c r="I196" s="13">
        <f>'Standardized Values'!I196/I$2</f>
        <v>0.19672131147540983</v>
      </c>
      <c r="J196" s="13">
        <f>'Standardized Values'!J196/J$2</f>
        <v>0</v>
      </c>
      <c r="K196" s="13">
        <f>'Standardized Values'!K196/K$2</f>
        <v>0</v>
      </c>
      <c r="L196" s="13">
        <f>'Standardized Values'!L196/L$2</f>
        <v>0</v>
      </c>
      <c r="M196" s="4" t="s">
        <v>653</v>
      </c>
      <c r="N196" s="2" t="s">
        <v>1126</v>
      </c>
      <c r="O196" s="2"/>
      <c r="P196" s="2"/>
      <c r="Q196" s="2"/>
      <c r="R196" s="2"/>
      <c r="S196" s="2"/>
      <c r="T196" s="2"/>
      <c r="U196" s="2"/>
      <c r="V196" s="2"/>
      <c r="W196" s="2"/>
      <c r="X196" s="2"/>
      <c r="Y196" s="2"/>
      <c r="Z196" s="2"/>
    </row>
    <row r="197" spans="1:26" ht="19.5" customHeight="1">
      <c r="A197" s="4" t="s">
        <v>654</v>
      </c>
      <c r="B197" s="4" t="s">
        <v>655</v>
      </c>
      <c r="C197" s="6">
        <v>1</v>
      </c>
      <c r="D197" s="4" t="s">
        <v>31</v>
      </c>
      <c r="E197" s="13">
        <f>'Standardized Values'!E197/E$2</f>
        <v>1.2500000000000001E-2</v>
      </c>
      <c r="F197" s="13">
        <f>'Standardized Values'!F197/F$2</f>
        <v>1.090909090909091E-2</v>
      </c>
      <c r="G197" s="13">
        <f>'Standardized Values'!G197/G$2</f>
        <v>1.9607843137254902E-2</v>
      </c>
      <c r="H197" s="13">
        <f>'Standardized Values'!H197/H$2</f>
        <v>1.6528925619834711E-2</v>
      </c>
      <c r="I197" s="13">
        <f>'Standardized Values'!I197/I$2</f>
        <v>0</v>
      </c>
      <c r="J197" s="13">
        <f>'Standardized Values'!J197/J$2</f>
        <v>3.9130434782608699E-2</v>
      </c>
      <c r="K197" s="13">
        <f>'Standardized Values'!K197/K$2</f>
        <v>0</v>
      </c>
      <c r="L197" s="13">
        <f>'Standardized Values'!L197/L$2</f>
        <v>0</v>
      </c>
      <c r="M197" s="4" t="s">
        <v>656</v>
      </c>
      <c r="N197" s="2" t="s">
        <v>1127</v>
      </c>
      <c r="O197" s="2"/>
      <c r="P197" s="2"/>
      <c r="Q197" s="2"/>
      <c r="R197" s="2"/>
      <c r="S197" s="2"/>
      <c r="T197" s="2"/>
      <c r="U197" s="2"/>
      <c r="V197" s="2"/>
      <c r="W197" s="2"/>
      <c r="X197" s="2"/>
      <c r="Y197" s="2"/>
      <c r="Z197" s="2"/>
    </row>
    <row r="198" spans="1:26" ht="19.5" customHeight="1">
      <c r="A198" s="4" t="s">
        <v>657</v>
      </c>
      <c r="B198" s="4" t="s">
        <v>658</v>
      </c>
      <c r="C198" s="6">
        <v>1</v>
      </c>
      <c r="D198" s="4" t="s">
        <v>17</v>
      </c>
      <c r="E198" s="13">
        <f>'Standardized Values'!E198/E$2</f>
        <v>0.01</v>
      </c>
      <c r="F198" s="13">
        <f>'Standardized Values'!F198/F$2</f>
        <v>7.2727272727272727E-3</v>
      </c>
      <c r="G198" s="13">
        <f>'Standardized Values'!G198/G$2</f>
        <v>1.9607843137254902E-2</v>
      </c>
      <c r="H198" s="13">
        <f>'Standardized Values'!H198/H$2</f>
        <v>1.6528925619834711E-2</v>
      </c>
      <c r="I198" s="13">
        <f>'Standardized Values'!I198/I$2</f>
        <v>3.2786885245901641E-2</v>
      </c>
      <c r="J198" s="13">
        <f>'Standardized Values'!J198/J$2</f>
        <v>0.05</v>
      </c>
      <c r="K198" s="13">
        <f>'Standardized Values'!K198/K$2</f>
        <v>0</v>
      </c>
      <c r="L198" s="13">
        <f>'Standardized Values'!L198/L$2</f>
        <v>1.6666666666666666E-2</v>
      </c>
      <c r="M198" s="4" t="s">
        <v>659</v>
      </c>
      <c r="N198" s="2" t="s">
        <v>1127</v>
      </c>
      <c r="O198" s="2"/>
      <c r="P198" s="2"/>
      <c r="Q198" s="2"/>
      <c r="R198" s="2"/>
      <c r="S198" s="2"/>
      <c r="T198" s="2"/>
      <c r="U198" s="2"/>
      <c r="V198" s="2"/>
      <c r="W198" s="2"/>
      <c r="X198" s="2"/>
      <c r="Y198" s="2"/>
      <c r="Z198" s="2"/>
    </row>
    <row r="199" spans="1:26" ht="19.5" customHeight="1">
      <c r="A199" s="4" t="s">
        <v>660</v>
      </c>
      <c r="B199" s="4" t="s">
        <v>661</v>
      </c>
      <c r="C199" s="6">
        <v>1</v>
      </c>
      <c r="D199" s="4" t="s">
        <v>205</v>
      </c>
      <c r="E199" s="13">
        <f>'Standardized Values'!E199/E$2</f>
        <v>2.5000000000000001E-3</v>
      </c>
      <c r="F199" s="13">
        <f>'Standardized Values'!F199/F$2</f>
        <v>3.6363636363636364E-3</v>
      </c>
      <c r="G199" s="13">
        <f>'Standardized Values'!G199/G$2</f>
        <v>0</v>
      </c>
      <c r="H199" s="13">
        <f>'Standardized Values'!H199/H$2</f>
        <v>0</v>
      </c>
      <c r="I199" s="13">
        <f>'Standardized Values'!I199/I$2</f>
        <v>0</v>
      </c>
      <c r="J199" s="13">
        <f>'Standardized Values'!J199/J$2</f>
        <v>0.12173913043478261</v>
      </c>
      <c r="K199" s="13">
        <f>'Standardized Values'!K199/K$2</f>
        <v>0</v>
      </c>
      <c r="L199" s="13">
        <f>'Standardized Values'!L199/L$2</f>
        <v>0</v>
      </c>
      <c r="M199" s="4" t="s">
        <v>662</v>
      </c>
      <c r="N199" s="2" t="s">
        <v>1126</v>
      </c>
      <c r="O199" s="2"/>
      <c r="P199" s="2"/>
      <c r="Q199" s="2"/>
      <c r="R199" s="2"/>
      <c r="S199" s="2"/>
      <c r="T199" s="2"/>
      <c r="U199" s="2"/>
      <c r="V199" s="2"/>
      <c r="W199" s="2"/>
      <c r="X199" s="2"/>
      <c r="Y199" s="2"/>
      <c r="Z199" s="2"/>
    </row>
    <row r="200" spans="1:26" ht="19.5" customHeight="1">
      <c r="A200" s="4" t="s">
        <v>663</v>
      </c>
      <c r="B200" s="4" t="s">
        <v>664</v>
      </c>
      <c r="C200" s="6">
        <v>1</v>
      </c>
      <c r="D200" s="4" t="s">
        <v>205</v>
      </c>
      <c r="E200" s="13">
        <f>'Standardized Values'!E200/E$2</f>
        <v>5.0000000000000001E-3</v>
      </c>
      <c r="F200" s="13">
        <f>'Standardized Values'!F200/F$2</f>
        <v>7.2727272727272727E-3</v>
      </c>
      <c r="G200" s="13">
        <f>'Standardized Values'!G200/G$2</f>
        <v>0</v>
      </c>
      <c r="H200" s="13">
        <f>'Standardized Values'!H200/H$2</f>
        <v>0</v>
      </c>
      <c r="I200" s="13">
        <f>'Standardized Values'!I200/I$2</f>
        <v>0</v>
      </c>
      <c r="J200" s="13">
        <f>'Standardized Values'!J200/J$2</f>
        <v>7.8260869565217397E-2</v>
      </c>
      <c r="K200" s="13">
        <f>'Standardized Values'!K200/K$2</f>
        <v>0</v>
      </c>
      <c r="L200" s="13">
        <f>'Standardized Values'!L200/L$2</f>
        <v>0</v>
      </c>
      <c r="M200" s="4" t="s">
        <v>665</v>
      </c>
      <c r="N200" s="2" t="s">
        <v>1126</v>
      </c>
      <c r="O200" s="2"/>
      <c r="P200" s="2"/>
      <c r="Q200" s="2"/>
      <c r="R200" s="2"/>
      <c r="S200" s="2"/>
      <c r="T200" s="2"/>
      <c r="U200" s="2"/>
      <c r="V200" s="2"/>
      <c r="W200" s="2"/>
      <c r="X200" s="2"/>
      <c r="Y200" s="2"/>
      <c r="Z200" s="2"/>
    </row>
    <row r="201" spans="1:26" ht="19.5" customHeight="1">
      <c r="A201" s="4" t="s">
        <v>666</v>
      </c>
      <c r="B201" s="4" t="s">
        <v>667</v>
      </c>
      <c r="C201" s="7" t="s">
        <v>176</v>
      </c>
      <c r="D201" s="4" t="s">
        <v>31</v>
      </c>
      <c r="E201" s="13">
        <f>'Standardized Values'!E201/E$2</f>
        <v>2.5499999999999998E-2</v>
      </c>
      <c r="F201" s="13">
        <f>'Standardized Values'!F201/F$2</f>
        <v>1.4545454545454545E-2</v>
      </c>
      <c r="G201" s="13">
        <f>'Standardized Values'!G201/G$2</f>
        <v>1.9607843137254902E-2</v>
      </c>
      <c r="H201" s="13">
        <f>'Standardized Values'!H201/H$2</f>
        <v>6.6115702479338845E-2</v>
      </c>
      <c r="I201" s="13">
        <f>'Standardized Values'!I201/I$2</f>
        <v>0</v>
      </c>
      <c r="J201" s="13">
        <f>'Standardized Values'!J201/J$2</f>
        <v>6.956521739130435E-3</v>
      </c>
      <c r="K201" s="13">
        <f>'Standardized Values'!K201/K$2</f>
        <v>3.6363636363636362E-2</v>
      </c>
      <c r="L201" s="13">
        <f>'Standardized Values'!L201/L$2</f>
        <v>0</v>
      </c>
      <c r="M201" s="4" t="s">
        <v>668</v>
      </c>
      <c r="N201" s="2" t="s">
        <v>1127</v>
      </c>
      <c r="O201" s="2"/>
      <c r="P201" s="2"/>
      <c r="Q201" s="2"/>
      <c r="R201" s="2"/>
      <c r="S201" s="2"/>
      <c r="T201" s="2"/>
      <c r="U201" s="2"/>
      <c r="V201" s="2"/>
      <c r="W201" s="2"/>
      <c r="X201" s="2"/>
      <c r="Y201" s="2"/>
      <c r="Z201" s="2"/>
    </row>
    <row r="202" spans="1:26" ht="19.5" customHeight="1">
      <c r="A202" s="4" t="s">
        <v>669</v>
      </c>
      <c r="B202" s="4" t="s">
        <v>670</v>
      </c>
      <c r="C202" s="7" t="s">
        <v>176</v>
      </c>
      <c r="D202" s="4" t="s">
        <v>205</v>
      </c>
      <c r="E202" s="13">
        <f>'Standardized Values'!E202/E$2</f>
        <v>1.4999999999999999E-2</v>
      </c>
      <c r="F202" s="13">
        <f>'Standardized Values'!F202/F$2</f>
        <v>2.181818181818182E-2</v>
      </c>
      <c r="G202" s="13">
        <f>'Standardized Values'!G202/G$2</f>
        <v>0</v>
      </c>
      <c r="H202" s="13">
        <f>'Standardized Values'!H202/H$2</f>
        <v>0</v>
      </c>
      <c r="I202" s="13">
        <f>'Standardized Values'!I202/I$2</f>
        <v>6.5573770491803282E-2</v>
      </c>
      <c r="J202" s="13">
        <f>'Standardized Values'!J202/J$2</f>
        <v>4.3478260869565218E-3</v>
      </c>
      <c r="K202" s="13">
        <f>'Standardized Values'!K202/K$2</f>
        <v>3.6363636363636362E-2</v>
      </c>
      <c r="L202" s="13">
        <f>'Standardized Values'!L202/L$2</f>
        <v>0</v>
      </c>
      <c r="M202" s="4" t="s">
        <v>671</v>
      </c>
      <c r="N202" s="2" t="s">
        <v>1127</v>
      </c>
      <c r="O202" s="2"/>
      <c r="P202" s="2"/>
      <c r="Q202" s="2"/>
      <c r="R202" s="2"/>
      <c r="S202" s="2"/>
      <c r="T202" s="2"/>
      <c r="U202" s="2"/>
      <c r="V202" s="2"/>
      <c r="W202" s="2"/>
      <c r="X202" s="2"/>
      <c r="Y202" s="2"/>
      <c r="Z202" s="2"/>
    </row>
    <row r="203" spans="1:26" ht="19.5" customHeight="1">
      <c r="A203" s="4" t="s">
        <v>672</v>
      </c>
      <c r="B203" s="4" t="s">
        <v>673</v>
      </c>
      <c r="C203" s="6">
        <v>1</v>
      </c>
      <c r="D203" s="4" t="s">
        <v>17</v>
      </c>
      <c r="E203" s="13">
        <f>'Standardized Values'!E203/E$2</f>
        <v>2.5000000000000001E-2</v>
      </c>
      <c r="F203" s="13">
        <f>'Standardized Values'!F203/F$2</f>
        <v>3.6363636363636364E-3</v>
      </c>
      <c r="G203" s="13">
        <f>'Standardized Values'!G203/G$2</f>
        <v>3.9215686274509803E-2</v>
      </c>
      <c r="H203" s="13">
        <f>'Standardized Values'!H203/H$2</f>
        <v>0</v>
      </c>
      <c r="I203" s="13">
        <f>'Standardized Values'!I203/I$2</f>
        <v>0</v>
      </c>
      <c r="J203" s="13">
        <f>'Standardized Values'!J203/J$2</f>
        <v>3.0434782608695653E-2</v>
      </c>
      <c r="K203" s="13">
        <f>'Standardized Values'!K203/K$2</f>
        <v>0</v>
      </c>
      <c r="L203" s="13">
        <f>'Standardized Values'!L203/L$2</f>
        <v>0</v>
      </c>
      <c r="M203" s="4" t="s">
        <v>674</v>
      </c>
      <c r="N203" s="2" t="s">
        <v>1127</v>
      </c>
      <c r="O203" s="2"/>
      <c r="P203" s="2"/>
      <c r="Q203" s="2"/>
      <c r="R203" s="2"/>
      <c r="S203" s="2"/>
      <c r="T203" s="2"/>
      <c r="U203" s="2"/>
      <c r="V203" s="2"/>
      <c r="W203" s="2"/>
      <c r="X203" s="2"/>
      <c r="Y203" s="2"/>
      <c r="Z203" s="2"/>
    </row>
    <row r="204" spans="1:26" ht="19.5" customHeight="1">
      <c r="A204" s="4" t="s">
        <v>675</v>
      </c>
      <c r="B204" s="4" t="s">
        <v>676</v>
      </c>
      <c r="C204" s="6">
        <v>1</v>
      </c>
      <c r="D204" s="4" t="s">
        <v>599</v>
      </c>
      <c r="E204" s="13">
        <f>'Standardized Values'!E204/E$2</f>
        <v>0.08</v>
      </c>
      <c r="F204" s="13">
        <f>'Standardized Values'!F204/F$2</f>
        <v>5.4545454545454543E-2</v>
      </c>
      <c r="G204" s="13">
        <f>'Standardized Values'!G204/G$2</f>
        <v>0.11764705882352941</v>
      </c>
      <c r="H204" s="13">
        <f>'Standardized Values'!H204/H$2</f>
        <v>0.21487603305785125</v>
      </c>
      <c r="I204" s="13">
        <f>'Standardized Values'!I204/I$2</f>
        <v>6.5573770491803282E-2</v>
      </c>
      <c r="J204" s="13">
        <f>'Standardized Values'!J204/J$2</f>
        <v>0.1</v>
      </c>
      <c r="K204" s="13">
        <f>'Standardized Values'!K204/K$2</f>
        <v>0.25454545454545452</v>
      </c>
      <c r="L204" s="13">
        <f>'Standardized Values'!L204/L$2</f>
        <v>0</v>
      </c>
      <c r="M204" s="4" t="s">
        <v>677</v>
      </c>
      <c r="N204" s="2" t="s">
        <v>1126</v>
      </c>
      <c r="O204" s="2"/>
      <c r="P204" s="2"/>
      <c r="Q204" s="2"/>
      <c r="R204" s="2"/>
      <c r="S204" s="2"/>
      <c r="T204" s="2"/>
      <c r="U204" s="2"/>
      <c r="V204" s="2"/>
      <c r="W204" s="2"/>
      <c r="X204" s="2"/>
      <c r="Y204" s="2"/>
      <c r="Z204" s="2"/>
    </row>
    <row r="205" spans="1:26" ht="19.5" customHeight="1">
      <c r="A205" s="4" t="s">
        <v>678</v>
      </c>
      <c r="B205" s="4" t="s">
        <v>679</v>
      </c>
      <c r="C205" s="6">
        <v>1</v>
      </c>
      <c r="D205" s="4" t="s">
        <v>205</v>
      </c>
      <c r="E205" s="13">
        <f>'Standardized Values'!E205/E$2</f>
        <v>7.0000000000000007E-2</v>
      </c>
      <c r="F205" s="13">
        <f>'Standardized Values'!F205/F$2</f>
        <v>7.636363636363637E-2</v>
      </c>
      <c r="G205" s="13">
        <f>'Standardized Values'!G205/G$2</f>
        <v>1.9607843137254902E-2</v>
      </c>
      <c r="H205" s="13">
        <f>'Standardized Values'!H205/H$2</f>
        <v>9.9173553719008267E-2</v>
      </c>
      <c r="I205" s="13">
        <f>'Standardized Values'!I205/I$2</f>
        <v>3.2786885245901641E-2</v>
      </c>
      <c r="J205" s="13">
        <f>'Standardized Values'!J205/J$2</f>
        <v>5.8695652173913045E-2</v>
      </c>
      <c r="K205" s="13">
        <f>'Standardized Values'!K205/K$2</f>
        <v>0</v>
      </c>
      <c r="L205" s="13">
        <f>'Standardized Values'!L205/L$2</f>
        <v>0</v>
      </c>
      <c r="M205" s="4" t="s">
        <v>680</v>
      </c>
      <c r="N205" s="2" t="s">
        <v>1126</v>
      </c>
      <c r="O205" s="2"/>
      <c r="P205" s="2"/>
      <c r="Q205" s="2"/>
      <c r="R205" s="2"/>
      <c r="S205" s="2"/>
      <c r="T205" s="2"/>
      <c r="U205" s="2"/>
      <c r="V205" s="2"/>
      <c r="W205" s="2"/>
      <c r="X205" s="2"/>
      <c r="Y205" s="2"/>
      <c r="Z205" s="2"/>
    </row>
    <row r="206" spans="1:26" ht="19.5" customHeight="1">
      <c r="A206" s="4" t="s">
        <v>681</v>
      </c>
      <c r="B206" s="4" t="s">
        <v>682</v>
      </c>
      <c r="C206" s="6">
        <v>1</v>
      </c>
      <c r="D206" s="4" t="s">
        <v>205</v>
      </c>
      <c r="E206" s="13">
        <f>'Standardized Values'!E206/E$2</f>
        <v>0.09</v>
      </c>
      <c r="F206" s="13">
        <f>'Standardized Values'!F206/F$2</f>
        <v>3.6363636363636362E-2</v>
      </c>
      <c r="G206" s="13">
        <f>'Standardized Values'!G206/G$2</f>
        <v>3.9215686274509803E-2</v>
      </c>
      <c r="H206" s="13">
        <f>'Standardized Values'!H206/H$2</f>
        <v>0.24793388429752067</v>
      </c>
      <c r="I206" s="13">
        <f>'Standardized Values'!I206/I$2</f>
        <v>3.2786885245901641E-2</v>
      </c>
      <c r="J206" s="13">
        <f>'Standardized Values'!J206/J$2</f>
        <v>4.5652173913043478E-2</v>
      </c>
      <c r="K206" s="13">
        <f>'Standardized Values'!K206/K$2</f>
        <v>0.18181818181818182</v>
      </c>
      <c r="L206" s="13">
        <f>'Standardized Values'!L206/L$2</f>
        <v>0</v>
      </c>
      <c r="M206" s="4" t="s">
        <v>683</v>
      </c>
      <c r="N206" s="2" t="s">
        <v>1126</v>
      </c>
      <c r="O206" s="2"/>
      <c r="P206" s="2"/>
      <c r="Q206" s="2"/>
      <c r="R206" s="2"/>
      <c r="S206" s="2"/>
      <c r="T206" s="2"/>
      <c r="U206" s="2"/>
      <c r="V206" s="2"/>
      <c r="W206" s="2"/>
      <c r="X206" s="2"/>
      <c r="Y206" s="2"/>
      <c r="Z206" s="2"/>
    </row>
    <row r="207" spans="1:26" ht="19.5" customHeight="1">
      <c r="A207" s="4" t="s">
        <v>684</v>
      </c>
      <c r="B207" s="4" t="s">
        <v>685</v>
      </c>
      <c r="C207" s="6">
        <v>1</v>
      </c>
      <c r="D207" s="4" t="s">
        <v>686</v>
      </c>
      <c r="E207" s="13">
        <f>'Standardized Values'!E207/E$2</f>
        <v>0.05</v>
      </c>
      <c r="F207" s="13">
        <f>'Standardized Values'!F207/F$2</f>
        <v>1.8181818181818182E-3</v>
      </c>
      <c r="G207" s="13">
        <f>'Standardized Values'!G207/G$2</f>
        <v>0.19607843137254902</v>
      </c>
      <c r="H207" s="13">
        <f>'Standardized Values'!H207/H$2</f>
        <v>4.1322314049586778E-2</v>
      </c>
      <c r="I207" s="13">
        <f>'Standardized Values'!I207/I$2</f>
        <v>0</v>
      </c>
      <c r="J207" s="13">
        <f>'Standardized Values'!J207/J$2</f>
        <v>0.12608695652173912</v>
      </c>
      <c r="K207" s="13">
        <f>'Standardized Values'!K207/K$2</f>
        <v>0</v>
      </c>
      <c r="L207" s="13">
        <f>'Standardized Values'!L207/L$2</f>
        <v>7.3333333333333334E-2</v>
      </c>
      <c r="M207" s="4" t="s">
        <v>687</v>
      </c>
      <c r="N207" s="2" t="s">
        <v>1126</v>
      </c>
      <c r="O207" s="2"/>
      <c r="P207" s="2"/>
      <c r="Q207" s="2"/>
      <c r="R207" s="2"/>
      <c r="S207" s="2"/>
      <c r="T207" s="2"/>
      <c r="U207" s="2"/>
      <c r="V207" s="2"/>
      <c r="W207" s="2"/>
      <c r="X207" s="2"/>
      <c r="Y207" s="2"/>
      <c r="Z207" s="2"/>
    </row>
    <row r="208" spans="1:26" ht="19.5" customHeight="1">
      <c r="A208" s="4" t="s">
        <v>688</v>
      </c>
      <c r="B208" s="4" t="s">
        <v>689</v>
      </c>
      <c r="C208" s="6">
        <v>1</v>
      </c>
      <c r="D208" s="4" t="s">
        <v>690</v>
      </c>
      <c r="E208" s="13">
        <f>'Standardized Values'!E208/E$2</f>
        <v>0.14499999999999999</v>
      </c>
      <c r="F208" s="13">
        <f>'Standardized Values'!F208/F$2</f>
        <v>0.12727272727272726</v>
      </c>
      <c r="G208" s="13">
        <f>'Standardized Values'!G208/G$2</f>
        <v>0.37254901960784315</v>
      </c>
      <c r="H208" s="13">
        <f>'Standardized Values'!H208/H$2</f>
        <v>0.13223140495867769</v>
      </c>
      <c r="I208" s="13">
        <f>'Standardized Values'!I208/I$2</f>
        <v>0.19672131147540983</v>
      </c>
      <c r="J208" s="13">
        <f>'Standardized Values'!J208/J$2</f>
        <v>0.28695652173913044</v>
      </c>
      <c r="K208" s="13">
        <f>'Standardized Values'!K208/K$2</f>
        <v>0.25454545454545452</v>
      </c>
      <c r="L208" s="13">
        <f>'Standardized Values'!L208/L$2</f>
        <v>0.18333333333333332</v>
      </c>
      <c r="M208" s="4" t="s">
        <v>691</v>
      </c>
      <c r="N208" s="2" t="s">
        <v>1128</v>
      </c>
      <c r="O208" s="2"/>
      <c r="P208" s="2"/>
      <c r="Q208" s="2"/>
      <c r="R208" s="2"/>
      <c r="S208" s="2"/>
      <c r="T208" s="2"/>
      <c r="U208" s="2"/>
      <c r="V208" s="2"/>
      <c r="W208" s="2"/>
      <c r="X208" s="2"/>
      <c r="Y208" s="2"/>
      <c r="Z208" s="2"/>
    </row>
    <row r="209" spans="1:26" ht="19.5" customHeight="1">
      <c r="A209" s="4" t="s">
        <v>692</v>
      </c>
      <c r="B209" s="4" t="s">
        <v>693</v>
      </c>
      <c r="C209" s="6">
        <v>1</v>
      </c>
      <c r="D209" s="4" t="s">
        <v>599</v>
      </c>
      <c r="E209" s="13">
        <f>'Standardized Values'!E209/E$2</f>
        <v>0.105</v>
      </c>
      <c r="F209" s="13">
        <f>'Standardized Values'!F209/F$2</f>
        <v>0.04</v>
      </c>
      <c r="G209" s="13">
        <f>'Standardized Values'!G209/G$2</f>
        <v>0.17647058823529413</v>
      </c>
      <c r="H209" s="13">
        <f>'Standardized Values'!H209/H$2</f>
        <v>0.24793388429752067</v>
      </c>
      <c r="I209" s="13">
        <f>'Standardized Values'!I209/I$2</f>
        <v>9.8360655737704916E-2</v>
      </c>
      <c r="J209" s="13">
        <f>'Standardized Values'!J209/J$2</f>
        <v>2.391304347826087E-2</v>
      </c>
      <c r="K209" s="13">
        <f>'Standardized Values'!K209/K$2</f>
        <v>0.21818181818181817</v>
      </c>
      <c r="L209" s="13">
        <f>'Standardized Values'!L209/L$2</f>
        <v>0</v>
      </c>
      <c r="M209" s="4" t="s">
        <v>694</v>
      </c>
      <c r="N209" s="2" t="s">
        <v>1126</v>
      </c>
      <c r="O209" s="2"/>
      <c r="P209" s="2"/>
      <c r="Q209" s="2"/>
      <c r="R209" s="2"/>
      <c r="S209" s="2"/>
      <c r="T209" s="2"/>
      <c r="U209" s="2"/>
      <c r="V209" s="2"/>
      <c r="W209" s="2"/>
      <c r="X209" s="2"/>
      <c r="Y209" s="2"/>
      <c r="Z209" s="2"/>
    </row>
    <row r="210" spans="1:26" ht="19.5" customHeight="1">
      <c r="A210" s="4" t="s">
        <v>695</v>
      </c>
      <c r="B210" s="4" t="s">
        <v>696</v>
      </c>
      <c r="C210" s="6">
        <v>1</v>
      </c>
      <c r="D210" s="4" t="s">
        <v>599</v>
      </c>
      <c r="E210" s="13">
        <f>'Standardized Values'!E210/E$2</f>
        <v>0.105</v>
      </c>
      <c r="F210" s="13">
        <f>'Standardized Values'!F210/F$2</f>
        <v>0.04</v>
      </c>
      <c r="G210" s="13">
        <f>'Standardized Values'!G210/G$2</f>
        <v>0.17647058823529413</v>
      </c>
      <c r="H210" s="13">
        <f>'Standardized Values'!H210/H$2</f>
        <v>0.24793388429752067</v>
      </c>
      <c r="I210" s="13">
        <f>'Standardized Values'!I210/I$2</f>
        <v>9.8360655737704916E-2</v>
      </c>
      <c r="J210" s="13">
        <f>'Standardized Values'!J210/J$2</f>
        <v>1.7391304347826087E-2</v>
      </c>
      <c r="K210" s="13">
        <f>'Standardized Values'!K210/K$2</f>
        <v>0.21818181818181817</v>
      </c>
      <c r="L210" s="13">
        <f>'Standardized Values'!L210/L$2</f>
        <v>0</v>
      </c>
      <c r="M210" s="4" t="s">
        <v>697</v>
      </c>
      <c r="N210" s="2" t="s">
        <v>1126</v>
      </c>
      <c r="O210" s="2"/>
      <c r="P210" s="2"/>
      <c r="Q210" s="2"/>
      <c r="R210" s="2"/>
      <c r="S210" s="2"/>
      <c r="T210" s="2"/>
      <c r="U210" s="2"/>
      <c r="V210" s="2"/>
      <c r="W210" s="2"/>
      <c r="X210" s="2"/>
      <c r="Y210" s="2"/>
      <c r="Z210" s="2"/>
    </row>
    <row r="211" spans="1:26" ht="19.5" customHeight="1">
      <c r="A211" s="4" t="s">
        <v>698</v>
      </c>
      <c r="B211" s="4" t="s">
        <v>699</v>
      </c>
      <c r="C211" s="7" t="s">
        <v>176</v>
      </c>
      <c r="D211" s="4" t="s">
        <v>599</v>
      </c>
      <c r="E211" s="13">
        <f>'Standardized Values'!E211/E$2</f>
        <v>0.105</v>
      </c>
      <c r="F211" s="13">
        <f>'Standardized Values'!F211/F$2</f>
        <v>0.04</v>
      </c>
      <c r="G211" s="13">
        <f>'Standardized Values'!G211/G$2</f>
        <v>0.17647058823529413</v>
      </c>
      <c r="H211" s="13">
        <f>'Standardized Values'!H211/H$2</f>
        <v>0.26446280991735538</v>
      </c>
      <c r="I211" s="13">
        <f>'Standardized Values'!I211/I$2</f>
        <v>6.5573770491803282E-2</v>
      </c>
      <c r="J211" s="13">
        <f>'Standardized Values'!J211/J$2</f>
        <v>4.7826086956521741E-2</v>
      </c>
      <c r="K211" s="13">
        <f>'Standardized Values'!K211/K$2</f>
        <v>0.21818181818181817</v>
      </c>
      <c r="L211" s="13">
        <f>'Standardized Values'!L211/L$2</f>
        <v>0</v>
      </c>
      <c r="M211" s="4" t="s">
        <v>700</v>
      </c>
      <c r="N211" s="2" t="s">
        <v>1126</v>
      </c>
      <c r="O211" s="2"/>
      <c r="P211" s="2"/>
      <c r="Q211" s="2"/>
      <c r="R211" s="2"/>
      <c r="S211" s="2"/>
      <c r="T211" s="2"/>
      <c r="U211" s="2"/>
      <c r="V211" s="2"/>
      <c r="W211" s="2"/>
      <c r="X211" s="2"/>
      <c r="Y211" s="2"/>
      <c r="Z211" s="2"/>
    </row>
    <row r="212" spans="1:26" ht="19.5" customHeight="1">
      <c r="A212" s="4" t="s">
        <v>701</v>
      </c>
      <c r="B212" s="4" t="s">
        <v>702</v>
      </c>
      <c r="C212" s="6">
        <v>1</v>
      </c>
      <c r="D212" s="4" t="s">
        <v>599</v>
      </c>
      <c r="E212" s="13">
        <f>'Standardized Values'!E212/E$2</f>
        <v>0.105</v>
      </c>
      <c r="F212" s="13">
        <f>'Standardized Values'!F212/F$2</f>
        <v>0.04</v>
      </c>
      <c r="G212" s="13">
        <f>'Standardized Values'!G212/G$2</f>
        <v>0.17647058823529413</v>
      </c>
      <c r="H212" s="13">
        <f>'Standardized Values'!H212/H$2</f>
        <v>0.26446280991735538</v>
      </c>
      <c r="I212" s="13">
        <f>'Standardized Values'!I212/I$2</f>
        <v>3.2786885245901641E-2</v>
      </c>
      <c r="J212" s="13">
        <f>'Standardized Values'!J212/J$2</f>
        <v>2.1739130434782608E-2</v>
      </c>
      <c r="K212" s="13">
        <f>'Standardized Values'!K212/K$2</f>
        <v>0.21818181818181817</v>
      </c>
      <c r="L212" s="13">
        <f>'Standardized Values'!L212/L$2</f>
        <v>0</v>
      </c>
      <c r="M212" s="4" t="s">
        <v>703</v>
      </c>
      <c r="N212" s="2" t="s">
        <v>1126</v>
      </c>
      <c r="O212" s="2"/>
      <c r="P212" s="2"/>
      <c r="Q212" s="2"/>
      <c r="R212" s="2"/>
      <c r="S212" s="2"/>
      <c r="T212" s="2"/>
      <c r="U212" s="2"/>
      <c r="V212" s="2"/>
      <c r="W212" s="2"/>
      <c r="X212" s="2"/>
      <c r="Y212" s="2"/>
      <c r="Z212" s="2"/>
    </row>
    <row r="213" spans="1:26" ht="19.5" customHeight="1">
      <c r="A213" s="4" t="s">
        <v>704</v>
      </c>
      <c r="B213" s="4" t="s">
        <v>705</v>
      </c>
      <c r="C213" s="6">
        <v>1</v>
      </c>
      <c r="D213" s="4" t="s">
        <v>624</v>
      </c>
      <c r="E213" s="13">
        <f>'Standardized Values'!E213/E$2</f>
        <v>0.09</v>
      </c>
      <c r="F213" s="13">
        <f>'Standardized Values'!F213/F$2</f>
        <v>6.1818181818181821E-2</v>
      </c>
      <c r="G213" s="13">
        <f>'Standardized Values'!G213/G$2</f>
        <v>9.8039215686274508E-2</v>
      </c>
      <c r="H213" s="13">
        <f>'Standardized Values'!H213/H$2</f>
        <v>0.23140495867768596</v>
      </c>
      <c r="I213" s="13">
        <f>'Standardized Values'!I213/I$2</f>
        <v>3.2786885245901641E-2</v>
      </c>
      <c r="J213" s="13">
        <f>'Standardized Values'!J213/J$2</f>
        <v>0.12608695652173912</v>
      </c>
      <c r="K213" s="13">
        <f>'Standardized Values'!K213/K$2</f>
        <v>0.14545454545454545</v>
      </c>
      <c r="L213" s="13">
        <f>'Standardized Values'!L213/L$2</f>
        <v>0.21666666666666667</v>
      </c>
      <c r="M213" s="4" t="s">
        <v>706</v>
      </c>
      <c r="N213" s="2" t="s">
        <v>1126</v>
      </c>
      <c r="O213" s="2"/>
      <c r="P213" s="2"/>
      <c r="Q213" s="2"/>
      <c r="R213" s="2"/>
      <c r="S213" s="2"/>
      <c r="T213" s="2"/>
      <c r="U213" s="2"/>
      <c r="V213" s="2"/>
      <c r="W213" s="2"/>
      <c r="X213" s="2"/>
      <c r="Y213" s="2"/>
      <c r="Z213" s="2"/>
    </row>
    <row r="214" spans="1:26" ht="19.5" customHeight="1">
      <c r="A214" s="4" t="s">
        <v>707</v>
      </c>
      <c r="B214" s="4" t="s">
        <v>708</v>
      </c>
      <c r="C214" s="6">
        <v>1</v>
      </c>
      <c r="D214" s="4" t="s">
        <v>205</v>
      </c>
      <c r="E214" s="13">
        <f>'Standardized Values'!E214/E$2</f>
        <v>0.06</v>
      </c>
      <c r="F214" s="13">
        <f>'Standardized Values'!F214/F$2</f>
        <v>3.6363636363636362E-2</v>
      </c>
      <c r="G214" s="13">
        <f>'Standardized Values'!G214/G$2</f>
        <v>7.8431372549019607E-2</v>
      </c>
      <c r="H214" s="13">
        <f>'Standardized Values'!H214/H$2</f>
        <v>0.13223140495867769</v>
      </c>
      <c r="I214" s="13">
        <f>'Standardized Values'!I214/I$2</f>
        <v>0.29508196721311475</v>
      </c>
      <c r="J214" s="13">
        <f>'Standardized Values'!J214/J$2</f>
        <v>1.7391304347826087E-2</v>
      </c>
      <c r="K214" s="13">
        <f>'Standardized Values'!K214/K$2</f>
        <v>3.6363636363636362E-2</v>
      </c>
      <c r="L214" s="13">
        <f>'Standardized Values'!L214/L$2</f>
        <v>0</v>
      </c>
      <c r="M214" s="4" t="s">
        <v>709</v>
      </c>
      <c r="N214" s="2" t="s">
        <v>1126</v>
      </c>
      <c r="O214" s="2"/>
      <c r="P214" s="2"/>
      <c r="Q214" s="2"/>
      <c r="R214" s="2"/>
      <c r="S214" s="2"/>
      <c r="T214" s="2"/>
      <c r="U214" s="2"/>
      <c r="V214" s="2"/>
      <c r="W214" s="2"/>
      <c r="X214" s="2"/>
      <c r="Y214" s="2"/>
      <c r="Z214" s="2"/>
    </row>
    <row r="215" spans="1:26" ht="19.5" customHeight="1">
      <c r="A215" s="4" t="s">
        <v>710</v>
      </c>
      <c r="B215" s="4" t="s">
        <v>711</v>
      </c>
      <c r="C215" s="6">
        <v>1</v>
      </c>
      <c r="D215" s="4" t="s">
        <v>212</v>
      </c>
      <c r="E215" s="13">
        <f>'Standardized Values'!E215/E$2</f>
        <v>0.08</v>
      </c>
      <c r="F215" s="13">
        <f>'Standardized Values'!F215/F$2</f>
        <v>0</v>
      </c>
      <c r="G215" s="13">
        <f>'Standardized Values'!G215/G$2</f>
        <v>0.62745098039215685</v>
      </c>
      <c r="H215" s="13">
        <f>'Standardized Values'!H215/H$2</f>
        <v>6.6115702479338845E-2</v>
      </c>
      <c r="I215" s="13">
        <f>'Standardized Values'!I215/I$2</f>
        <v>0</v>
      </c>
      <c r="J215" s="13">
        <f>'Standardized Values'!J215/J$2</f>
        <v>0.2</v>
      </c>
      <c r="K215" s="13">
        <f>'Standardized Values'!K215/K$2</f>
        <v>0</v>
      </c>
      <c r="L215" s="13">
        <f>'Standardized Values'!L215/L$2</f>
        <v>0.26666666666666666</v>
      </c>
      <c r="M215" s="4" t="s">
        <v>712</v>
      </c>
      <c r="N215" s="2" t="s">
        <v>1128</v>
      </c>
      <c r="O215" s="2"/>
      <c r="P215" s="2"/>
      <c r="Q215" s="2"/>
      <c r="R215" s="2"/>
      <c r="S215" s="2"/>
      <c r="T215" s="2"/>
      <c r="U215" s="2"/>
      <c r="V215" s="2"/>
      <c r="W215" s="2"/>
      <c r="X215" s="2"/>
      <c r="Y215" s="2"/>
      <c r="Z215" s="2"/>
    </row>
    <row r="216" spans="1:26" ht="19.5" customHeight="1">
      <c r="A216" s="4" t="s">
        <v>713</v>
      </c>
      <c r="B216" s="4" t="s">
        <v>714</v>
      </c>
      <c r="C216" s="6">
        <v>1</v>
      </c>
      <c r="D216" s="4" t="s">
        <v>17</v>
      </c>
      <c r="E216" s="13">
        <f>'Standardized Values'!E216/E$2</f>
        <v>0.02</v>
      </c>
      <c r="F216" s="13">
        <f>'Standardized Values'!F216/F$2</f>
        <v>2.5454545454545455E-2</v>
      </c>
      <c r="G216" s="13">
        <f>'Standardized Values'!G216/G$2</f>
        <v>3.9215686274509803E-2</v>
      </c>
      <c r="H216" s="13">
        <f>'Standardized Values'!H216/H$2</f>
        <v>0</v>
      </c>
      <c r="I216" s="13">
        <f>'Standardized Values'!I216/I$2</f>
        <v>0</v>
      </c>
      <c r="J216" s="13">
        <f>'Standardized Values'!J216/J$2</f>
        <v>2.391304347826087E-2</v>
      </c>
      <c r="K216" s="13">
        <f>'Standardized Values'!K216/K$2</f>
        <v>0</v>
      </c>
      <c r="L216" s="13">
        <f>'Standardized Values'!L216/L$2</f>
        <v>0</v>
      </c>
      <c r="M216" s="4" t="s">
        <v>715</v>
      </c>
      <c r="N216" s="2" t="s">
        <v>1127</v>
      </c>
      <c r="O216" s="2"/>
      <c r="P216" s="2"/>
      <c r="Q216" s="2"/>
      <c r="R216" s="2"/>
      <c r="S216" s="2"/>
      <c r="T216" s="2"/>
      <c r="U216" s="2"/>
      <c r="V216" s="2"/>
      <c r="W216" s="2"/>
      <c r="X216" s="2"/>
      <c r="Y216" s="2"/>
      <c r="Z216" s="2"/>
    </row>
    <row r="217" spans="1:26" ht="19.5" customHeight="1">
      <c r="A217" s="4" t="s">
        <v>716</v>
      </c>
      <c r="B217" s="4" t="s">
        <v>717</v>
      </c>
      <c r="C217" s="6">
        <v>1</v>
      </c>
      <c r="D217" s="4" t="s">
        <v>17</v>
      </c>
      <c r="E217" s="13">
        <f>'Standardized Values'!E217/E$2</f>
        <v>1.2500000000000001E-2</v>
      </c>
      <c r="F217" s="13">
        <f>'Standardized Values'!F217/F$2</f>
        <v>2.181818181818182E-2</v>
      </c>
      <c r="G217" s="13">
        <f>'Standardized Values'!G217/G$2</f>
        <v>0</v>
      </c>
      <c r="H217" s="13">
        <f>'Standardized Values'!H217/H$2</f>
        <v>0</v>
      </c>
      <c r="I217" s="13">
        <f>'Standardized Values'!I217/I$2</f>
        <v>0.13114754098360656</v>
      </c>
      <c r="J217" s="13">
        <f>'Standardized Values'!J217/J$2</f>
        <v>9.1304347826086957E-2</v>
      </c>
      <c r="K217" s="13">
        <f>'Standardized Values'!K217/K$2</f>
        <v>0</v>
      </c>
      <c r="L217" s="13">
        <f>'Standardized Values'!L217/L$2</f>
        <v>0</v>
      </c>
      <c r="M217" s="4" t="s">
        <v>718</v>
      </c>
      <c r="N217" s="2" t="s">
        <v>1127</v>
      </c>
      <c r="O217" s="2"/>
      <c r="P217" s="2"/>
      <c r="Q217" s="2"/>
      <c r="R217" s="2"/>
      <c r="S217" s="2"/>
      <c r="T217" s="2"/>
      <c r="U217" s="2"/>
      <c r="V217" s="2"/>
      <c r="W217" s="2"/>
      <c r="X217" s="2"/>
      <c r="Y217" s="2"/>
      <c r="Z217" s="2"/>
    </row>
    <row r="218" spans="1:26" ht="19.5" customHeight="1">
      <c r="A218" s="4" t="s">
        <v>719</v>
      </c>
      <c r="B218" s="4" t="s">
        <v>720</v>
      </c>
      <c r="C218" s="6">
        <v>1</v>
      </c>
      <c r="D218" s="4" t="s">
        <v>212</v>
      </c>
      <c r="E218" s="13">
        <f>'Standardized Values'!E218/E$2</f>
        <v>0.09</v>
      </c>
      <c r="F218" s="13">
        <f>'Standardized Values'!F218/F$2</f>
        <v>3.6363636363636364E-3</v>
      </c>
      <c r="G218" s="13">
        <f>'Standardized Values'!G218/G$2</f>
        <v>5.8823529411764705E-2</v>
      </c>
      <c r="H218" s="13">
        <f>'Standardized Values'!H218/H$2</f>
        <v>8.2644628099173556E-2</v>
      </c>
      <c r="I218" s="13">
        <f>'Standardized Values'!I218/I$2</f>
        <v>0</v>
      </c>
      <c r="J218" s="13">
        <f>'Standardized Values'!J218/J$2</f>
        <v>0.30434782608695654</v>
      </c>
      <c r="K218" s="13">
        <f>'Standardized Values'!K218/K$2</f>
        <v>0</v>
      </c>
      <c r="L218" s="13">
        <f>'Standardized Values'!L218/L$2</f>
        <v>0.26666666666666666</v>
      </c>
      <c r="M218" s="4" t="s">
        <v>721</v>
      </c>
      <c r="N218" s="2" t="s">
        <v>1128</v>
      </c>
      <c r="O218" s="2"/>
      <c r="P218" s="2"/>
      <c r="Q218" s="2"/>
      <c r="R218" s="2"/>
      <c r="S218" s="2"/>
      <c r="T218" s="2"/>
      <c r="U218" s="2"/>
      <c r="V218" s="2"/>
      <c r="W218" s="2"/>
      <c r="X218" s="2"/>
      <c r="Y218" s="2"/>
      <c r="Z218" s="2"/>
    </row>
    <row r="219" spans="1:26" ht="19.5" customHeight="1">
      <c r="A219" s="4" t="s">
        <v>722</v>
      </c>
      <c r="B219" s="4" t="s">
        <v>723</v>
      </c>
      <c r="C219" s="6">
        <v>1</v>
      </c>
      <c r="D219" s="12" t="s">
        <v>606</v>
      </c>
      <c r="E219" s="13">
        <f>'Standardized Values'!E219/E$2</f>
        <v>0</v>
      </c>
      <c r="F219" s="13">
        <f>'Standardized Values'!F219/F$2</f>
        <v>0</v>
      </c>
      <c r="G219" s="13">
        <f>'Standardized Values'!G219/G$2</f>
        <v>0</v>
      </c>
      <c r="H219" s="13">
        <f>'Standardized Values'!H219/H$2</f>
        <v>0</v>
      </c>
      <c r="I219" s="13">
        <f>'Standardized Values'!I219/I$2</f>
        <v>0</v>
      </c>
      <c r="J219" s="13">
        <f>'Standardized Values'!J219/J$2</f>
        <v>1.0869565217391304E-2</v>
      </c>
      <c r="K219" s="13">
        <f>'Standardized Values'!K219/K$2</f>
        <v>0</v>
      </c>
      <c r="L219" s="13">
        <f>'Standardized Values'!L219/L$2</f>
        <v>0</v>
      </c>
      <c r="M219" s="12" t="s">
        <v>724</v>
      </c>
      <c r="N219" s="2" t="s">
        <v>1129</v>
      </c>
      <c r="O219" s="2"/>
      <c r="P219" s="2"/>
      <c r="Q219" s="2"/>
      <c r="R219" s="2"/>
      <c r="S219" s="2"/>
      <c r="T219" s="2"/>
      <c r="U219" s="2"/>
      <c r="V219" s="2"/>
      <c r="W219" s="2"/>
      <c r="X219" s="2"/>
      <c r="Y219" s="2"/>
      <c r="Z219" s="2"/>
    </row>
    <row r="220" spans="1:26" ht="19.5" customHeight="1">
      <c r="A220" s="4" t="s">
        <v>725</v>
      </c>
      <c r="B220" s="4" t="s">
        <v>726</v>
      </c>
      <c r="C220" s="7" t="s">
        <v>176</v>
      </c>
      <c r="D220" s="4" t="s">
        <v>727</v>
      </c>
      <c r="E220" s="13">
        <f>'Standardized Values'!E220/E$2</f>
        <v>0</v>
      </c>
      <c r="F220" s="13">
        <f>'Standardized Values'!F220/F$2</f>
        <v>0</v>
      </c>
      <c r="G220" s="13">
        <f>'Standardized Values'!G220/G$2</f>
        <v>0</v>
      </c>
      <c r="H220" s="13">
        <f>'Standardized Values'!H220/H$2</f>
        <v>0</v>
      </c>
      <c r="I220" s="13">
        <f>'Standardized Values'!I220/I$2</f>
        <v>0</v>
      </c>
      <c r="J220" s="13">
        <f>'Standardized Values'!J220/J$2</f>
        <v>0</v>
      </c>
      <c r="K220" s="13">
        <f>'Standardized Values'!K220/K$2</f>
        <v>0</v>
      </c>
      <c r="L220" s="13">
        <f>'Standardized Values'!L220/L$2</f>
        <v>0</v>
      </c>
      <c r="M220" s="4" t="s">
        <v>728</v>
      </c>
      <c r="N220" s="2" t="s">
        <v>1129</v>
      </c>
      <c r="O220" s="2"/>
      <c r="P220" s="2"/>
      <c r="Q220" s="2"/>
      <c r="R220" s="2"/>
      <c r="S220" s="2"/>
      <c r="T220" s="2"/>
      <c r="U220" s="2"/>
      <c r="V220" s="2"/>
      <c r="W220" s="2"/>
      <c r="X220" s="2"/>
      <c r="Y220" s="2"/>
      <c r="Z220" s="2"/>
    </row>
    <row r="221" spans="1:26" ht="19.5" customHeight="1">
      <c r="A221" s="4" t="s">
        <v>729</v>
      </c>
      <c r="B221" s="4" t="s">
        <v>730</v>
      </c>
      <c r="C221" s="7" t="s">
        <v>176</v>
      </c>
      <c r="D221" s="4" t="s">
        <v>606</v>
      </c>
      <c r="E221" s="13">
        <f>'Standardized Values'!E221/E$2</f>
        <v>0</v>
      </c>
      <c r="F221" s="13">
        <f>'Standardized Values'!F221/F$2</f>
        <v>0</v>
      </c>
      <c r="G221" s="13">
        <f>'Standardized Values'!G221/G$2</f>
        <v>0</v>
      </c>
      <c r="H221" s="13">
        <f>'Standardized Values'!H221/H$2</f>
        <v>0</v>
      </c>
      <c r="I221" s="13">
        <f>'Standardized Values'!I221/I$2</f>
        <v>0</v>
      </c>
      <c r="J221" s="13">
        <f>'Standardized Values'!J221/J$2</f>
        <v>0</v>
      </c>
      <c r="K221" s="13">
        <f>'Standardized Values'!K221/K$2</f>
        <v>0</v>
      </c>
      <c r="L221" s="13">
        <f>'Standardized Values'!L221/L$2</f>
        <v>0</v>
      </c>
      <c r="M221" s="4" t="s">
        <v>731</v>
      </c>
      <c r="N221" s="2" t="s">
        <v>1129</v>
      </c>
      <c r="O221" s="2"/>
      <c r="P221" s="2"/>
      <c r="Q221" s="2"/>
      <c r="R221" s="2"/>
      <c r="S221" s="2"/>
      <c r="T221" s="2"/>
      <c r="U221" s="2"/>
      <c r="V221" s="2"/>
      <c r="W221" s="2"/>
      <c r="X221" s="2"/>
      <c r="Y221" s="2"/>
      <c r="Z221" s="2"/>
    </row>
    <row r="222" spans="1:26" ht="19.5" customHeight="1">
      <c r="A222" s="4" t="s">
        <v>732</v>
      </c>
      <c r="B222" s="4" t="s">
        <v>733</v>
      </c>
      <c r="C222" s="7" t="s">
        <v>176</v>
      </c>
      <c r="D222" s="4" t="s">
        <v>17</v>
      </c>
      <c r="E222" s="13">
        <f>'Standardized Values'!E222/E$2</f>
        <v>1.7500000000000002E-2</v>
      </c>
      <c r="F222" s="13">
        <f>'Standardized Values'!F222/F$2</f>
        <v>0</v>
      </c>
      <c r="G222" s="13">
        <f>'Standardized Values'!G222/G$2</f>
        <v>0.17647058823529413</v>
      </c>
      <c r="H222" s="13">
        <f>'Standardized Values'!H222/H$2</f>
        <v>0</v>
      </c>
      <c r="I222" s="13">
        <f>'Standardized Values'!I222/I$2</f>
        <v>0</v>
      </c>
      <c r="J222" s="13">
        <f>'Standardized Values'!J222/J$2</f>
        <v>3.6956521739130437E-2</v>
      </c>
      <c r="K222" s="13">
        <f>'Standardized Values'!K222/K$2</f>
        <v>0</v>
      </c>
      <c r="L222" s="13">
        <f>'Standardized Values'!L222/L$2</f>
        <v>0</v>
      </c>
      <c r="M222" s="4" t="s">
        <v>734</v>
      </c>
      <c r="N222" s="2" t="s">
        <v>1127</v>
      </c>
      <c r="O222" s="2"/>
      <c r="P222" s="2"/>
      <c r="Q222" s="2"/>
      <c r="R222" s="2"/>
      <c r="S222" s="2"/>
      <c r="T222" s="2"/>
      <c r="U222" s="2"/>
      <c r="V222" s="2"/>
      <c r="W222" s="2"/>
      <c r="X222" s="2"/>
      <c r="Y222" s="2"/>
      <c r="Z222" s="2"/>
    </row>
    <row r="223" spans="1:26" ht="19.5" customHeight="1">
      <c r="A223" s="4" t="s">
        <v>735</v>
      </c>
      <c r="B223" s="4" t="s">
        <v>736</v>
      </c>
      <c r="C223" s="7" t="s">
        <v>176</v>
      </c>
      <c r="D223" s="4" t="s">
        <v>17</v>
      </c>
      <c r="E223" s="13">
        <f>'Standardized Values'!E223/E$2</f>
        <v>2.5000000000000001E-2</v>
      </c>
      <c r="F223" s="13">
        <f>'Standardized Values'!F223/F$2</f>
        <v>7.2727272727272727E-3</v>
      </c>
      <c r="G223" s="13">
        <f>'Standardized Values'!G223/G$2</f>
        <v>0.21568627450980393</v>
      </c>
      <c r="H223" s="13">
        <f>'Standardized Values'!H223/H$2</f>
        <v>0</v>
      </c>
      <c r="I223" s="13">
        <f>'Standardized Values'!I223/I$2</f>
        <v>0</v>
      </c>
      <c r="J223" s="13">
        <f>'Standardized Values'!J223/J$2</f>
        <v>9.5652173913043481E-2</v>
      </c>
      <c r="K223" s="13">
        <f>'Standardized Values'!K223/K$2</f>
        <v>0</v>
      </c>
      <c r="L223" s="13">
        <f>'Standardized Values'!L223/L$2</f>
        <v>0.01</v>
      </c>
      <c r="M223" s="4" t="s">
        <v>737</v>
      </c>
      <c r="N223" s="2" t="s">
        <v>1127</v>
      </c>
      <c r="O223" s="2"/>
      <c r="P223" s="2"/>
      <c r="Q223" s="2"/>
      <c r="R223" s="2"/>
      <c r="S223" s="2"/>
      <c r="T223" s="2"/>
      <c r="U223" s="2"/>
      <c r="V223" s="2"/>
      <c r="W223" s="2"/>
      <c r="X223" s="2"/>
      <c r="Y223" s="2"/>
      <c r="Z223" s="2"/>
    </row>
    <row r="224" spans="1:26" ht="19.5" customHeight="1">
      <c r="A224" s="4" t="s">
        <v>738</v>
      </c>
      <c r="B224" s="4" t="s">
        <v>739</v>
      </c>
      <c r="C224" s="7" t="s">
        <v>176</v>
      </c>
      <c r="D224" s="4" t="s">
        <v>599</v>
      </c>
      <c r="E224" s="13">
        <f>'Standardized Values'!E224/E$2</f>
        <v>0.125</v>
      </c>
      <c r="F224" s="13">
        <f>'Standardized Values'!F224/F$2</f>
        <v>0.12363636363636364</v>
      </c>
      <c r="G224" s="13">
        <f>'Standardized Values'!G224/G$2</f>
        <v>9.8039215686274508E-2</v>
      </c>
      <c r="H224" s="13">
        <f>'Standardized Values'!H224/H$2</f>
        <v>0.18181818181818182</v>
      </c>
      <c r="I224" s="13">
        <f>'Standardized Values'!I224/I$2</f>
        <v>0.29508196721311475</v>
      </c>
      <c r="J224" s="13">
        <f>'Standardized Values'!J224/J$2</f>
        <v>0</v>
      </c>
      <c r="K224" s="13">
        <f>'Standardized Values'!K224/K$2</f>
        <v>3.6363636363636362E-2</v>
      </c>
      <c r="L224" s="13">
        <f>'Standardized Values'!L224/L$2</f>
        <v>0</v>
      </c>
      <c r="M224" s="4" t="s">
        <v>740</v>
      </c>
      <c r="N224" s="2" t="s">
        <v>1126</v>
      </c>
      <c r="O224" s="2"/>
      <c r="P224" s="2"/>
      <c r="Q224" s="2"/>
      <c r="R224" s="2"/>
      <c r="S224" s="2"/>
      <c r="T224" s="2"/>
      <c r="U224" s="2"/>
      <c r="V224" s="2"/>
      <c r="W224" s="2"/>
      <c r="X224" s="2"/>
      <c r="Y224" s="2"/>
      <c r="Z224" s="2"/>
    </row>
    <row r="225" spans="1:26" ht="19.5" customHeight="1">
      <c r="A225" s="4" t="s">
        <v>741</v>
      </c>
      <c r="B225" s="4" t="s">
        <v>742</v>
      </c>
      <c r="C225" s="6">
        <v>1</v>
      </c>
      <c r="D225" s="4" t="s">
        <v>599</v>
      </c>
      <c r="E225" s="13">
        <f>'Standardized Values'!E225/E$2</f>
        <v>0.13500000000000001</v>
      </c>
      <c r="F225" s="13">
        <f>'Standardized Values'!F225/F$2</f>
        <v>0.13818181818181818</v>
      </c>
      <c r="G225" s="13">
        <f>'Standardized Values'!G225/G$2</f>
        <v>0.19607843137254902</v>
      </c>
      <c r="H225" s="13">
        <f>'Standardized Values'!H225/H$2</f>
        <v>0.1487603305785124</v>
      </c>
      <c r="I225" s="13">
        <f>'Standardized Values'!I225/I$2</f>
        <v>0.36065573770491804</v>
      </c>
      <c r="J225" s="13">
        <f>'Standardized Values'!J225/J$2</f>
        <v>1.0869565217391304E-2</v>
      </c>
      <c r="K225" s="13">
        <f>'Standardized Values'!K225/K$2</f>
        <v>0.10909090909090909</v>
      </c>
      <c r="L225" s="13">
        <f>'Standardized Values'!L225/L$2</f>
        <v>0</v>
      </c>
      <c r="M225" s="4" t="s">
        <v>743</v>
      </c>
      <c r="N225" s="2" t="s">
        <v>1126</v>
      </c>
      <c r="O225" s="2"/>
      <c r="P225" s="2"/>
      <c r="Q225" s="2"/>
      <c r="R225" s="2"/>
      <c r="S225" s="2"/>
      <c r="T225" s="2"/>
      <c r="U225" s="2"/>
      <c r="V225" s="2"/>
      <c r="W225" s="2"/>
      <c r="X225" s="2"/>
      <c r="Y225" s="2"/>
      <c r="Z225" s="2"/>
    </row>
    <row r="226" spans="1:26" ht="19.5" customHeight="1">
      <c r="A226" s="4" t="s">
        <v>744</v>
      </c>
      <c r="B226" s="4" t="s">
        <v>745</v>
      </c>
      <c r="C226" s="6">
        <v>1</v>
      </c>
      <c r="D226" s="4" t="s">
        <v>606</v>
      </c>
      <c r="E226" s="13">
        <f>'Standardized Values'!E226/E$2</f>
        <v>2.5000000000000001E-3</v>
      </c>
      <c r="F226" s="13">
        <f>'Standardized Values'!F226/F$2</f>
        <v>3.6363636363636364E-3</v>
      </c>
      <c r="G226" s="13">
        <f>'Standardized Values'!G226/G$2</f>
        <v>0</v>
      </c>
      <c r="H226" s="13">
        <f>'Standardized Values'!H226/H$2</f>
        <v>0</v>
      </c>
      <c r="I226" s="13">
        <f>'Standardized Values'!I226/I$2</f>
        <v>0</v>
      </c>
      <c r="J226" s="13">
        <f>'Standardized Values'!J226/J$2</f>
        <v>0</v>
      </c>
      <c r="K226" s="13">
        <f>'Standardized Values'!K226/K$2</f>
        <v>0</v>
      </c>
      <c r="L226" s="13">
        <f>'Standardized Values'!L226/L$2</f>
        <v>0</v>
      </c>
      <c r="M226" s="4" t="s">
        <v>746</v>
      </c>
      <c r="N226" s="2" t="s">
        <v>1129</v>
      </c>
      <c r="O226" s="2"/>
      <c r="P226" s="2"/>
      <c r="Q226" s="2"/>
      <c r="R226" s="2"/>
      <c r="S226" s="2"/>
      <c r="T226" s="2"/>
      <c r="U226" s="2"/>
      <c r="V226" s="2"/>
      <c r="W226" s="2"/>
      <c r="X226" s="2"/>
      <c r="Y226" s="2"/>
      <c r="Z226" s="2"/>
    </row>
    <row r="227" spans="1:26" ht="19.5" customHeight="1">
      <c r="A227" s="4" t="s">
        <v>747</v>
      </c>
      <c r="B227" s="4" t="s">
        <v>748</v>
      </c>
      <c r="C227" s="6">
        <v>1</v>
      </c>
      <c r="D227" s="4" t="s">
        <v>31</v>
      </c>
      <c r="E227" s="13">
        <f>'Standardized Values'!E227/E$2</f>
        <v>7.4999999999999997E-3</v>
      </c>
      <c r="F227" s="13">
        <f>'Standardized Values'!F227/F$2</f>
        <v>0</v>
      </c>
      <c r="G227" s="13">
        <f>'Standardized Values'!G227/G$2</f>
        <v>7.8431372549019607E-2</v>
      </c>
      <c r="H227" s="13">
        <f>'Standardized Values'!H227/H$2</f>
        <v>0</v>
      </c>
      <c r="I227" s="13">
        <f>'Standardized Values'!I227/I$2</f>
        <v>0</v>
      </c>
      <c r="J227" s="13">
        <f>'Standardized Values'!J227/J$2</f>
        <v>0.62608695652173918</v>
      </c>
      <c r="K227" s="13">
        <f>'Standardized Values'!K227/K$2</f>
        <v>0</v>
      </c>
      <c r="L227" s="13">
        <f>'Standardized Values'!L227/L$2</f>
        <v>0</v>
      </c>
      <c r="M227" s="4" t="s">
        <v>749</v>
      </c>
      <c r="N227" s="2" t="s">
        <v>1127</v>
      </c>
      <c r="O227" s="2"/>
      <c r="P227" s="2"/>
      <c r="Q227" s="2"/>
      <c r="R227" s="2"/>
      <c r="S227" s="2"/>
      <c r="T227" s="2"/>
      <c r="U227" s="2"/>
      <c r="V227" s="2"/>
      <c r="W227" s="2"/>
      <c r="X227" s="2"/>
      <c r="Y227" s="2"/>
      <c r="Z227" s="2"/>
    </row>
    <row r="228" spans="1:26" ht="19.5" customHeight="1">
      <c r="A228" s="4" t="s">
        <v>750</v>
      </c>
      <c r="B228" s="4" t="s">
        <v>751</v>
      </c>
      <c r="C228" s="6">
        <v>1</v>
      </c>
      <c r="D228" s="4" t="s">
        <v>599</v>
      </c>
      <c r="E228" s="13">
        <f>'Standardized Values'!E228/E$2</f>
        <v>0.105</v>
      </c>
      <c r="F228" s="13">
        <f>'Standardized Values'!F228/F$2</f>
        <v>0.04</v>
      </c>
      <c r="G228" s="13">
        <f>'Standardized Values'!G228/G$2</f>
        <v>0.17647058823529413</v>
      </c>
      <c r="H228" s="13">
        <f>'Standardized Values'!H228/H$2</f>
        <v>0.24793388429752067</v>
      </c>
      <c r="I228" s="13">
        <f>'Standardized Values'!I228/I$2</f>
        <v>9.8360655737704916E-2</v>
      </c>
      <c r="J228" s="13">
        <f>'Standardized Values'!J228/J$2</f>
        <v>3.4782608695652174E-2</v>
      </c>
      <c r="K228" s="13">
        <f>'Standardized Values'!K228/K$2</f>
        <v>0.21818181818181817</v>
      </c>
      <c r="L228" s="13">
        <f>'Standardized Values'!L228/L$2</f>
        <v>0</v>
      </c>
      <c r="M228" s="4" t="s">
        <v>752</v>
      </c>
      <c r="N228" s="2" t="s">
        <v>1126</v>
      </c>
      <c r="O228" s="2"/>
      <c r="P228" s="2"/>
      <c r="Q228" s="2"/>
      <c r="R228" s="2"/>
      <c r="S228" s="2"/>
      <c r="T228" s="2"/>
      <c r="U228" s="2"/>
      <c r="V228" s="2"/>
      <c r="W228" s="2"/>
      <c r="X228" s="2"/>
      <c r="Y228" s="2"/>
      <c r="Z228" s="2"/>
    </row>
    <row r="229" spans="1:26" ht="19.5" customHeight="1">
      <c r="A229" s="4" t="s">
        <v>753</v>
      </c>
      <c r="B229" s="4" t="s">
        <v>754</v>
      </c>
      <c r="C229" s="6">
        <v>1</v>
      </c>
      <c r="D229" s="4" t="s">
        <v>599</v>
      </c>
      <c r="E229" s="13">
        <f>'Standardized Values'!E229/E$2</f>
        <v>0.105</v>
      </c>
      <c r="F229" s="13">
        <f>'Standardized Values'!F229/F$2</f>
        <v>3.6363636363636362E-2</v>
      </c>
      <c r="G229" s="13">
        <f>'Standardized Values'!G229/G$2</f>
        <v>0.17647058823529413</v>
      </c>
      <c r="H229" s="13">
        <f>'Standardized Values'!H229/H$2</f>
        <v>0.26446280991735538</v>
      </c>
      <c r="I229" s="13">
        <f>'Standardized Values'!I229/I$2</f>
        <v>6.5573770491803282E-2</v>
      </c>
      <c r="J229" s="13">
        <f>'Standardized Values'!J229/J$2</f>
        <v>4.7826086956521741E-2</v>
      </c>
      <c r="K229" s="13">
        <f>'Standardized Values'!K229/K$2</f>
        <v>0.21818181818181817</v>
      </c>
      <c r="L229" s="13">
        <f>'Standardized Values'!L229/L$2</f>
        <v>0</v>
      </c>
      <c r="M229" s="4" t="s">
        <v>755</v>
      </c>
      <c r="N229" s="2" t="s">
        <v>1126</v>
      </c>
      <c r="O229" s="2"/>
      <c r="P229" s="2"/>
      <c r="Q229" s="2"/>
      <c r="R229" s="2"/>
      <c r="S229" s="2"/>
      <c r="T229" s="2"/>
      <c r="U229" s="2"/>
      <c r="V229" s="2"/>
      <c r="W229" s="2"/>
      <c r="X229" s="2"/>
      <c r="Y229" s="2"/>
      <c r="Z229" s="2"/>
    </row>
    <row r="230" spans="1:26" ht="19.5" customHeight="1">
      <c r="A230" s="4" t="s">
        <v>756</v>
      </c>
      <c r="B230" s="4" t="s">
        <v>757</v>
      </c>
      <c r="C230" s="6">
        <v>1</v>
      </c>
      <c r="D230" s="4" t="s">
        <v>599</v>
      </c>
      <c r="E230" s="13">
        <f>'Standardized Values'!E230/E$2</f>
        <v>0.14499999999999999</v>
      </c>
      <c r="F230" s="13">
        <f>'Standardized Values'!F230/F$2</f>
        <v>0.14181818181818182</v>
      </c>
      <c r="G230" s="13">
        <f>'Standardized Values'!G230/G$2</f>
        <v>0.21568627450980393</v>
      </c>
      <c r="H230" s="13">
        <f>'Standardized Values'!H230/H$2</f>
        <v>0.18181818181818182</v>
      </c>
      <c r="I230" s="13">
        <f>'Standardized Values'!I230/I$2</f>
        <v>0.45901639344262296</v>
      </c>
      <c r="J230" s="13">
        <f>'Standardized Values'!J230/J$2</f>
        <v>4.3478260869565218E-3</v>
      </c>
      <c r="K230" s="13">
        <f>'Standardized Values'!K230/K$2</f>
        <v>7.2727272727272724E-2</v>
      </c>
      <c r="L230" s="13">
        <f>'Standardized Values'!L230/L$2</f>
        <v>0</v>
      </c>
      <c r="M230" s="4" t="s">
        <v>758</v>
      </c>
      <c r="N230" s="2" t="s">
        <v>1126</v>
      </c>
      <c r="O230" s="2"/>
      <c r="P230" s="2"/>
      <c r="Q230" s="2"/>
      <c r="R230" s="2"/>
      <c r="S230" s="2"/>
      <c r="T230" s="2"/>
      <c r="U230" s="2"/>
      <c r="V230" s="2"/>
      <c r="W230" s="2"/>
      <c r="X230" s="2"/>
      <c r="Y230" s="2"/>
      <c r="Z230" s="2"/>
    </row>
    <row r="231" spans="1:26" ht="19.5" customHeight="1">
      <c r="A231" s="4" t="s">
        <v>759</v>
      </c>
      <c r="B231" s="4" t="s">
        <v>760</v>
      </c>
      <c r="C231" s="6">
        <v>1</v>
      </c>
      <c r="D231" s="4" t="s">
        <v>76</v>
      </c>
      <c r="E231" s="13">
        <f>'Standardized Values'!E231/E$2</f>
        <v>7.4999999999999997E-3</v>
      </c>
      <c r="F231" s="13">
        <f>'Standardized Values'!F231/F$2</f>
        <v>0</v>
      </c>
      <c r="G231" s="13">
        <f>'Standardized Values'!G231/G$2</f>
        <v>5.8823529411764705E-2</v>
      </c>
      <c r="H231" s="13">
        <f>'Standardized Values'!H231/H$2</f>
        <v>0</v>
      </c>
      <c r="I231" s="13">
        <f>'Standardized Values'!I231/I$2</f>
        <v>0</v>
      </c>
      <c r="J231" s="13">
        <f>'Standardized Values'!J231/J$2</f>
        <v>0.68260869565217386</v>
      </c>
      <c r="K231" s="13">
        <f>'Standardized Values'!K231/K$2</f>
        <v>0</v>
      </c>
      <c r="L231" s="13">
        <f>'Standardized Values'!L231/L$2</f>
        <v>0</v>
      </c>
      <c r="M231" s="4" t="s">
        <v>761</v>
      </c>
      <c r="N231" s="2" t="s">
        <v>1127</v>
      </c>
      <c r="O231" s="2"/>
      <c r="P231" s="2"/>
      <c r="Q231" s="2"/>
      <c r="R231" s="2"/>
      <c r="S231" s="2"/>
      <c r="T231" s="2"/>
      <c r="U231" s="2"/>
      <c r="V231" s="2"/>
      <c r="W231" s="2"/>
      <c r="X231" s="2"/>
      <c r="Y231" s="2"/>
      <c r="Z231" s="2"/>
    </row>
    <row r="232" spans="1:26" ht="19.5" customHeight="1">
      <c r="A232" s="4" t="s">
        <v>762</v>
      </c>
      <c r="B232" s="4" t="s">
        <v>763</v>
      </c>
      <c r="C232" s="6">
        <v>1</v>
      </c>
      <c r="D232" s="4" t="s">
        <v>76</v>
      </c>
      <c r="E232" s="13">
        <f>'Standardized Values'!E232/E$2</f>
        <v>0</v>
      </c>
      <c r="F232" s="13">
        <f>'Standardized Values'!F232/F$2</f>
        <v>0</v>
      </c>
      <c r="G232" s="13">
        <f>'Standardized Values'!G232/G$2</f>
        <v>0</v>
      </c>
      <c r="H232" s="13">
        <f>'Standardized Values'!H232/H$2</f>
        <v>0</v>
      </c>
      <c r="I232" s="13">
        <f>'Standardized Values'!I232/I$2</f>
        <v>0</v>
      </c>
      <c r="J232" s="13">
        <f>'Standardized Values'!J232/J$2</f>
        <v>0.21304347826086956</v>
      </c>
      <c r="K232" s="13">
        <f>'Standardized Values'!K232/K$2</f>
        <v>0</v>
      </c>
      <c r="L232" s="13">
        <f>'Standardized Values'!L232/L$2</f>
        <v>0</v>
      </c>
      <c r="M232" s="4" t="s">
        <v>764</v>
      </c>
      <c r="N232" s="2" t="s">
        <v>1127</v>
      </c>
      <c r="O232" s="2"/>
      <c r="P232" s="2"/>
      <c r="Q232" s="2"/>
      <c r="R232" s="2"/>
      <c r="S232" s="2"/>
      <c r="T232" s="2"/>
      <c r="U232" s="2"/>
      <c r="V232" s="2"/>
      <c r="W232" s="2"/>
      <c r="X232" s="2"/>
      <c r="Y232" s="2"/>
      <c r="Z232" s="2"/>
    </row>
    <row r="233" spans="1:26" ht="19.5" customHeight="1">
      <c r="A233" s="4" t="s">
        <v>765</v>
      </c>
      <c r="B233" s="4" t="s">
        <v>766</v>
      </c>
      <c r="C233" s="6">
        <v>1</v>
      </c>
      <c r="D233" s="4" t="s">
        <v>31</v>
      </c>
      <c r="E233" s="13">
        <f>'Standardized Values'!E233/E$2</f>
        <v>7.4999999999999997E-3</v>
      </c>
      <c r="F233" s="13">
        <f>'Standardized Values'!F233/F$2</f>
        <v>0</v>
      </c>
      <c r="G233" s="13">
        <f>'Standardized Values'!G233/G$2</f>
        <v>5.8823529411764705E-2</v>
      </c>
      <c r="H233" s="13">
        <f>'Standardized Values'!H233/H$2</f>
        <v>0</v>
      </c>
      <c r="I233" s="13">
        <f>'Standardized Values'!I233/I$2</f>
        <v>0</v>
      </c>
      <c r="J233" s="13">
        <f>'Standardized Values'!J233/J$2</f>
        <v>0.66086956521739126</v>
      </c>
      <c r="K233" s="13">
        <f>'Standardized Values'!K233/K$2</f>
        <v>0</v>
      </c>
      <c r="L233" s="13">
        <f>'Standardized Values'!L233/L$2</f>
        <v>0</v>
      </c>
      <c r="M233" s="4" t="s">
        <v>767</v>
      </c>
      <c r="N233" s="2" t="s">
        <v>1127</v>
      </c>
      <c r="O233" s="2"/>
      <c r="P233" s="2"/>
      <c r="Q233" s="2"/>
      <c r="R233" s="2"/>
      <c r="S233" s="2"/>
      <c r="T233" s="2"/>
      <c r="U233" s="2"/>
      <c r="V233" s="2"/>
      <c r="W233" s="2"/>
      <c r="X233" s="2"/>
      <c r="Y233" s="2"/>
      <c r="Z233" s="2"/>
    </row>
    <row r="234" spans="1:26" ht="19.5" customHeight="1">
      <c r="A234" s="4" t="s">
        <v>768</v>
      </c>
      <c r="B234" s="4" t="s">
        <v>769</v>
      </c>
      <c r="C234" s="6">
        <v>1</v>
      </c>
      <c r="D234" s="4" t="s">
        <v>31</v>
      </c>
      <c r="E234" s="13">
        <f>'Standardized Values'!E234/E$2</f>
        <v>5.0000000000000001E-3</v>
      </c>
      <c r="F234" s="13">
        <f>'Standardized Values'!F234/F$2</f>
        <v>3.6363636363636364E-3</v>
      </c>
      <c r="G234" s="13">
        <f>'Standardized Values'!G234/G$2</f>
        <v>3.9215686274509803E-2</v>
      </c>
      <c r="H234" s="13">
        <f>'Standardized Values'!H234/H$2</f>
        <v>0</v>
      </c>
      <c r="I234" s="13">
        <f>'Standardized Values'!I234/I$2</f>
        <v>0</v>
      </c>
      <c r="J234" s="13">
        <f>'Standardized Values'!J234/J$2</f>
        <v>0.59565217391304348</v>
      </c>
      <c r="K234" s="13">
        <f>'Standardized Values'!K234/K$2</f>
        <v>0</v>
      </c>
      <c r="L234" s="13">
        <f>'Standardized Values'!L234/L$2</f>
        <v>0</v>
      </c>
      <c r="M234" s="4" t="s">
        <v>770</v>
      </c>
      <c r="N234" s="2" t="s">
        <v>1127</v>
      </c>
      <c r="O234" s="2"/>
      <c r="P234" s="2"/>
      <c r="Q234" s="2"/>
      <c r="R234" s="2"/>
      <c r="S234" s="2"/>
      <c r="T234" s="2"/>
      <c r="U234" s="2"/>
      <c r="V234" s="2"/>
      <c r="W234" s="2"/>
      <c r="X234" s="2"/>
      <c r="Y234" s="2"/>
      <c r="Z234" s="2"/>
    </row>
    <row r="235" spans="1:26" ht="19.5" customHeight="1">
      <c r="A235" s="4" t="s">
        <v>771</v>
      </c>
      <c r="B235" s="4" t="s">
        <v>772</v>
      </c>
      <c r="C235" s="6">
        <v>1</v>
      </c>
      <c r="D235" s="4" t="s">
        <v>31</v>
      </c>
      <c r="E235" s="13">
        <f>'Standardized Values'!E235/E$2</f>
        <v>3.4000000000000002E-2</v>
      </c>
      <c r="F235" s="13">
        <f>'Standardized Values'!F235/F$2</f>
        <v>3.272727272727273E-2</v>
      </c>
      <c r="G235" s="13">
        <f>'Standardized Values'!G235/G$2</f>
        <v>1.9607843137254902E-2</v>
      </c>
      <c r="H235" s="13">
        <f>'Standardized Values'!H235/H$2</f>
        <v>4.9586776859504134E-2</v>
      </c>
      <c r="I235" s="13">
        <f>'Standardized Values'!I235/I$2</f>
        <v>0.29508196721311475</v>
      </c>
      <c r="J235" s="13">
        <f>'Standardized Values'!J235/J$2</f>
        <v>4.3478260869565218E-3</v>
      </c>
      <c r="K235" s="13">
        <f>'Standardized Values'!K235/K$2</f>
        <v>0</v>
      </c>
      <c r="L235" s="13">
        <f>'Standardized Values'!L235/L$2</f>
        <v>0</v>
      </c>
      <c r="M235" s="4" t="s">
        <v>773</v>
      </c>
      <c r="N235" s="2" t="s">
        <v>1126</v>
      </c>
      <c r="O235" s="2"/>
      <c r="P235" s="2"/>
      <c r="Q235" s="2"/>
      <c r="R235" s="2"/>
      <c r="S235" s="2"/>
      <c r="T235" s="2"/>
      <c r="U235" s="2"/>
      <c r="V235" s="2"/>
      <c r="W235" s="2"/>
      <c r="X235" s="2"/>
      <c r="Y235" s="2"/>
      <c r="Z235" s="2"/>
    </row>
    <row r="236" spans="1:26" ht="19.5" customHeight="1">
      <c r="A236" s="4" t="s">
        <v>774</v>
      </c>
      <c r="B236" s="4" t="s">
        <v>775</v>
      </c>
      <c r="C236" s="6">
        <v>1</v>
      </c>
      <c r="D236" s="4" t="s">
        <v>599</v>
      </c>
      <c r="E236" s="13">
        <f>'Standardized Values'!E236/E$2</f>
        <v>0.08</v>
      </c>
      <c r="F236" s="13">
        <f>'Standardized Values'!F236/F$2</f>
        <v>5.4545454545454543E-2</v>
      </c>
      <c r="G236" s="13">
        <f>'Standardized Values'!G236/G$2</f>
        <v>0.11764705882352941</v>
      </c>
      <c r="H236" s="13">
        <f>'Standardized Values'!H236/H$2</f>
        <v>0.21487603305785125</v>
      </c>
      <c r="I236" s="13">
        <f>'Standardized Values'!I236/I$2</f>
        <v>6.5573770491803282E-2</v>
      </c>
      <c r="J236" s="13">
        <f>'Standardized Values'!J236/J$2</f>
        <v>0.1</v>
      </c>
      <c r="K236" s="13">
        <f>'Standardized Values'!K236/K$2</f>
        <v>0.25454545454545452</v>
      </c>
      <c r="L236" s="13">
        <f>'Standardized Values'!L236/L$2</f>
        <v>0</v>
      </c>
      <c r="M236" s="4" t="s">
        <v>677</v>
      </c>
      <c r="N236" s="2" t="s">
        <v>1126</v>
      </c>
      <c r="O236" s="2"/>
      <c r="P236" s="2"/>
      <c r="Q236" s="2"/>
      <c r="R236" s="2"/>
      <c r="S236" s="2"/>
      <c r="T236" s="2"/>
      <c r="U236" s="2"/>
      <c r="V236" s="2"/>
      <c r="W236" s="2"/>
      <c r="X236" s="2"/>
      <c r="Y236" s="2"/>
      <c r="Z236" s="2"/>
    </row>
    <row r="237" spans="1:26" ht="19.5" customHeight="1">
      <c r="A237" s="4" t="s">
        <v>776</v>
      </c>
      <c r="B237" s="4" t="s">
        <v>777</v>
      </c>
      <c r="C237" s="6">
        <v>1</v>
      </c>
      <c r="D237" s="4" t="s">
        <v>778</v>
      </c>
      <c r="E237" s="13">
        <f>'Standardized Values'!E237/E$2</f>
        <v>0.13500000000000001</v>
      </c>
      <c r="F237" s="13">
        <f>'Standardized Values'!F237/F$2</f>
        <v>0.14545454545454545</v>
      </c>
      <c r="G237" s="13">
        <f>'Standardized Values'!G237/G$2</f>
        <v>0.29411764705882354</v>
      </c>
      <c r="H237" s="13">
        <f>'Standardized Values'!H237/H$2</f>
        <v>9.9173553719008267E-2</v>
      </c>
      <c r="I237" s="13">
        <f>'Standardized Values'!I237/I$2</f>
        <v>0.13114754098360656</v>
      </c>
      <c r="J237" s="13">
        <f>'Standardized Values'!J237/J$2</f>
        <v>0.23478260869565218</v>
      </c>
      <c r="K237" s="13">
        <f>'Standardized Values'!K237/K$2</f>
        <v>3.6363636363636362E-2</v>
      </c>
      <c r="L237" s="13">
        <f>'Standardized Values'!L237/L$2</f>
        <v>6.6666666666666666E-2</v>
      </c>
      <c r="M237" s="4" t="s">
        <v>779</v>
      </c>
      <c r="N237" s="2" t="s">
        <v>1128</v>
      </c>
      <c r="O237" s="2"/>
      <c r="P237" s="2"/>
      <c r="Q237" s="2"/>
      <c r="R237" s="2"/>
      <c r="S237" s="2"/>
      <c r="T237" s="2"/>
      <c r="U237" s="2"/>
      <c r="V237" s="2"/>
      <c r="W237" s="2"/>
      <c r="X237" s="2"/>
      <c r="Y237" s="2"/>
      <c r="Z237" s="2"/>
    </row>
    <row r="238" spans="1:26" ht="19.5" customHeight="1">
      <c r="A238" s="4" t="s">
        <v>780</v>
      </c>
      <c r="B238" s="4" t="s">
        <v>781</v>
      </c>
      <c r="C238" s="7" t="s">
        <v>176</v>
      </c>
      <c r="D238" s="4" t="s">
        <v>617</v>
      </c>
      <c r="E238" s="13">
        <f>'Standardized Values'!E238/E$2</f>
        <v>3.5000000000000003E-2</v>
      </c>
      <c r="F238" s="13">
        <f>'Standardized Values'!F238/F$2</f>
        <v>3.6363636363636362E-2</v>
      </c>
      <c r="G238" s="13">
        <f>'Standardized Values'!G238/G$2</f>
        <v>3.9215686274509803E-2</v>
      </c>
      <c r="H238" s="13">
        <f>'Standardized Values'!H238/H$2</f>
        <v>3.3057851239669422E-2</v>
      </c>
      <c r="I238" s="13">
        <f>'Standardized Values'!I238/I$2</f>
        <v>0.22950819672131148</v>
      </c>
      <c r="J238" s="13">
        <f>'Standardized Values'!J238/J$2</f>
        <v>4.3478260869565218E-3</v>
      </c>
      <c r="K238" s="13">
        <f>'Standardized Values'!K238/K$2</f>
        <v>0.14545454545454545</v>
      </c>
      <c r="L238" s="13">
        <f>'Standardized Values'!L238/L$2</f>
        <v>0</v>
      </c>
      <c r="M238" s="4" t="s">
        <v>782</v>
      </c>
      <c r="N238" s="2" t="s">
        <v>1126</v>
      </c>
      <c r="O238" s="2"/>
      <c r="P238" s="2"/>
      <c r="Q238" s="2"/>
      <c r="R238" s="2"/>
      <c r="S238" s="2"/>
      <c r="T238" s="2"/>
      <c r="U238" s="2"/>
      <c r="V238" s="2"/>
      <c r="W238" s="2"/>
      <c r="X238" s="2"/>
      <c r="Y238" s="2"/>
      <c r="Z238" s="2"/>
    </row>
    <row r="239" spans="1:26" ht="19.5" customHeight="1">
      <c r="A239" s="4" t="s">
        <v>783</v>
      </c>
      <c r="B239" s="4" t="s">
        <v>784</v>
      </c>
      <c r="C239" s="6">
        <v>1</v>
      </c>
      <c r="D239" s="4" t="s">
        <v>599</v>
      </c>
      <c r="E239" s="13">
        <f>'Standardized Values'!E239/E$2</f>
        <v>0.05</v>
      </c>
      <c r="F239" s="13">
        <f>'Standardized Values'!F239/F$2</f>
        <v>6.545454545454546E-2</v>
      </c>
      <c r="G239" s="13">
        <f>'Standardized Values'!G239/G$2</f>
        <v>1.9607843137254902E-2</v>
      </c>
      <c r="H239" s="13">
        <f>'Standardized Values'!H239/H$2</f>
        <v>4.9586776859504134E-2</v>
      </c>
      <c r="I239" s="13">
        <f>'Standardized Values'!I239/I$2</f>
        <v>0.32786885245901637</v>
      </c>
      <c r="J239" s="13">
        <f>'Standardized Values'!J239/J$2</f>
        <v>3.4782608695652174E-2</v>
      </c>
      <c r="K239" s="13">
        <f>'Standardized Values'!K239/K$2</f>
        <v>0</v>
      </c>
      <c r="L239" s="13">
        <f>'Standardized Values'!L239/L$2</f>
        <v>0</v>
      </c>
      <c r="M239" s="4" t="s">
        <v>785</v>
      </c>
      <c r="N239" s="2" t="s">
        <v>1126</v>
      </c>
      <c r="O239" s="2"/>
      <c r="P239" s="2"/>
      <c r="Q239" s="2"/>
      <c r="R239" s="2"/>
      <c r="S239" s="2"/>
      <c r="T239" s="2"/>
      <c r="U239" s="2"/>
      <c r="V239" s="2"/>
      <c r="W239" s="2"/>
      <c r="X239" s="2"/>
      <c r="Y239" s="2"/>
      <c r="Z239" s="2"/>
    </row>
    <row r="240" spans="1:26" ht="19.5" customHeight="1">
      <c r="A240" s="4" t="s">
        <v>786</v>
      </c>
      <c r="B240" s="4" t="s">
        <v>787</v>
      </c>
      <c r="C240" s="6">
        <v>1</v>
      </c>
      <c r="D240" s="4" t="s">
        <v>606</v>
      </c>
      <c r="E240" s="13">
        <f>'Standardized Values'!E240/E$2</f>
        <v>5.0000000000000001E-3</v>
      </c>
      <c r="F240" s="13">
        <f>'Standardized Values'!F240/F$2</f>
        <v>1.090909090909091E-2</v>
      </c>
      <c r="G240" s="13">
        <f>'Standardized Values'!G240/G$2</f>
        <v>0</v>
      </c>
      <c r="H240" s="13">
        <f>'Standardized Values'!H240/H$2</f>
        <v>0</v>
      </c>
      <c r="I240" s="13">
        <f>'Standardized Values'!I240/I$2</f>
        <v>3.2786885245901641E-2</v>
      </c>
      <c r="J240" s="13">
        <f>'Standardized Values'!J240/J$2</f>
        <v>0</v>
      </c>
      <c r="K240" s="13">
        <f>'Standardized Values'!K240/K$2</f>
        <v>0</v>
      </c>
      <c r="L240" s="13">
        <f>'Standardized Values'!L240/L$2</f>
        <v>0</v>
      </c>
      <c r="M240" s="4" t="s">
        <v>788</v>
      </c>
      <c r="N240" s="2" t="s">
        <v>1129</v>
      </c>
      <c r="O240" s="2"/>
      <c r="P240" s="2"/>
      <c r="Q240" s="2"/>
      <c r="R240" s="2"/>
      <c r="S240" s="2"/>
      <c r="T240" s="2"/>
      <c r="U240" s="2"/>
      <c r="V240" s="2"/>
      <c r="W240" s="2"/>
      <c r="X240" s="2"/>
      <c r="Y240" s="2"/>
      <c r="Z240" s="2"/>
    </row>
    <row r="241" spans="1:26" ht="19.5" customHeight="1">
      <c r="A241" s="4" t="s">
        <v>789</v>
      </c>
      <c r="B241" s="4" t="s">
        <v>790</v>
      </c>
      <c r="C241" s="6">
        <v>1</v>
      </c>
      <c r="D241" s="4" t="s">
        <v>31</v>
      </c>
      <c r="E241" s="13">
        <f>'Standardized Values'!E241/E$2</f>
        <v>2.5000000000000001E-2</v>
      </c>
      <c r="F241" s="13">
        <f>'Standardized Values'!F241/F$2</f>
        <v>4.363636363636364E-2</v>
      </c>
      <c r="G241" s="13">
        <f>'Standardized Values'!G241/G$2</f>
        <v>0</v>
      </c>
      <c r="H241" s="13">
        <f>'Standardized Values'!H241/H$2</f>
        <v>0</v>
      </c>
      <c r="I241" s="13">
        <f>'Standardized Values'!I241/I$2</f>
        <v>0.39344262295081966</v>
      </c>
      <c r="J241" s="13">
        <f>'Standardized Values'!J241/J$2</f>
        <v>1.7391304347826087E-2</v>
      </c>
      <c r="K241" s="13">
        <f>'Standardized Values'!K241/K$2</f>
        <v>0</v>
      </c>
      <c r="L241" s="13">
        <f>'Standardized Values'!L241/L$2</f>
        <v>0</v>
      </c>
      <c r="M241" s="4" t="s">
        <v>791</v>
      </c>
      <c r="N241" s="2" t="s">
        <v>1125</v>
      </c>
      <c r="O241" s="2"/>
      <c r="P241" s="2"/>
      <c r="Q241" s="2"/>
      <c r="R241" s="2"/>
      <c r="S241" s="2"/>
      <c r="T241" s="2"/>
      <c r="U241" s="2"/>
      <c r="V241" s="2"/>
      <c r="W241" s="2"/>
      <c r="X241" s="2"/>
      <c r="Y241" s="2"/>
      <c r="Z241" s="2"/>
    </row>
    <row r="242" spans="1:26" ht="19.5" customHeight="1">
      <c r="A242" s="4" t="s">
        <v>792</v>
      </c>
      <c r="B242" s="4" t="s">
        <v>793</v>
      </c>
      <c r="C242" s="7" t="s">
        <v>176</v>
      </c>
      <c r="D242" s="4" t="s">
        <v>31</v>
      </c>
      <c r="E242" s="13">
        <f>'Standardized Values'!E242/E$2</f>
        <v>5.0000000000000001E-3</v>
      </c>
      <c r="F242" s="13">
        <f>'Standardized Values'!F242/F$2</f>
        <v>3.6363636363636364E-3</v>
      </c>
      <c r="G242" s="13">
        <f>'Standardized Values'!G242/G$2</f>
        <v>0</v>
      </c>
      <c r="H242" s="13">
        <f>'Standardized Values'!H242/H$2</f>
        <v>0</v>
      </c>
      <c r="I242" s="13">
        <f>'Standardized Values'!I242/I$2</f>
        <v>3.2786885245901641E-2</v>
      </c>
      <c r="J242" s="13">
        <f>'Standardized Values'!J242/J$2</f>
        <v>2.6086956521739129E-2</v>
      </c>
      <c r="K242" s="13">
        <f>'Standardized Values'!K242/K$2</f>
        <v>0</v>
      </c>
      <c r="L242" s="13">
        <f>'Standardized Values'!L242/L$2</f>
        <v>0</v>
      </c>
      <c r="M242" s="4" t="s">
        <v>794</v>
      </c>
      <c r="N242" s="2" t="s">
        <v>1125</v>
      </c>
      <c r="O242" s="2"/>
      <c r="P242" s="2"/>
      <c r="Q242" s="2"/>
      <c r="R242" s="2"/>
      <c r="S242" s="2"/>
      <c r="T242" s="2"/>
      <c r="U242" s="2"/>
      <c r="V242" s="2"/>
      <c r="W242" s="2"/>
      <c r="X242" s="2"/>
      <c r="Y242" s="2"/>
      <c r="Z242" s="2"/>
    </row>
    <row r="243" spans="1:26" ht="19.5" customHeight="1">
      <c r="A243" s="4" t="s">
        <v>795</v>
      </c>
      <c r="B243" s="4" t="s">
        <v>796</v>
      </c>
      <c r="C243" s="6">
        <v>1</v>
      </c>
      <c r="D243" s="4" t="s">
        <v>31</v>
      </c>
      <c r="E243" s="13">
        <f>'Standardized Values'!E243/E$2</f>
        <v>5.0000000000000001E-3</v>
      </c>
      <c r="F243" s="13">
        <f>'Standardized Values'!F243/F$2</f>
        <v>7.2727272727272727E-3</v>
      </c>
      <c r="G243" s="13">
        <f>'Standardized Values'!G243/G$2</f>
        <v>0</v>
      </c>
      <c r="H243" s="13">
        <f>'Standardized Values'!H243/H$2</f>
        <v>0</v>
      </c>
      <c r="I243" s="13">
        <f>'Standardized Values'!I243/I$2</f>
        <v>3.2786885245901641E-2</v>
      </c>
      <c r="J243" s="13">
        <f>'Standardized Values'!J243/J$2</f>
        <v>0.20869565217391303</v>
      </c>
      <c r="K243" s="13">
        <f>'Standardized Values'!K243/K$2</f>
        <v>0</v>
      </c>
      <c r="L243" s="13">
        <f>'Standardized Values'!L243/L$2</f>
        <v>0</v>
      </c>
      <c r="M243" s="4" t="s">
        <v>797</v>
      </c>
      <c r="N243" s="2" t="s">
        <v>1125</v>
      </c>
      <c r="O243" s="2"/>
      <c r="P243" s="2"/>
      <c r="Q243" s="2"/>
      <c r="R243" s="2"/>
      <c r="S243" s="2"/>
      <c r="T243" s="2"/>
      <c r="U243" s="2"/>
      <c r="V243" s="2"/>
      <c r="W243" s="2"/>
      <c r="X243" s="2"/>
      <c r="Y243" s="2"/>
      <c r="Z243" s="2"/>
    </row>
    <row r="244" spans="1:26" ht="19.5" customHeight="1">
      <c r="A244" s="4" t="s">
        <v>798</v>
      </c>
      <c r="B244" s="4" t="s">
        <v>799</v>
      </c>
      <c r="C244" s="7" t="s">
        <v>176</v>
      </c>
      <c r="D244" s="4" t="s">
        <v>205</v>
      </c>
      <c r="E244" s="13">
        <f>'Standardized Values'!E244/E$2</f>
        <v>8.5000000000000006E-2</v>
      </c>
      <c r="F244" s="13">
        <f>'Standardized Values'!F244/F$2</f>
        <v>7.2727272727272727E-3</v>
      </c>
      <c r="G244" s="13">
        <f>'Standardized Values'!G244/G$2</f>
        <v>0.21568627450980393</v>
      </c>
      <c r="H244" s="13">
        <f>'Standardized Values'!H244/H$2</f>
        <v>0.23140495867768596</v>
      </c>
      <c r="I244" s="13">
        <f>'Standardized Values'!I244/I$2</f>
        <v>3.2786885245901641E-2</v>
      </c>
      <c r="J244" s="13">
        <f>'Standardized Values'!J244/J$2</f>
        <v>0.15217391304347827</v>
      </c>
      <c r="K244" s="13">
        <f>'Standardized Values'!K244/K$2</f>
        <v>3.6363636363636362E-2</v>
      </c>
      <c r="L244" s="13">
        <f>'Standardized Values'!L244/L$2</f>
        <v>0.15</v>
      </c>
      <c r="M244" s="4" t="s">
        <v>800</v>
      </c>
      <c r="N244" s="2" t="s">
        <v>1126</v>
      </c>
      <c r="O244" s="2"/>
      <c r="P244" s="2"/>
      <c r="Q244" s="2"/>
      <c r="R244" s="2"/>
      <c r="S244" s="2"/>
      <c r="T244" s="2"/>
      <c r="U244" s="2"/>
      <c r="V244" s="2"/>
      <c r="W244" s="2"/>
      <c r="X244" s="2"/>
      <c r="Y244" s="2"/>
      <c r="Z244" s="2"/>
    </row>
    <row r="245" spans="1:26" ht="19.5" customHeight="1">
      <c r="A245" s="4" t="s">
        <v>801</v>
      </c>
      <c r="B245" s="4" t="s">
        <v>802</v>
      </c>
      <c r="C245" s="6">
        <v>1</v>
      </c>
      <c r="D245" s="4" t="s">
        <v>628</v>
      </c>
      <c r="E245" s="13">
        <f>'Standardized Values'!E245/E$2</f>
        <v>0.13</v>
      </c>
      <c r="F245" s="13">
        <f>'Standardized Values'!F245/F$2</f>
        <v>1.8181818181818181E-2</v>
      </c>
      <c r="G245" s="13">
        <f>'Standardized Values'!G245/G$2</f>
        <v>0.39215686274509803</v>
      </c>
      <c r="H245" s="13">
        <f>'Standardized Values'!H245/H$2</f>
        <v>0.2975206611570248</v>
      </c>
      <c r="I245" s="13">
        <f>'Standardized Values'!I245/I$2</f>
        <v>0</v>
      </c>
      <c r="J245" s="13">
        <f>'Standardized Values'!J245/J$2</f>
        <v>0.15217391304347827</v>
      </c>
      <c r="K245" s="13">
        <f>'Standardized Values'!K245/K$2</f>
        <v>7.2727272727272724E-2</v>
      </c>
      <c r="L245" s="13">
        <f>'Standardized Values'!L245/L$2</f>
        <v>0</v>
      </c>
      <c r="M245" s="4" t="s">
        <v>803</v>
      </c>
      <c r="N245" s="2" t="s">
        <v>1128</v>
      </c>
      <c r="O245" s="2"/>
      <c r="P245" s="2"/>
      <c r="Q245" s="2"/>
      <c r="R245" s="2"/>
      <c r="S245" s="2"/>
      <c r="T245" s="2"/>
      <c r="U245" s="2"/>
      <c r="V245" s="2"/>
      <c r="W245" s="2"/>
      <c r="X245" s="2"/>
      <c r="Y245" s="2"/>
      <c r="Z245" s="2"/>
    </row>
    <row r="246" spans="1:26" ht="19.5" customHeight="1">
      <c r="A246" s="4" t="s">
        <v>804</v>
      </c>
      <c r="B246" s="4" t="s">
        <v>805</v>
      </c>
      <c r="C246" s="6">
        <v>1</v>
      </c>
      <c r="D246" s="4" t="s">
        <v>599</v>
      </c>
      <c r="E246" s="13">
        <f>'Standardized Values'!E246/E$2</f>
        <v>0.11</v>
      </c>
      <c r="F246" s="13">
        <f>'Standardized Values'!F246/F$2</f>
        <v>5.0909090909090911E-2</v>
      </c>
      <c r="G246" s="13">
        <f>'Standardized Values'!G246/G$2</f>
        <v>0.23529411764705882</v>
      </c>
      <c r="H246" s="13">
        <f>'Standardized Values'!H246/H$2</f>
        <v>0.24793388429752067</v>
      </c>
      <c r="I246" s="13">
        <f>'Standardized Values'!I246/I$2</f>
        <v>6.5573770491803282E-2</v>
      </c>
      <c r="J246" s="13">
        <f>'Standardized Values'!J246/J$2</f>
        <v>4.7826086956521741E-2</v>
      </c>
      <c r="K246" s="13">
        <f>'Standardized Values'!K246/K$2</f>
        <v>0.18181818181818182</v>
      </c>
      <c r="L246" s="13">
        <f>'Standardized Values'!L246/L$2</f>
        <v>0</v>
      </c>
      <c r="M246" s="4" t="s">
        <v>806</v>
      </c>
      <c r="N246" s="2" t="s">
        <v>1126</v>
      </c>
      <c r="O246" s="2"/>
      <c r="P246" s="2"/>
      <c r="Q246" s="2"/>
      <c r="R246" s="2"/>
      <c r="S246" s="2"/>
      <c r="T246" s="2"/>
      <c r="U246" s="2"/>
      <c r="V246" s="2"/>
      <c r="W246" s="2"/>
      <c r="X246" s="2"/>
      <c r="Y246" s="2"/>
      <c r="Z246" s="2"/>
    </row>
    <row r="247" spans="1:26" ht="19.5" customHeight="1">
      <c r="A247" s="4" t="s">
        <v>807</v>
      </c>
      <c r="B247" s="4" t="s">
        <v>808</v>
      </c>
      <c r="C247" s="7" t="s">
        <v>176</v>
      </c>
      <c r="D247" s="4" t="s">
        <v>205</v>
      </c>
      <c r="E247" s="13">
        <f>'Standardized Values'!E247/E$2</f>
        <v>8.5000000000000006E-2</v>
      </c>
      <c r="F247" s="13">
        <f>'Standardized Values'!F247/F$2</f>
        <v>3.6363636363636364E-3</v>
      </c>
      <c r="G247" s="13">
        <f>'Standardized Values'!G247/G$2</f>
        <v>0.21568627450980393</v>
      </c>
      <c r="H247" s="13">
        <f>'Standardized Values'!H247/H$2</f>
        <v>0.23140495867768596</v>
      </c>
      <c r="I247" s="13">
        <f>'Standardized Values'!I247/I$2</f>
        <v>0</v>
      </c>
      <c r="J247" s="13">
        <f>'Standardized Values'!J247/J$2</f>
        <v>0.16956521739130434</v>
      </c>
      <c r="K247" s="13">
        <f>'Standardized Values'!K247/K$2</f>
        <v>0</v>
      </c>
      <c r="L247" s="13">
        <f>'Standardized Values'!L247/L$2</f>
        <v>0.13333333333333333</v>
      </c>
      <c r="M247" s="4" t="s">
        <v>809</v>
      </c>
      <c r="N247" s="2" t="s">
        <v>1126</v>
      </c>
      <c r="O247" s="2"/>
      <c r="P247" s="2"/>
      <c r="Q247" s="2"/>
      <c r="R247" s="2"/>
      <c r="S247" s="2"/>
      <c r="T247" s="2"/>
      <c r="U247" s="2"/>
      <c r="V247" s="2"/>
      <c r="W247" s="2"/>
      <c r="X247" s="2"/>
      <c r="Y247" s="2"/>
      <c r="Z247" s="2"/>
    </row>
    <row r="248" spans="1:26" ht="19.5" customHeight="1">
      <c r="A248" s="4" t="s">
        <v>810</v>
      </c>
      <c r="B248" s="4" t="s">
        <v>811</v>
      </c>
      <c r="C248" s="6">
        <v>1</v>
      </c>
      <c r="D248" s="4" t="s">
        <v>205</v>
      </c>
      <c r="E248" s="13">
        <f>'Standardized Values'!E248/E$2</f>
        <v>8.5000000000000006E-2</v>
      </c>
      <c r="F248" s="13">
        <f>'Standardized Values'!F248/F$2</f>
        <v>7.2727272727272727E-3</v>
      </c>
      <c r="G248" s="13">
        <f>'Standardized Values'!G248/G$2</f>
        <v>0.19607843137254902</v>
      </c>
      <c r="H248" s="13">
        <f>'Standardized Values'!H248/H$2</f>
        <v>0.23140495867768596</v>
      </c>
      <c r="I248" s="13">
        <f>'Standardized Values'!I248/I$2</f>
        <v>0</v>
      </c>
      <c r="J248" s="13">
        <f>'Standardized Values'!J248/J$2</f>
        <v>0.15652173913043479</v>
      </c>
      <c r="K248" s="13">
        <f>'Standardized Values'!K248/K$2</f>
        <v>0</v>
      </c>
      <c r="L248" s="13">
        <f>'Standardized Values'!L248/L$2</f>
        <v>0.13333333333333333</v>
      </c>
      <c r="M248" s="4" t="s">
        <v>812</v>
      </c>
      <c r="N248" s="2" t="s">
        <v>1126</v>
      </c>
      <c r="O248" s="2"/>
      <c r="P248" s="2"/>
      <c r="Q248" s="2"/>
      <c r="R248" s="2"/>
      <c r="S248" s="2"/>
      <c r="T248" s="2"/>
      <c r="U248" s="2"/>
      <c r="V248" s="2"/>
      <c r="W248" s="2"/>
      <c r="X248" s="2"/>
      <c r="Y248" s="2"/>
      <c r="Z248" s="2"/>
    </row>
    <row r="249" spans="1:26" ht="19.5" customHeight="1">
      <c r="A249" s="4" t="s">
        <v>813</v>
      </c>
      <c r="B249" s="4" t="s">
        <v>814</v>
      </c>
      <c r="C249" s="7" t="s">
        <v>176</v>
      </c>
      <c r="D249" s="4" t="s">
        <v>205</v>
      </c>
      <c r="E249" s="13">
        <f>'Standardized Values'!E249/E$2</f>
        <v>8.5000000000000006E-2</v>
      </c>
      <c r="F249" s="13">
        <f>'Standardized Values'!F249/F$2</f>
        <v>7.2727272727272727E-3</v>
      </c>
      <c r="G249" s="13">
        <f>'Standardized Values'!G249/G$2</f>
        <v>0.21568627450980393</v>
      </c>
      <c r="H249" s="13">
        <f>'Standardized Values'!H249/H$2</f>
        <v>0.21487603305785125</v>
      </c>
      <c r="I249" s="13">
        <f>'Standardized Values'!I249/I$2</f>
        <v>0</v>
      </c>
      <c r="J249" s="13">
        <f>'Standardized Values'!J249/J$2</f>
        <v>0.16956521739130434</v>
      </c>
      <c r="K249" s="13">
        <f>'Standardized Values'!K249/K$2</f>
        <v>0</v>
      </c>
      <c r="L249" s="13">
        <f>'Standardized Values'!L249/L$2</f>
        <v>0.13333333333333333</v>
      </c>
      <c r="M249" s="4" t="s">
        <v>815</v>
      </c>
      <c r="N249" s="2" t="s">
        <v>1126</v>
      </c>
      <c r="O249" s="2"/>
      <c r="P249" s="2"/>
      <c r="Q249" s="2"/>
      <c r="R249" s="2"/>
      <c r="S249" s="2"/>
      <c r="T249" s="2"/>
      <c r="U249" s="2"/>
      <c r="V249" s="2"/>
      <c r="W249" s="2"/>
      <c r="X249" s="2"/>
      <c r="Y249" s="2"/>
      <c r="Z249" s="2"/>
    </row>
    <row r="250" spans="1:26" ht="19.5" customHeight="1">
      <c r="A250" s="4" t="s">
        <v>816</v>
      </c>
      <c r="B250" s="4" t="s">
        <v>817</v>
      </c>
      <c r="C250" s="6">
        <v>1</v>
      </c>
      <c r="D250" s="4" t="s">
        <v>205</v>
      </c>
      <c r="E250" s="13">
        <f>'Standardized Values'!E250/E$2</f>
        <v>0.08</v>
      </c>
      <c r="F250" s="13">
        <f>'Standardized Values'!F250/F$2</f>
        <v>3.6363636363636364E-3</v>
      </c>
      <c r="G250" s="13">
        <f>'Standardized Values'!G250/G$2</f>
        <v>0.23529411764705882</v>
      </c>
      <c r="H250" s="13">
        <f>'Standardized Values'!H250/H$2</f>
        <v>0.19834710743801653</v>
      </c>
      <c r="I250" s="13">
        <f>'Standardized Values'!I250/I$2</f>
        <v>0</v>
      </c>
      <c r="J250" s="13">
        <f>'Standardized Values'!J250/J$2</f>
        <v>0.13478260869565217</v>
      </c>
      <c r="K250" s="13">
        <f>'Standardized Values'!K250/K$2</f>
        <v>0</v>
      </c>
      <c r="L250" s="13">
        <f>'Standardized Values'!L250/L$2</f>
        <v>0.13333333333333333</v>
      </c>
      <c r="M250" s="4" t="s">
        <v>818</v>
      </c>
      <c r="N250" s="2" t="s">
        <v>1126</v>
      </c>
      <c r="O250" s="2"/>
      <c r="P250" s="2"/>
      <c r="Q250" s="2"/>
      <c r="R250" s="2"/>
      <c r="S250" s="2"/>
      <c r="T250" s="2"/>
      <c r="U250" s="2"/>
      <c r="V250" s="2"/>
      <c r="W250" s="2"/>
      <c r="X250" s="2"/>
      <c r="Y250" s="2"/>
      <c r="Z250" s="2"/>
    </row>
    <row r="251" spans="1:26" ht="19.5" customHeight="1">
      <c r="A251" s="4" t="s">
        <v>819</v>
      </c>
      <c r="B251" s="4" t="s">
        <v>820</v>
      </c>
      <c r="C251" s="6">
        <v>1</v>
      </c>
      <c r="D251" s="4" t="s">
        <v>31</v>
      </c>
      <c r="E251" s="13">
        <f>'Standardized Values'!E251/E$2</f>
        <v>0.01</v>
      </c>
      <c r="F251" s="13">
        <f>'Standardized Values'!F251/F$2</f>
        <v>1.4545454545454545E-2</v>
      </c>
      <c r="G251" s="13">
        <f>'Standardized Values'!G251/G$2</f>
        <v>0</v>
      </c>
      <c r="H251" s="13">
        <f>'Standardized Values'!H251/H$2</f>
        <v>0</v>
      </c>
      <c r="I251" s="13">
        <f>'Standardized Values'!I251/I$2</f>
        <v>9.8360655737704916E-2</v>
      </c>
      <c r="J251" s="13">
        <f>'Standardized Values'!J251/J$2</f>
        <v>0.3</v>
      </c>
      <c r="K251" s="13">
        <f>'Standardized Values'!K251/K$2</f>
        <v>0</v>
      </c>
      <c r="L251" s="13">
        <f>'Standardized Values'!L251/L$2</f>
        <v>0</v>
      </c>
      <c r="M251" s="4" t="s">
        <v>821</v>
      </c>
      <c r="N251" s="2" t="s">
        <v>1127</v>
      </c>
      <c r="O251" s="2"/>
      <c r="P251" s="2"/>
      <c r="Q251" s="2"/>
      <c r="R251" s="2"/>
      <c r="S251" s="2"/>
      <c r="T251" s="2"/>
      <c r="U251" s="2"/>
      <c r="V251" s="2"/>
      <c r="W251" s="2"/>
      <c r="X251" s="2"/>
      <c r="Y251" s="2"/>
      <c r="Z251" s="2"/>
    </row>
    <row r="252" spans="1:26" ht="19.5" customHeight="1">
      <c r="A252" s="4" t="s">
        <v>822</v>
      </c>
      <c r="B252" s="4" t="s">
        <v>823</v>
      </c>
      <c r="C252" s="6">
        <v>1</v>
      </c>
      <c r="D252" s="4" t="s">
        <v>76</v>
      </c>
      <c r="E252" s="13">
        <f>'Standardized Values'!E252/E$2</f>
        <v>0</v>
      </c>
      <c r="F252" s="13">
        <f>'Standardized Values'!F252/F$2</f>
        <v>0</v>
      </c>
      <c r="G252" s="13">
        <f>'Standardized Values'!G252/G$2</f>
        <v>0</v>
      </c>
      <c r="H252" s="13">
        <f>'Standardized Values'!H252/H$2</f>
        <v>0</v>
      </c>
      <c r="I252" s="13">
        <f>'Standardized Values'!I252/I$2</f>
        <v>0</v>
      </c>
      <c r="J252" s="13">
        <f>'Standardized Values'!J252/J$2</f>
        <v>3.9130434782608699E-2</v>
      </c>
      <c r="K252" s="13">
        <f>'Standardized Values'!K252/K$2</f>
        <v>0</v>
      </c>
      <c r="L252" s="13">
        <f>'Standardized Values'!L252/L$2</f>
        <v>0</v>
      </c>
      <c r="M252" s="4" t="s">
        <v>824</v>
      </c>
      <c r="N252" s="2" t="s">
        <v>1126</v>
      </c>
      <c r="O252" s="2"/>
      <c r="P252" s="2"/>
      <c r="Q252" s="2"/>
      <c r="R252" s="2"/>
      <c r="S252" s="2"/>
      <c r="T252" s="2"/>
      <c r="U252" s="2"/>
      <c r="V252" s="2"/>
      <c r="W252" s="2"/>
      <c r="X252" s="2"/>
      <c r="Y252" s="2"/>
      <c r="Z252" s="2"/>
    </row>
    <row r="253" spans="1:26" ht="19.5" customHeight="1">
      <c r="A253" s="4" t="s">
        <v>825</v>
      </c>
      <c r="B253" s="4" t="s">
        <v>826</v>
      </c>
      <c r="C253" s="7" t="s">
        <v>176</v>
      </c>
      <c r="D253" s="4" t="s">
        <v>31</v>
      </c>
      <c r="E253" s="13">
        <f>'Standardized Values'!E253/E$2</f>
        <v>1.2500000000000001E-2</v>
      </c>
      <c r="F253" s="13">
        <f>'Standardized Values'!F253/F$2</f>
        <v>3.6363636363636364E-3</v>
      </c>
      <c r="G253" s="13">
        <f>'Standardized Values'!G253/G$2</f>
        <v>0</v>
      </c>
      <c r="H253" s="13">
        <f>'Standardized Values'!H253/H$2</f>
        <v>3.3057851239669422E-2</v>
      </c>
      <c r="I253" s="13">
        <f>'Standardized Values'!I253/I$2</f>
        <v>0</v>
      </c>
      <c r="J253" s="13">
        <f>'Standardized Values'!J253/J$2</f>
        <v>0.01</v>
      </c>
      <c r="K253" s="13">
        <f>'Standardized Values'!K253/K$2</f>
        <v>0</v>
      </c>
      <c r="L253" s="13">
        <f>'Standardized Values'!L253/L$2</f>
        <v>0</v>
      </c>
      <c r="M253" s="4" t="s">
        <v>827</v>
      </c>
      <c r="N253" s="2" t="s">
        <v>1126</v>
      </c>
      <c r="O253" s="2"/>
      <c r="P253" s="2"/>
      <c r="Q253" s="2"/>
      <c r="R253" s="2"/>
      <c r="S253" s="2"/>
      <c r="T253" s="2"/>
      <c r="U253" s="2"/>
      <c r="V253" s="2"/>
      <c r="W253" s="2"/>
      <c r="X253" s="2"/>
      <c r="Y253" s="2"/>
      <c r="Z253" s="2"/>
    </row>
    <row r="254" spans="1:26" ht="19.5" customHeight="1">
      <c r="A254" s="4" t="s">
        <v>828</v>
      </c>
      <c r="B254" s="4" t="s">
        <v>829</v>
      </c>
      <c r="C254" s="6">
        <v>1</v>
      </c>
      <c r="D254" s="4" t="s">
        <v>31</v>
      </c>
      <c r="E254" s="13">
        <f>'Standardized Values'!E254/E$2</f>
        <v>1.7000000000000001E-2</v>
      </c>
      <c r="F254" s="13">
        <f>'Standardized Values'!F254/F$2</f>
        <v>2.9090909090909091E-2</v>
      </c>
      <c r="G254" s="13">
        <f>'Standardized Values'!G254/G$2</f>
        <v>0</v>
      </c>
      <c r="H254" s="13">
        <f>'Standardized Values'!H254/H$2</f>
        <v>0</v>
      </c>
      <c r="I254" s="13">
        <f>'Standardized Values'!I254/I$2</f>
        <v>0.24590163934426229</v>
      </c>
      <c r="J254" s="13">
        <f>'Standardized Values'!J254/J$2</f>
        <v>0.2391304347826087</v>
      </c>
      <c r="K254" s="13">
        <f>'Standardized Values'!K254/K$2</f>
        <v>0</v>
      </c>
      <c r="L254" s="13">
        <f>'Standardized Values'!L254/L$2</f>
        <v>0</v>
      </c>
      <c r="M254" s="4" t="s">
        <v>830</v>
      </c>
      <c r="N254" s="2" t="s">
        <v>1126</v>
      </c>
      <c r="O254" s="2"/>
      <c r="P254" s="2"/>
      <c r="Q254" s="2"/>
      <c r="R254" s="2"/>
      <c r="S254" s="2"/>
      <c r="T254" s="2"/>
      <c r="U254" s="2"/>
      <c r="V254" s="2"/>
      <c r="W254" s="2"/>
      <c r="X254" s="2"/>
      <c r="Y254" s="2"/>
      <c r="Z254" s="2"/>
    </row>
    <row r="255" spans="1:26" ht="19.5" customHeight="1">
      <c r="A255" s="4" t="s">
        <v>831</v>
      </c>
      <c r="B255" s="4" t="s">
        <v>832</v>
      </c>
      <c r="C255" s="7" t="s">
        <v>176</v>
      </c>
      <c r="D255" s="4" t="s">
        <v>554</v>
      </c>
      <c r="E255" s="13">
        <f>'Standardized Values'!E255/E$2</f>
        <v>7.4999999999999997E-3</v>
      </c>
      <c r="F255" s="13">
        <f>'Standardized Values'!F255/F$2</f>
        <v>1.4545454545454545E-2</v>
      </c>
      <c r="G255" s="13">
        <f>'Standardized Values'!G255/G$2</f>
        <v>0</v>
      </c>
      <c r="H255" s="13">
        <f>'Standardized Values'!H255/H$2</f>
        <v>0</v>
      </c>
      <c r="I255" s="13">
        <f>'Standardized Values'!I255/I$2</f>
        <v>0.13114754098360656</v>
      </c>
      <c r="J255" s="13">
        <f>'Standardized Values'!J255/J$2</f>
        <v>0</v>
      </c>
      <c r="K255" s="13">
        <f>'Standardized Values'!K255/K$2</f>
        <v>0</v>
      </c>
      <c r="L255" s="13">
        <f>'Standardized Values'!L255/L$2</f>
        <v>0</v>
      </c>
      <c r="M255" s="4" t="s">
        <v>833</v>
      </c>
      <c r="N255" s="2" t="s">
        <v>1126</v>
      </c>
      <c r="O255" s="2"/>
      <c r="P255" s="2"/>
      <c r="Q255" s="2"/>
      <c r="R255" s="2"/>
      <c r="S255" s="2"/>
      <c r="T255" s="2"/>
      <c r="U255" s="2"/>
      <c r="V255" s="2"/>
      <c r="W255" s="2"/>
      <c r="X255" s="2"/>
      <c r="Y255" s="2"/>
      <c r="Z255" s="2"/>
    </row>
    <row r="256" spans="1:26" ht="19.5" customHeight="1">
      <c r="A256" s="4" t="s">
        <v>834</v>
      </c>
      <c r="B256" s="4" t="s">
        <v>835</v>
      </c>
      <c r="C256" s="7" t="s">
        <v>176</v>
      </c>
      <c r="D256" s="4" t="s">
        <v>599</v>
      </c>
      <c r="E256" s="13">
        <f>'Standardized Values'!E256/E$2</f>
        <v>0.14899999999999999</v>
      </c>
      <c r="F256" s="13">
        <f>'Standardized Values'!F256/F$2</f>
        <v>0.11636363636363636</v>
      </c>
      <c r="G256" s="13">
        <f>'Standardized Values'!G256/G$2</f>
        <v>0.17647058823529413</v>
      </c>
      <c r="H256" s="13">
        <f>'Standardized Values'!H256/H$2</f>
        <v>0.28099173553719009</v>
      </c>
      <c r="I256" s="13">
        <f>'Standardized Values'!I256/I$2</f>
        <v>0.5901639344262295</v>
      </c>
      <c r="J256" s="13">
        <f>'Standardized Values'!J256/J$2</f>
        <v>7.391304347826087E-3</v>
      </c>
      <c r="K256" s="13">
        <f>'Standardized Values'!K256/K$2</f>
        <v>0.21818181818181817</v>
      </c>
      <c r="L256" s="13">
        <f>'Standardized Values'!L256/L$2</f>
        <v>0</v>
      </c>
      <c r="M256" s="4" t="s">
        <v>836</v>
      </c>
      <c r="N256" s="2" t="s">
        <v>1126</v>
      </c>
      <c r="O256" s="2"/>
      <c r="P256" s="2"/>
      <c r="Q256" s="2"/>
      <c r="R256" s="2"/>
      <c r="S256" s="2"/>
      <c r="T256" s="2"/>
      <c r="U256" s="2"/>
      <c r="V256" s="2"/>
      <c r="W256" s="2"/>
      <c r="X256" s="2"/>
      <c r="Y256" s="2"/>
      <c r="Z256" s="2"/>
    </row>
    <row r="257" spans="1:26" ht="19.5" customHeight="1">
      <c r="A257" s="4" t="s">
        <v>837</v>
      </c>
      <c r="B257" s="4" t="s">
        <v>838</v>
      </c>
      <c r="C257" s="6">
        <v>1</v>
      </c>
      <c r="D257" s="4" t="s">
        <v>599</v>
      </c>
      <c r="E257" s="13">
        <f>'Standardized Values'!E257/E$2</f>
        <v>0.1245</v>
      </c>
      <c r="F257" s="13">
        <f>'Standardized Values'!F257/F$2</f>
        <v>0.10545454545454545</v>
      </c>
      <c r="G257" s="13">
        <f>'Standardized Values'!G257/G$2</f>
        <v>0.15686274509803921</v>
      </c>
      <c r="H257" s="13">
        <f>'Standardized Values'!H257/H$2</f>
        <v>0.21487603305785125</v>
      </c>
      <c r="I257" s="13">
        <f>'Standardized Values'!I257/I$2</f>
        <v>0.45901639344262296</v>
      </c>
      <c r="J257" s="13">
        <f>'Standardized Values'!J257/J$2</f>
        <v>7.391304347826087E-3</v>
      </c>
      <c r="K257" s="13">
        <f>'Standardized Values'!K257/K$2</f>
        <v>0.18181818181818182</v>
      </c>
      <c r="L257" s="13">
        <f>'Standardized Values'!L257/L$2</f>
        <v>0</v>
      </c>
      <c r="M257" s="4" t="s">
        <v>839</v>
      </c>
      <c r="N257" s="2" t="s">
        <v>1126</v>
      </c>
      <c r="O257" s="2"/>
      <c r="P257" s="2"/>
      <c r="Q257" s="2"/>
      <c r="R257" s="2"/>
      <c r="S257" s="2"/>
      <c r="T257" s="2"/>
      <c r="U257" s="2"/>
      <c r="V257" s="2"/>
      <c r="W257" s="2"/>
      <c r="X257" s="2"/>
      <c r="Y257" s="2"/>
      <c r="Z257" s="2"/>
    </row>
    <row r="258" spans="1:26" ht="19.5" customHeight="1">
      <c r="A258" s="4" t="s">
        <v>840</v>
      </c>
      <c r="B258" s="4" t="s">
        <v>841</v>
      </c>
      <c r="C258" s="6">
        <v>1</v>
      </c>
      <c r="D258" s="4" t="s">
        <v>842</v>
      </c>
      <c r="E258" s="13">
        <f>'Standardized Values'!E258/E$2</f>
        <v>0.05</v>
      </c>
      <c r="F258" s="13">
        <f>'Standardized Values'!F258/F$2</f>
        <v>4.5818181818181813E-2</v>
      </c>
      <c r="G258" s="13">
        <f>'Standardized Values'!G258/G$2</f>
        <v>5.8823529411764705E-2</v>
      </c>
      <c r="H258" s="13">
        <f>'Standardized Values'!H258/H$2</f>
        <v>8.0991735537190093E-2</v>
      </c>
      <c r="I258" s="13">
        <f>'Standardized Values'!I258/I$2</f>
        <v>0.18688524590163935</v>
      </c>
      <c r="J258" s="13">
        <f>'Standardized Values'!J258/J$2</f>
        <v>2.6086956521739132E-3</v>
      </c>
      <c r="K258" s="13">
        <f>'Standardized Values'!K258/K$2</f>
        <v>7.636363636363637E-2</v>
      </c>
      <c r="L258" s="13">
        <f>'Standardized Values'!L258/L$2</f>
        <v>0</v>
      </c>
      <c r="M258" s="4" t="s">
        <v>839</v>
      </c>
      <c r="N258" s="2" t="s">
        <v>1126</v>
      </c>
      <c r="O258" s="2"/>
      <c r="P258" s="2"/>
      <c r="Q258" s="2"/>
      <c r="R258" s="2"/>
      <c r="S258" s="2"/>
      <c r="T258" s="2"/>
      <c r="U258" s="2"/>
      <c r="V258" s="2"/>
      <c r="W258" s="2"/>
      <c r="X258" s="2"/>
      <c r="Y258" s="2"/>
      <c r="Z258" s="2"/>
    </row>
    <row r="259" spans="1:26" ht="19.5" customHeight="1">
      <c r="A259" s="4" t="s">
        <v>843</v>
      </c>
      <c r="B259" s="4" t="s">
        <v>844</v>
      </c>
      <c r="C259" s="6">
        <v>1</v>
      </c>
      <c r="D259" s="4" t="s">
        <v>842</v>
      </c>
      <c r="E259" s="13">
        <f>'Standardized Values'!E259/E$2</f>
        <v>0.06</v>
      </c>
      <c r="F259" s="13">
        <f>'Standardized Values'!F259/F$2</f>
        <v>5.0181818181818182E-2</v>
      </c>
      <c r="G259" s="13">
        <f>'Standardized Values'!G259/G$2</f>
        <v>6.2745098039215685E-2</v>
      </c>
      <c r="H259" s="13">
        <f>'Standardized Values'!H259/H$2</f>
        <v>0.10578512396694216</v>
      </c>
      <c r="I259" s="13">
        <f>'Standardized Values'!I259/I$2</f>
        <v>0.21639344262295082</v>
      </c>
      <c r="J259" s="13">
        <f>'Standardized Values'!J259/J$2</f>
        <v>2.6086956521739132E-3</v>
      </c>
      <c r="K259" s="13">
        <f>'Standardized Values'!K259/K$2</f>
        <v>8.3636363636363634E-2</v>
      </c>
      <c r="L259" s="13">
        <f>'Standardized Values'!L259/L$2</f>
        <v>0</v>
      </c>
      <c r="M259" s="4" t="s">
        <v>836</v>
      </c>
      <c r="N259" s="2" t="s">
        <v>1126</v>
      </c>
      <c r="O259" s="2"/>
      <c r="P259" s="2"/>
      <c r="Q259" s="2"/>
      <c r="R259" s="2"/>
      <c r="S259" s="2"/>
      <c r="T259" s="2"/>
      <c r="U259" s="2"/>
      <c r="V259" s="2"/>
      <c r="W259" s="2"/>
      <c r="X259" s="2"/>
      <c r="Y259" s="2"/>
      <c r="Z259" s="2"/>
    </row>
    <row r="260" spans="1:26" ht="19.5" customHeight="1">
      <c r="A260" s="4" t="s">
        <v>845</v>
      </c>
      <c r="B260" s="4" t="s">
        <v>846</v>
      </c>
      <c r="C260" s="6">
        <v>1</v>
      </c>
      <c r="D260" s="4" t="s">
        <v>17</v>
      </c>
      <c r="E260" s="13">
        <f>'Standardized Values'!E260/E$2</f>
        <v>0.14499999999999999</v>
      </c>
      <c r="F260" s="13">
        <f>'Standardized Values'!F260/F$2</f>
        <v>9.0909090909090912E-2</v>
      </c>
      <c r="G260" s="13">
        <f>'Standardized Values'!G260/G$2</f>
        <v>0.21568627450980393</v>
      </c>
      <c r="H260" s="13">
        <f>'Standardized Values'!H260/H$2</f>
        <v>0.26446280991735538</v>
      </c>
      <c r="I260" s="13">
        <f>'Standardized Values'!I260/I$2</f>
        <v>0.45901639344262296</v>
      </c>
      <c r="J260" s="13">
        <f>'Standardized Values'!J260/J$2</f>
        <v>0.40869565217391307</v>
      </c>
      <c r="K260" s="13">
        <f>'Standardized Values'!K260/K$2</f>
        <v>0.21818181818181817</v>
      </c>
      <c r="L260" s="13">
        <f>'Standardized Values'!L260/L$2</f>
        <v>0</v>
      </c>
      <c r="M260" s="4" t="s">
        <v>847</v>
      </c>
      <c r="N260" s="2" t="s">
        <v>1128</v>
      </c>
      <c r="O260" s="2"/>
      <c r="P260" s="2"/>
      <c r="Q260" s="2"/>
      <c r="R260" s="2"/>
      <c r="S260" s="2"/>
      <c r="T260" s="2"/>
      <c r="U260" s="2"/>
      <c r="V260" s="2"/>
      <c r="W260" s="2"/>
      <c r="X260" s="2"/>
      <c r="Y260" s="2"/>
      <c r="Z260" s="2"/>
    </row>
    <row r="261" spans="1:26" ht="19.5" customHeight="1">
      <c r="A261" s="4" t="s">
        <v>848</v>
      </c>
      <c r="B261" s="4" t="s">
        <v>849</v>
      </c>
      <c r="C261" s="6">
        <v>1</v>
      </c>
      <c r="D261" s="4" t="s">
        <v>850</v>
      </c>
      <c r="E261" s="13">
        <f>'Standardized Values'!E261/E$2</f>
        <v>0</v>
      </c>
      <c r="F261" s="13">
        <f>'Standardized Values'!F261/F$2</f>
        <v>0</v>
      </c>
      <c r="G261" s="13">
        <f>'Standardized Values'!G261/G$2</f>
        <v>0</v>
      </c>
      <c r="H261" s="13">
        <f>'Standardized Values'!H261/H$2</f>
        <v>0</v>
      </c>
      <c r="I261" s="13">
        <f>'Standardized Values'!I261/I$2</f>
        <v>0</v>
      </c>
      <c r="J261" s="13">
        <f>'Standardized Values'!J261/J$2</f>
        <v>0</v>
      </c>
      <c r="K261" s="13">
        <f>'Standardized Values'!K261/K$2</f>
        <v>0</v>
      </c>
      <c r="L261" s="13">
        <f>'Standardized Values'!L261/L$2</f>
        <v>0</v>
      </c>
      <c r="M261" s="4" t="s">
        <v>851</v>
      </c>
      <c r="N261" s="2" t="s">
        <v>1129</v>
      </c>
      <c r="O261" s="2"/>
      <c r="P261" s="2"/>
      <c r="Q261" s="2"/>
      <c r="R261" s="2"/>
      <c r="S261" s="2"/>
      <c r="T261" s="2"/>
      <c r="U261" s="2"/>
      <c r="V261" s="2"/>
      <c r="W261" s="2"/>
      <c r="X261" s="2"/>
      <c r="Y261" s="2"/>
      <c r="Z261" s="2"/>
    </row>
    <row r="262" spans="1:26" ht="19.5" customHeight="1">
      <c r="A262" s="9" t="s">
        <v>852</v>
      </c>
      <c r="B262" s="10" t="s">
        <v>853</v>
      </c>
      <c r="C262" s="6">
        <v>1</v>
      </c>
      <c r="D262" s="4" t="s">
        <v>854</v>
      </c>
      <c r="E262" s="13">
        <f>'Standardized Values'!E262/E$2</f>
        <v>4.4999999999999998E-2</v>
      </c>
      <c r="F262" s="13">
        <f>'Standardized Values'!F262/F$2</f>
        <v>6.9090909090909092E-2</v>
      </c>
      <c r="G262" s="13">
        <f>'Standardized Values'!G262/G$2</f>
        <v>3.9215686274509803E-2</v>
      </c>
      <c r="H262" s="13">
        <f>'Standardized Values'!H262/H$2</f>
        <v>0</v>
      </c>
      <c r="I262" s="13">
        <f>'Standardized Values'!I262/I$2</f>
        <v>0.13114754098360656</v>
      </c>
      <c r="J262" s="13">
        <f>'Standardized Values'!J262/J$2</f>
        <v>0.1</v>
      </c>
      <c r="K262" s="13">
        <f>'Standardized Values'!K262/K$2</f>
        <v>0</v>
      </c>
      <c r="L262" s="13">
        <f>'Standardized Values'!L262/L$2</f>
        <v>0</v>
      </c>
      <c r="M262" s="4" t="s">
        <v>855</v>
      </c>
      <c r="N262" s="2" t="s">
        <v>1128</v>
      </c>
      <c r="O262" s="2"/>
      <c r="P262" s="2"/>
      <c r="Q262" s="2"/>
      <c r="R262" s="2"/>
      <c r="S262" s="2"/>
      <c r="T262" s="2"/>
      <c r="U262" s="2"/>
      <c r="V262" s="2"/>
      <c r="W262" s="2"/>
      <c r="X262" s="2"/>
      <c r="Y262" s="2"/>
      <c r="Z262" s="2"/>
    </row>
    <row r="263" spans="1:26" ht="19" customHeight="1">
      <c r="A263" s="4" t="s">
        <v>856</v>
      </c>
      <c r="B263" s="4" t="s">
        <v>857</v>
      </c>
      <c r="C263" s="6">
        <v>1</v>
      </c>
      <c r="D263" s="4" t="s">
        <v>554</v>
      </c>
      <c r="E263" s="13">
        <f>'Standardized Values'!E263/E$2</f>
        <v>7.4999999999999997E-3</v>
      </c>
      <c r="F263" s="13">
        <f>'Standardized Values'!F263/F$2</f>
        <v>0</v>
      </c>
      <c r="G263" s="13">
        <f>'Standardized Values'!G263/G$2</f>
        <v>0</v>
      </c>
      <c r="H263" s="13">
        <f>'Standardized Values'!H263/H$2</f>
        <v>0</v>
      </c>
      <c r="I263" s="13">
        <f>'Standardized Values'!I263/I$2</f>
        <v>0</v>
      </c>
      <c r="J263" s="13">
        <f>'Standardized Values'!J263/J$2</f>
        <v>0.2565217391304348</v>
      </c>
      <c r="K263" s="13">
        <f>'Standardized Values'!K263/K$2</f>
        <v>0</v>
      </c>
      <c r="L263" s="13">
        <f>'Standardized Values'!L263/L$2</f>
        <v>0</v>
      </c>
      <c r="M263" s="4" t="s">
        <v>858</v>
      </c>
      <c r="N263" s="2" t="s">
        <v>1125</v>
      </c>
      <c r="O263" s="2"/>
      <c r="P263" s="2"/>
      <c r="Q263" s="2"/>
      <c r="R263" s="2"/>
      <c r="S263" s="2"/>
      <c r="T263" s="2"/>
      <c r="U263" s="2"/>
      <c r="V263" s="2"/>
      <c r="W263" s="2"/>
      <c r="X263" s="2"/>
      <c r="Y263" s="2"/>
      <c r="Z263" s="2"/>
    </row>
    <row r="264" spans="1:26" ht="19" customHeight="1">
      <c r="A264" s="4" t="s">
        <v>859</v>
      </c>
      <c r="B264" s="4" t="s">
        <v>860</v>
      </c>
      <c r="C264" s="7" t="s">
        <v>176</v>
      </c>
      <c r="D264" s="4" t="s">
        <v>624</v>
      </c>
      <c r="E264" s="13">
        <f>'Standardized Values'!E264/E$2</f>
        <v>0.09</v>
      </c>
      <c r="F264" s="13">
        <f>'Standardized Values'!F264/F$2</f>
        <v>6.9090909090909092E-2</v>
      </c>
      <c r="G264" s="13">
        <f>'Standardized Values'!G264/G$2</f>
        <v>9.8039215686274508E-2</v>
      </c>
      <c r="H264" s="13">
        <f>'Standardized Values'!H264/H$2</f>
        <v>0.21487603305785125</v>
      </c>
      <c r="I264" s="13">
        <f>'Standardized Values'!I264/I$2</f>
        <v>1.6393442622950821E-2</v>
      </c>
      <c r="J264" s="13">
        <f>'Standardized Values'!J264/J$2</f>
        <v>0.11304347826086956</v>
      </c>
      <c r="K264" s="13">
        <f>'Standardized Values'!K264/K$2</f>
        <v>0.14545454545454545</v>
      </c>
      <c r="L264" s="13">
        <f>'Standardized Values'!L264/L$2</f>
        <v>0.23333333333333334</v>
      </c>
      <c r="M264" s="4" t="s">
        <v>644</v>
      </c>
      <c r="N264" s="2" t="s">
        <v>1126</v>
      </c>
      <c r="O264" s="2"/>
      <c r="P264" s="2"/>
      <c r="Q264" s="2"/>
      <c r="R264" s="2"/>
      <c r="S264" s="2"/>
      <c r="T264" s="2"/>
      <c r="U264" s="2"/>
      <c r="V264" s="2"/>
      <c r="W264" s="2"/>
      <c r="X264" s="2"/>
      <c r="Y264" s="2"/>
      <c r="Z264" s="2"/>
    </row>
    <row r="265" spans="1:26" ht="19.5" customHeight="1">
      <c r="A265" s="4" t="s">
        <v>861</v>
      </c>
      <c r="B265" s="4" t="s">
        <v>862</v>
      </c>
      <c r="C265" s="6">
        <v>1</v>
      </c>
      <c r="D265" s="4" t="s">
        <v>624</v>
      </c>
      <c r="E265" s="13">
        <f>'Standardized Values'!E265/E$2</f>
        <v>0.09</v>
      </c>
      <c r="F265" s="13">
        <f>'Standardized Values'!F265/F$2</f>
        <v>6.1818181818181821E-2</v>
      </c>
      <c r="G265" s="13">
        <f>'Standardized Values'!G265/G$2</f>
        <v>9.8039215686274508E-2</v>
      </c>
      <c r="H265" s="13">
        <f>'Standardized Values'!H265/H$2</f>
        <v>0.23140495867768596</v>
      </c>
      <c r="I265" s="13">
        <f>'Standardized Values'!I265/I$2</f>
        <v>3.2786885245901641E-2</v>
      </c>
      <c r="J265" s="13">
        <f>'Standardized Values'!J265/J$2</f>
        <v>0.12608695652173912</v>
      </c>
      <c r="K265" s="13">
        <f>'Standardized Values'!K265/K$2</f>
        <v>0.14545454545454545</v>
      </c>
      <c r="L265" s="13">
        <f>'Standardized Values'!L265/L$2</f>
        <v>0.21666666666666667</v>
      </c>
      <c r="M265" s="4" t="s">
        <v>706</v>
      </c>
      <c r="N265" s="2" t="s">
        <v>1126</v>
      </c>
      <c r="O265" s="2"/>
      <c r="P265" s="2"/>
      <c r="Q265" s="2"/>
      <c r="R265" s="2"/>
      <c r="S265" s="2"/>
      <c r="T265" s="2"/>
      <c r="U265" s="2"/>
      <c r="V265" s="2"/>
      <c r="W265" s="2"/>
      <c r="X265" s="2"/>
      <c r="Y265" s="2"/>
      <c r="Z265" s="2"/>
    </row>
    <row r="266" spans="1:26" ht="19.5" customHeight="1">
      <c r="A266" s="4" t="s">
        <v>863</v>
      </c>
      <c r="B266" s="4" t="s">
        <v>864</v>
      </c>
      <c r="C266" s="6">
        <v>1</v>
      </c>
      <c r="D266" s="4" t="s">
        <v>624</v>
      </c>
      <c r="E266" s="13">
        <f>'Standardized Values'!E266/E$2</f>
        <v>0.08</v>
      </c>
      <c r="F266" s="13">
        <f>'Standardized Values'!F266/F$2</f>
        <v>6.545454545454546E-2</v>
      </c>
      <c r="G266" s="13">
        <f>'Standardized Values'!G266/G$2</f>
        <v>9.8039215686274508E-2</v>
      </c>
      <c r="H266" s="13">
        <f>'Standardized Values'!H266/H$2</f>
        <v>0.19834710743801653</v>
      </c>
      <c r="I266" s="13">
        <f>'Standardized Values'!I266/I$2</f>
        <v>3.2786885245901641E-2</v>
      </c>
      <c r="J266" s="13">
        <f>'Standardized Values'!J266/J$2</f>
        <v>0.12173913043478261</v>
      </c>
      <c r="K266" s="13">
        <f>'Standardized Values'!K266/K$2</f>
        <v>0.14545454545454545</v>
      </c>
      <c r="L266" s="13">
        <f>'Standardized Values'!L266/L$2</f>
        <v>0.23333333333333334</v>
      </c>
      <c r="M266" s="4" t="s">
        <v>865</v>
      </c>
      <c r="N266" s="2" t="s">
        <v>1126</v>
      </c>
      <c r="O266" s="2"/>
      <c r="P266" s="2"/>
      <c r="Q266" s="2"/>
      <c r="R266" s="2"/>
      <c r="S266" s="2"/>
      <c r="T266" s="2"/>
      <c r="U266" s="2"/>
      <c r="V266" s="2"/>
      <c r="W266" s="2"/>
      <c r="X266" s="2"/>
      <c r="Y266" s="2"/>
      <c r="Z266" s="2"/>
    </row>
    <row r="267" spans="1:26" ht="19.5" customHeight="1">
      <c r="A267" s="4" t="s">
        <v>866</v>
      </c>
      <c r="B267" s="4" t="s">
        <v>867</v>
      </c>
      <c r="C267" s="6">
        <v>1</v>
      </c>
      <c r="D267" s="4" t="s">
        <v>868</v>
      </c>
      <c r="E267" s="13">
        <f>'Standardized Values'!E267/E$2</f>
        <v>4.4999999999999998E-2</v>
      </c>
      <c r="F267" s="13">
        <f>'Standardized Values'!F267/F$2</f>
        <v>0.12727272727272726</v>
      </c>
      <c r="G267" s="13">
        <f>'Standardized Values'!G267/G$2</f>
        <v>5.8823529411764705E-2</v>
      </c>
      <c r="H267" s="13">
        <f>'Standardized Values'!H267/H$2</f>
        <v>0</v>
      </c>
      <c r="I267" s="13">
        <f>'Standardized Values'!I267/I$2</f>
        <v>9.8360655737704916E-2</v>
      </c>
      <c r="J267" s="13">
        <f>'Standardized Values'!J267/J$2</f>
        <v>6.5217391304347823E-3</v>
      </c>
      <c r="K267" s="13">
        <f>'Standardized Values'!K267/K$2</f>
        <v>1.0181818181818181</v>
      </c>
      <c r="L267" s="13">
        <f>'Standardized Values'!L267/L$2</f>
        <v>0</v>
      </c>
      <c r="M267" s="4" t="s">
        <v>869</v>
      </c>
      <c r="N267" s="2" t="s">
        <v>1126</v>
      </c>
      <c r="O267" s="2"/>
      <c r="P267" s="2"/>
      <c r="Q267" s="2"/>
      <c r="R267" s="2"/>
      <c r="S267" s="2"/>
      <c r="T267" s="2"/>
      <c r="U267" s="2"/>
      <c r="V267" s="2"/>
      <c r="W267" s="2"/>
      <c r="X267" s="2"/>
      <c r="Y267" s="2"/>
      <c r="Z267" s="2"/>
    </row>
    <row r="268" spans="1:26" ht="19.5" customHeight="1">
      <c r="A268" s="4" t="s">
        <v>870</v>
      </c>
      <c r="B268" s="4" t="s">
        <v>871</v>
      </c>
      <c r="C268" s="6">
        <v>1</v>
      </c>
      <c r="D268" s="4" t="s">
        <v>599</v>
      </c>
      <c r="E268" s="13">
        <f>'Standardized Values'!E268/E$2</f>
        <v>0.1</v>
      </c>
      <c r="F268" s="13">
        <f>'Standardized Values'!F268/F$2</f>
        <v>7.636363636363637E-2</v>
      </c>
      <c r="G268" s="13">
        <f>'Standardized Values'!G268/G$2</f>
        <v>0.41176470588235292</v>
      </c>
      <c r="H268" s="13">
        <f>'Standardized Values'!H268/H$2</f>
        <v>0.13223140495867769</v>
      </c>
      <c r="I268" s="13">
        <f>'Standardized Values'!I268/I$2</f>
        <v>3.2786885245901641E-2</v>
      </c>
      <c r="J268" s="13">
        <f>'Standardized Values'!J268/J$2</f>
        <v>0.12173913043478261</v>
      </c>
      <c r="K268" s="13">
        <f>'Standardized Values'!K268/K$2</f>
        <v>0.54545454545454541</v>
      </c>
      <c r="L268" s="13">
        <f>'Standardized Values'!L268/L$2</f>
        <v>1.6666666666666666E-2</v>
      </c>
      <c r="M268" s="4" t="s">
        <v>872</v>
      </c>
      <c r="N268" s="2" t="s">
        <v>1126</v>
      </c>
      <c r="O268" s="2"/>
      <c r="P268" s="2"/>
      <c r="Q268" s="2"/>
      <c r="R268" s="2"/>
      <c r="S268" s="2"/>
      <c r="T268" s="2"/>
      <c r="U268" s="2"/>
      <c r="V268" s="2"/>
      <c r="W268" s="2"/>
      <c r="X268" s="2"/>
      <c r="Y268" s="2"/>
      <c r="Z268" s="2"/>
    </row>
    <row r="269" spans="1:26" ht="19.5" customHeight="1">
      <c r="A269" s="4" t="s">
        <v>873</v>
      </c>
      <c r="B269" s="4" t="s">
        <v>874</v>
      </c>
      <c r="C269" s="6">
        <v>1</v>
      </c>
      <c r="D269" s="4" t="s">
        <v>31</v>
      </c>
      <c r="E269" s="13">
        <f>'Standardized Values'!E269/E$2</f>
        <v>7.4999999999999997E-3</v>
      </c>
      <c r="F269" s="13">
        <f>'Standardized Values'!F269/F$2</f>
        <v>0</v>
      </c>
      <c r="G269" s="13">
        <f>'Standardized Values'!G269/G$2</f>
        <v>7.8431372549019607E-2</v>
      </c>
      <c r="H269" s="13">
        <f>'Standardized Values'!H269/H$2</f>
        <v>0</v>
      </c>
      <c r="I269" s="13">
        <f>'Standardized Values'!I269/I$2</f>
        <v>0</v>
      </c>
      <c r="J269" s="13">
        <f>'Standardized Values'!J269/J$2</f>
        <v>0.64782608695652177</v>
      </c>
      <c r="K269" s="13">
        <f>'Standardized Values'!K269/K$2</f>
        <v>0</v>
      </c>
      <c r="L269" s="13">
        <f>'Standardized Values'!L269/L$2</f>
        <v>0</v>
      </c>
      <c r="M269" s="4" t="s">
        <v>749</v>
      </c>
      <c r="N269" s="2" t="s">
        <v>1127</v>
      </c>
      <c r="O269" s="2"/>
      <c r="P269" s="2"/>
      <c r="Q269" s="2"/>
      <c r="R269" s="2"/>
      <c r="S269" s="2"/>
      <c r="T269" s="2"/>
      <c r="U269" s="2"/>
      <c r="V269" s="2"/>
      <c r="W269" s="2"/>
      <c r="X269" s="2"/>
      <c r="Y269" s="2"/>
      <c r="Z269" s="2"/>
    </row>
    <row r="270" spans="1:26" ht="19.5" customHeight="1">
      <c r="A270" s="4" t="s">
        <v>875</v>
      </c>
      <c r="B270" s="4" t="s">
        <v>876</v>
      </c>
      <c r="C270" s="6">
        <v>1</v>
      </c>
      <c r="D270" s="4" t="s">
        <v>205</v>
      </c>
      <c r="E270" s="13">
        <f>'Standardized Values'!E270/E$2</f>
        <v>6.5000000000000002E-2</v>
      </c>
      <c r="F270" s="13">
        <f>'Standardized Values'!F270/F$2</f>
        <v>6.1818181818181821E-2</v>
      </c>
      <c r="G270" s="13">
        <f>'Standardized Values'!G270/G$2</f>
        <v>7.8431372549019607E-2</v>
      </c>
      <c r="H270" s="13">
        <f>'Standardized Values'!H270/H$2</f>
        <v>8.2644628099173556E-2</v>
      </c>
      <c r="I270" s="13">
        <f>'Standardized Values'!I270/I$2</f>
        <v>9.8360655737704916E-2</v>
      </c>
      <c r="J270" s="13">
        <f>'Standardized Values'!J270/J$2</f>
        <v>3.4782608695652174E-2</v>
      </c>
      <c r="K270" s="13">
        <f>'Standardized Values'!K270/K$2</f>
        <v>0.10909090909090909</v>
      </c>
      <c r="L270" s="13">
        <f>'Standardized Values'!L270/L$2</f>
        <v>0</v>
      </c>
      <c r="M270" s="4" t="s">
        <v>877</v>
      </c>
      <c r="N270" s="2" t="s">
        <v>1126</v>
      </c>
      <c r="O270" s="2"/>
      <c r="P270" s="2"/>
      <c r="Q270" s="2"/>
      <c r="R270" s="2"/>
      <c r="S270" s="2"/>
      <c r="T270" s="2"/>
      <c r="U270" s="2"/>
      <c r="V270" s="2"/>
      <c r="W270" s="2"/>
      <c r="X270" s="2"/>
      <c r="Y270" s="2"/>
      <c r="Z270" s="2"/>
    </row>
    <row r="271" spans="1:26" ht="19.5" customHeight="1">
      <c r="A271" s="4" t="s">
        <v>878</v>
      </c>
      <c r="B271" s="4" t="s">
        <v>879</v>
      </c>
      <c r="C271" s="6">
        <v>1</v>
      </c>
      <c r="D271" s="4" t="s">
        <v>880</v>
      </c>
      <c r="E271" s="13">
        <f>'Standardized Values'!E271/E$2</f>
        <v>6.5000000000000002E-2</v>
      </c>
      <c r="F271" s="13">
        <f>'Standardized Values'!F271/F$2</f>
        <v>6.545454545454546E-2</v>
      </c>
      <c r="G271" s="13">
        <f>'Standardized Values'!G271/G$2</f>
        <v>7.8431372549019607E-2</v>
      </c>
      <c r="H271" s="13">
        <f>'Standardized Values'!H271/H$2</f>
        <v>8.2644628099173556E-2</v>
      </c>
      <c r="I271" s="13">
        <f>'Standardized Values'!I271/I$2</f>
        <v>6.5573770491803282E-2</v>
      </c>
      <c r="J271" s="13">
        <f>'Standardized Values'!J271/J$2</f>
        <v>7.3913043478260873E-2</v>
      </c>
      <c r="K271" s="13">
        <f>'Standardized Values'!K271/K$2</f>
        <v>0.10909090909090909</v>
      </c>
      <c r="L271" s="13">
        <f>'Standardized Values'!L271/L$2</f>
        <v>0</v>
      </c>
      <c r="M271" s="4" t="s">
        <v>881</v>
      </c>
      <c r="N271" s="2" t="s">
        <v>1126</v>
      </c>
      <c r="O271" s="2"/>
      <c r="P271" s="2"/>
      <c r="Q271" s="2"/>
      <c r="R271" s="2"/>
      <c r="S271" s="2"/>
      <c r="T271" s="2"/>
      <c r="U271" s="2"/>
      <c r="V271" s="2"/>
      <c r="W271" s="2"/>
      <c r="X271" s="2"/>
      <c r="Y271" s="2"/>
      <c r="Z271" s="2"/>
    </row>
    <row r="272" spans="1:26" ht="19.5" customHeight="1">
      <c r="A272" s="4" t="s">
        <v>882</v>
      </c>
      <c r="B272" s="4" t="s">
        <v>883</v>
      </c>
      <c r="C272" s="6">
        <v>1</v>
      </c>
      <c r="D272" s="4" t="s">
        <v>205</v>
      </c>
      <c r="E272" s="13">
        <f>'Standardized Values'!E272/E$2</f>
        <v>0.04</v>
      </c>
      <c r="F272" s="13">
        <f>'Standardized Values'!F272/F$2</f>
        <v>3.6363636363636362E-2</v>
      </c>
      <c r="G272" s="13">
        <f>'Standardized Values'!G272/G$2</f>
        <v>5.8823529411764705E-2</v>
      </c>
      <c r="H272" s="13">
        <f>'Standardized Values'!H272/H$2</f>
        <v>4.9586776859504134E-2</v>
      </c>
      <c r="I272" s="13">
        <f>'Standardized Values'!I272/I$2</f>
        <v>0.13114754098360656</v>
      </c>
      <c r="J272" s="13">
        <f>'Standardized Values'!J272/J$2</f>
        <v>0.18695652173913044</v>
      </c>
      <c r="K272" s="13">
        <f>'Standardized Values'!K272/K$2</f>
        <v>0</v>
      </c>
      <c r="L272" s="13">
        <f>'Standardized Values'!L272/L$2</f>
        <v>0</v>
      </c>
      <c r="M272" s="4" t="s">
        <v>884</v>
      </c>
      <c r="N272" s="2" t="s">
        <v>1126</v>
      </c>
      <c r="O272" s="2"/>
      <c r="P272" s="2"/>
      <c r="Q272" s="2"/>
      <c r="R272" s="2"/>
      <c r="S272" s="2"/>
      <c r="T272" s="2"/>
      <c r="U272" s="2"/>
      <c r="V272" s="2"/>
      <c r="W272" s="2"/>
      <c r="X272" s="2"/>
      <c r="Y272" s="2"/>
      <c r="Z272" s="2"/>
    </row>
    <row r="273" spans="1:26" ht="19.5" customHeight="1">
      <c r="A273" s="4" t="s">
        <v>885</v>
      </c>
      <c r="B273" s="4" t="s">
        <v>886</v>
      </c>
      <c r="C273" s="6">
        <v>1</v>
      </c>
      <c r="D273" s="4" t="s">
        <v>205</v>
      </c>
      <c r="E273" s="13">
        <f>'Standardized Values'!E273/E$2</f>
        <v>0.04</v>
      </c>
      <c r="F273" s="13">
        <f>'Standardized Values'!F273/F$2</f>
        <v>2.5454545454545455E-2</v>
      </c>
      <c r="G273" s="13">
        <f>'Standardized Values'!G273/G$2</f>
        <v>0.13725490196078433</v>
      </c>
      <c r="H273" s="13">
        <f>'Standardized Values'!H273/H$2</f>
        <v>5.7851239669421489E-2</v>
      </c>
      <c r="I273" s="13">
        <f>'Standardized Values'!I273/I$2</f>
        <v>0.13114754098360656</v>
      </c>
      <c r="J273" s="13">
        <f>'Standardized Values'!J273/J$2</f>
        <v>0.20869565217391303</v>
      </c>
      <c r="K273" s="13">
        <f>'Standardized Values'!K273/K$2</f>
        <v>7.2727272727272724E-2</v>
      </c>
      <c r="L273" s="13">
        <f>'Standardized Values'!L273/L$2</f>
        <v>0</v>
      </c>
      <c r="M273" s="4" t="s">
        <v>887</v>
      </c>
      <c r="N273" s="2" t="s">
        <v>1126</v>
      </c>
      <c r="O273" s="2"/>
      <c r="P273" s="2"/>
      <c r="Q273" s="2"/>
      <c r="R273" s="2"/>
      <c r="S273" s="2"/>
      <c r="T273" s="2"/>
      <c r="U273" s="2"/>
      <c r="V273" s="2"/>
      <c r="W273" s="2"/>
      <c r="X273" s="2"/>
      <c r="Y273" s="2"/>
      <c r="Z273" s="2"/>
    </row>
    <row r="274" spans="1:26" ht="19.5" customHeight="1">
      <c r="A274" s="4" t="s">
        <v>888</v>
      </c>
      <c r="B274" s="4" t="s">
        <v>889</v>
      </c>
      <c r="C274" s="6">
        <v>1</v>
      </c>
      <c r="D274" s="4" t="s">
        <v>205</v>
      </c>
      <c r="E274" s="13">
        <f>'Standardized Values'!E274/E$2</f>
        <v>3.5000000000000003E-2</v>
      </c>
      <c r="F274" s="13">
        <f>'Standardized Values'!F274/F$2</f>
        <v>1.4545454545454545E-2</v>
      </c>
      <c r="G274" s="13">
        <f>'Standardized Values'!G274/G$2</f>
        <v>0.13725490196078433</v>
      </c>
      <c r="H274" s="13">
        <f>'Standardized Values'!H274/H$2</f>
        <v>5.7851239669421489E-2</v>
      </c>
      <c r="I274" s="13">
        <f>'Standardized Values'!I274/I$2</f>
        <v>3.2786885245901641E-2</v>
      </c>
      <c r="J274" s="13">
        <f>'Standardized Values'!J274/J$2</f>
        <v>0.21739130434782608</v>
      </c>
      <c r="K274" s="13">
        <f>'Standardized Values'!K274/K$2</f>
        <v>7.2727272727272724E-2</v>
      </c>
      <c r="L274" s="13">
        <f>'Standardized Values'!L274/L$2</f>
        <v>0</v>
      </c>
      <c r="M274" s="4" t="s">
        <v>890</v>
      </c>
      <c r="N274" s="2" t="s">
        <v>1126</v>
      </c>
      <c r="O274" s="2"/>
      <c r="P274" s="2"/>
      <c r="Q274" s="2"/>
      <c r="R274" s="2"/>
      <c r="S274" s="2"/>
      <c r="T274" s="2"/>
      <c r="U274" s="2"/>
      <c r="V274" s="2"/>
      <c r="W274" s="2"/>
      <c r="X274" s="2"/>
      <c r="Y274" s="2"/>
      <c r="Z274" s="2"/>
    </row>
    <row r="275" spans="1:26" ht="19.5" customHeight="1">
      <c r="A275" s="4" t="s">
        <v>891</v>
      </c>
      <c r="B275" s="4" t="s">
        <v>892</v>
      </c>
      <c r="C275" s="6">
        <v>1</v>
      </c>
      <c r="D275" s="4" t="s">
        <v>31</v>
      </c>
      <c r="E275" s="13">
        <f>'Standardized Values'!E275/E$2</f>
        <v>5.0000000000000001E-3</v>
      </c>
      <c r="F275" s="13">
        <f>'Standardized Values'!F275/F$2</f>
        <v>3.6363636363636364E-3</v>
      </c>
      <c r="G275" s="13">
        <f>'Standardized Values'!G275/G$2</f>
        <v>0</v>
      </c>
      <c r="H275" s="13">
        <f>'Standardized Values'!H275/H$2</f>
        <v>0</v>
      </c>
      <c r="I275" s="13">
        <f>'Standardized Values'!I275/I$2</f>
        <v>3.2786885245901641E-2</v>
      </c>
      <c r="J275" s="13">
        <f>'Standardized Values'!J275/J$2</f>
        <v>8.6956521739130432E-2</v>
      </c>
      <c r="K275" s="13">
        <f>'Standardized Values'!K275/K$2</f>
        <v>0</v>
      </c>
      <c r="L275" s="13">
        <f>'Standardized Values'!L275/L$2</f>
        <v>0</v>
      </c>
      <c r="M275" s="4" t="s">
        <v>893</v>
      </c>
      <c r="N275" s="2" t="s">
        <v>1125</v>
      </c>
      <c r="O275" s="2"/>
      <c r="P275" s="2"/>
      <c r="Q275" s="2"/>
      <c r="R275" s="2"/>
      <c r="S275" s="2"/>
      <c r="T275" s="2"/>
      <c r="U275" s="2"/>
      <c r="V275" s="2"/>
      <c r="W275" s="2"/>
      <c r="X275" s="2"/>
      <c r="Y275" s="2"/>
      <c r="Z275" s="2"/>
    </row>
    <row r="276" spans="1:26" ht="19.5" customHeight="1">
      <c r="A276" s="4" t="s">
        <v>894</v>
      </c>
      <c r="B276" s="4" t="s">
        <v>895</v>
      </c>
      <c r="C276" s="6">
        <v>1</v>
      </c>
      <c r="D276" s="4" t="s">
        <v>896</v>
      </c>
      <c r="E276" s="13">
        <f>'Standardized Values'!E276/E$2</f>
        <v>0.03</v>
      </c>
      <c r="F276" s="13">
        <f>'Standardized Values'!F276/F$2</f>
        <v>5.4545454545454543E-2</v>
      </c>
      <c r="G276" s="13">
        <f>'Standardized Values'!G276/G$2</f>
        <v>0</v>
      </c>
      <c r="H276" s="13">
        <f>'Standardized Values'!H276/H$2</f>
        <v>0</v>
      </c>
      <c r="I276" s="13">
        <f>'Standardized Values'!I276/I$2</f>
        <v>0.45901639344262296</v>
      </c>
      <c r="J276" s="13">
        <f>'Standardized Values'!J276/J$2</f>
        <v>0</v>
      </c>
      <c r="K276" s="13">
        <f>'Standardized Values'!K276/K$2</f>
        <v>3.6363636363636362E-2</v>
      </c>
      <c r="L276" s="13">
        <f>'Standardized Values'!L276/L$2</f>
        <v>0</v>
      </c>
      <c r="M276" s="4" t="s">
        <v>897</v>
      </c>
      <c r="N276" s="2" t="s">
        <v>1126</v>
      </c>
      <c r="O276" s="2"/>
      <c r="P276" s="2"/>
      <c r="Q276" s="2"/>
      <c r="R276" s="2"/>
      <c r="S276" s="2"/>
      <c r="T276" s="2"/>
      <c r="U276" s="2"/>
      <c r="V276" s="2"/>
      <c r="W276" s="2"/>
      <c r="X276" s="2"/>
      <c r="Y276" s="2"/>
      <c r="Z276" s="2"/>
    </row>
    <row r="277" spans="1:26" ht="19.5" customHeight="1">
      <c r="A277" s="4" t="s">
        <v>898</v>
      </c>
      <c r="B277" s="4" t="s">
        <v>899</v>
      </c>
      <c r="C277" s="6">
        <v>1</v>
      </c>
      <c r="D277" s="4" t="s">
        <v>599</v>
      </c>
      <c r="E277" s="13">
        <f>'Standardized Values'!E277/E$2</f>
        <v>0.09</v>
      </c>
      <c r="F277" s="13">
        <f>'Standardized Values'!F277/F$2</f>
        <v>0.10545454545454545</v>
      </c>
      <c r="G277" s="13">
        <f>'Standardized Values'!G277/G$2</f>
        <v>0.31372549019607843</v>
      </c>
      <c r="H277" s="13">
        <f>'Standardized Values'!H277/H$2</f>
        <v>0.1487603305785124</v>
      </c>
      <c r="I277" s="13">
        <f>'Standardized Values'!I277/I$2</f>
        <v>0.39344262295081966</v>
      </c>
      <c r="J277" s="13">
        <f>'Standardized Values'!J277/J$2</f>
        <v>0.1</v>
      </c>
      <c r="K277" s="13">
        <f>'Standardized Values'!K277/K$2</f>
        <v>0.36363636363636365</v>
      </c>
      <c r="L277" s="13">
        <f>'Standardized Values'!L277/L$2</f>
        <v>3.3333333333333333E-2</v>
      </c>
      <c r="M277" s="4" t="s">
        <v>900</v>
      </c>
      <c r="N277" s="2" t="s">
        <v>1126</v>
      </c>
      <c r="O277" s="2"/>
      <c r="P277" s="2"/>
      <c r="Q277" s="2"/>
      <c r="R277" s="2"/>
      <c r="S277" s="2"/>
      <c r="T277" s="2"/>
      <c r="U277" s="2"/>
      <c r="V277" s="2"/>
      <c r="W277" s="2"/>
      <c r="X277" s="2"/>
      <c r="Y277" s="2"/>
      <c r="Z277" s="2"/>
    </row>
    <row r="278" spans="1:26" ht="19.5" customHeight="1">
      <c r="A278" s="4" t="s">
        <v>901</v>
      </c>
      <c r="B278" s="4" t="s">
        <v>902</v>
      </c>
      <c r="C278" s="6">
        <v>1</v>
      </c>
      <c r="D278" s="4" t="s">
        <v>778</v>
      </c>
      <c r="E278" s="13">
        <f>'Standardized Values'!E278/E$2</f>
        <v>0.08</v>
      </c>
      <c r="F278" s="13">
        <f>'Standardized Values'!F278/F$2</f>
        <v>6.9090909090909092E-2</v>
      </c>
      <c r="G278" s="13">
        <f>'Standardized Values'!G278/G$2</f>
        <v>0.21568627450980393</v>
      </c>
      <c r="H278" s="13">
        <f>'Standardized Values'!H278/H$2</f>
        <v>7.43801652892562E-2</v>
      </c>
      <c r="I278" s="13">
        <f>'Standardized Values'!I278/I$2</f>
        <v>0.55737704918032782</v>
      </c>
      <c r="J278" s="13">
        <f>'Standardized Values'!J278/J$2</f>
        <v>2.6086956521739129E-2</v>
      </c>
      <c r="K278" s="13">
        <f>'Standardized Values'!K278/K$2</f>
        <v>3.6363636363636362E-2</v>
      </c>
      <c r="L278" s="13">
        <f>'Standardized Values'!L278/L$2</f>
        <v>6.6666666666666666E-2</v>
      </c>
      <c r="M278" s="4" t="s">
        <v>903</v>
      </c>
      <c r="N278" s="2" t="s">
        <v>1126</v>
      </c>
      <c r="O278" s="2"/>
      <c r="P278" s="2"/>
      <c r="Q278" s="2"/>
      <c r="R278" s="2"/>
      <c r="S278" s="2"/>
      <c r="T278" s="2"/>
      <c r="U278" s="2"/>
      <c r="V278" s="2"/>
      <c r="W278" s="2"/>
      <c r="X278" s="2"/>
      <c r="Y278" s="2"/>
      <c r="Z278" s="2"/>
    </row>
    <row r="279" spans="1:26" ht="19.5" customHeight="1">
      <c r="A279" s="4" t="s">
        <v>904</v>
      </c>
      <c r="B279" s="4" t="s">
        <v>905</v>
      </c>
      <c r="C279" s="6">
        <v>1</v>
      </c>
      <c r="D279" s="4" t="s">
        <v>599</v>
      </c>
      <c r="E279" s="13">
        <f>'Standardized Values'!E279/E$2</f>
        <v>0.1</v>
      </c>
      <c r="F279" s="13">
        <f>'Standardized Values'!F279/F$2</f>
        <v>0.08</v>
      </c>
      <c r="G279" s="13">
        <f>'Standardized Values'!G279/G$2</f>
        <v>0.39215686274509803</v>
      </c>
      <c r="H279" s="13">
        <f>'Standardized Values'!H279/H$2</f>
        <v>0.13223140495867769</v>
      </c>
      <c r="I279" s="13">
        <f>'Standardized Values'!I279/I$2</f>
        <v>3.2786885245901641E-2</v>
      </c>
      <c r="J279" s="13">
        <f>'Standardized Values'!J279/J$2</f>
        <v>9.1304347826086957E-2</v>
      </c>
      <c r="K279" s="13">
        <f>'Standardized Values'!K279/K$2</f>
        <v>0.58181818181818179</v>
      </c>
      <c r="L279" s="13">
        <f>'Standardized Values'!L279/L$2</f>
        <v>1.6666666666666666E-2</v>
      </c>
      <c r="M279" s="4" t="s">
        <v>906</v>
      </c>
      <c r="N279" s="2" t="s">
        <v>1126</v>
      </c>
      <c r="O279" s="2"/>
      <c r="P279" s="2"/>
      <c r="Q279" s="2"/>
      <c r="R279" s="2"/>
      <c r="S279" s="2"/>
      <c r="T279" s="2"/>
      <c r="U279" s="2"/>
      <c r="V279" s="2"/>
      <c r="W279" s="2"/>
      <c r="X279" s="2"/>
      <c r="Y279" s="2"/>
      <c r="Z279" s="2"/>
    </row>
    <row r="280" spans="1:26" ht="19.5" customHeight="1">
      <c r="A280" s="4" t="s">
        <v>907</v>
      </c>
      <c r="B280" s="4" t="s">
        <v>908</v>
      </c>
      <c r="C280" s="7" t="s">
        <v>176</v>
      </c>
      <c r="D280" s="4" t="s">
        <v>909</v>
      </c>
      <c r="E280" s="13">
        <f>'Standardized Values'!E280/E$2</f>
        <v>0.1</v>
      </c>
      <c r="F280" s="13">
        <f>'Standardized Values'!F280/F$2</f>
        <v>6.9090909090909092E-2</v>
      </c>
      <c r="G280" s="13">
        <f>'Standardized Values'!G280/G$2</f>
        <v>0.31372549019607843</v>
      </c>
      <c r="H280" s="13">
        <f>'Standardized Values'!H280/H$2</f>
        <v>9.9173553719008267E-2</v>
      </c>
      <c r="I280" s="13">
        <f>'Standardized Values'!I280/I$2</f>
        <v>6.5573770491803282E-2</v>
      </c>
      <c r="J280" s="13">
        <f>'Standardized Values'!J280/J$2</f>
        <v>0.21304347826086956</v>
      </c>
      <c r="K280" s="13">
        <f>'Standardized Values'!K280/K$2</f>
        <v>7.2727272727272724E-2</v>
      </c>
      <c r="L280" s="13">
        <f>'Standardized Values'!L280/L$2</f>
        <v>0.13333333333333333</v>
      </c>
      <c r="M280" s="4" t="s">
        <v>910</v>
      </c>
      <c r="N280" s="2" t="s">
        <v>1128</v>
      </c>
      <c r="O280" s="2"/>
      <c r="P280" s="2"/>
      <c r="Q280" s="2"/>
      <c r="R280" s="2"/>
      <c r="S280" s="2"/>
      <c r="T280" s="2"/>
      <c r="U280" s="2"/>
      <c r="V280" s="2"/>
      <c r="W280" s="2"/>
      <c r="X280" s="2"/>
      <c r="Y280" s="2"/>
      <c r="Z280" s="2"/>
    </row>
    <row r="281" spans="1:26" ht="19.5" customHeight="1">
      <c r="A281" s="4" t="s">
        <v>911</v>
      </c>
      <c r="B281" s="4" t="s">
        <v>912</v>
      </c>
      <c r="C281" s="6">
        <v>1</v>
      </c>
      <c r="D281" s="4" t="s">
        <v>909</v>
      </c>
      <c r="E281" s="13">
        <f>'Standardized Values'!E281/E$2</f>
        <v>0.105</v>
      </c>
      <c r="F281" s="13">
        <f>'Standardized Values'!F281/F$2</f>
        <v>6.1818181818181821E-2</v>
      </c>
      <c r="G281" s="13">
        <f>'Standardized Values'!G281/G$2</f>
        <v>0.27450980392156865</v>
      </c>
      <c r="H281" s="13">
        <f>'Standardized Values'!H281/H$2</f>
        <v>0.16528925619834711</v>
      </c>
      <c r="I281" s="13">
        <f>'Standardized Values'!I281/I$2</f>
        <v>0</v>
      </c>
      <c r="J281" s="13">
        <f>'Standardized Values'!J281/J$2</f>
        <v>0.22173913043478261</v>
      </c>
      <c r="K281" s="13">
        <f>'Standardized Values'!K281/K$2</f>
        <v>7.2727272727272724E-2</v>
      </c>
      <c r="L281" s="13">
        <f>'Standardized Values'!L281/L$2</f>
        <v>0.3</v>
      </c>
      <c r="M281" s="4" t="s">
        <v>913</v>
      </c>
      <c r="N281" s="2" t="s">
        <v>1128</v>
      </c>
      <c r="O281" s="2"/>
      <c r="P281" s="2"/>
      <c r="Q281" s="2"/>
      <c r="R281" s="2"/>
      <c r="S281" s="2"/>
      <c r="T281" s="2"/>
      <c r="U281" s="2"/>
      <c r="V281" s="2"/>
      <c r="W281" s="2"/>
      <c r="X281" s="2"/>
      <c r="Y281" s="2"/>
      <c r="Z281" s="2"/>
    </row>
    <row r="282" spans="1:26" ht="19.5" customHeight="1">
      <c r="A282" s="4" t="s">
        <v>914</v>
      </c>
      <c r="B282" s="4" t="s">
        <v>915</v>
      </c>
      <c r="C282" s="6">
        <v>1</v>
      </c>
      <c r="D282" s="4" t="s">
        <v>200</v>
      </c>
      <c r="E282" s="13">
        <f>'Standardized Values'!E282/E$2</f>
        <v>0.03</v>
      </c>
      <c r="F282" s="13">
        <f>'Standardized Values'!F282/F$2</f>
        <v>0.04</v>
      </c>
      <c r="G282" s="13">
        <f>'Standardized Values'!G282/G$2</f>
        <v>3.9215686274509803E-2</v>
      </c>
      <c r="H282" s="13">
        <f>'Standardized Values'!H282/H$2</f>
        <v>3.3057851239669422E-2</v>
      </c>
      <c r="I282" s="13">
        <f>'Standardized Values'!I282/I$2</f>
        <v>0.16393442622950818</v>
      </c>
      <c r="J282" s="13">
        <f>'Standardized Values'!J282/J$2</f>
        <v>1.9565217391304349E-2</v>
      </c>
      <c r="K282" s="13">
        <f>'Standardized Values'!K282/K$2</f>
        <v>3.6363636363636362E-2</v>
      </c>
      <c r="L282" s="13">
        <f>'Standardized Values'!L282/L$2</f>
        <v>0.05</v>
      </c>
      <c r="M282" s="4" t="s">
        <v>916</v>
      </c>
      <c r="N282" s="2" t="s">
        <v>1128</v>
      </c>
      <c r="O282" s="2"/>
      <c r="P282" s="2"/>
      <c r="Q282" s="2"/>
      <c r="R282" s="2"/>
      <c r="S282" s="2"/>
      <c r="T282" s="2"/>
      <c r="U282" s="2"/>
      <c r="V282" s="2"/>
      <c r="W282" s="2"/>
      <c r="X282" s="2"/>
      <c r="Y282" s="2"/>
      <c r="Z282" s="2"/>
    </row>
    <row r="283" spans="1:26" ht="19.5" customHeight="1">
      <c r="A283" s="4" t="s">
        <v>917</v>
      </c>
      <c r="B283" s="4" t="s">
        <v>918</v>
      </c>
      <c r="C283" s="6">
        <v>1</v>
      </c>
      <c r="D283" s="4" t="s">
        <v>624</v>
      </c>
      <c r="E283" s="13">
        <f>'Standardized Values'!E283/E$2</f>
        <v>0.04</v>
      </c>
      <c r="F283" s="13">
        <f>'Standardized Values'!F283/F$2</f>
        <v>2.9090909090909091E-2</v>
      </c>
      <c r="G283" s="13">
        <f>'Standardized Values'!G283/G$2</f>
        <v>3.9215686274509803E-2</v>
      </c>
      <c r="H283" s="13">
        <f>'Standardized Values'!H283/H$2</f>
        <v>6.6115702479338845E-2</v>
      </c>
      <c r="I283" s="13">
        <f>'Standardized Values'!I283/I$2</f>
        <v>6.5573770491803282E-2</v>
      </c>
      <c r="J283" s="13">
        <f>'Standardized Values'!J283/J$2</f>
        <v>3.4782608695652174E-2</v>
      </c>
      <c r="K283" s="13">
        <f>'Standardized Values'!K283/K$2</f>
        <v>3.6363636363636362E-2</v>
      </c>
      <c r="L283" s="13">
        <f>'Standardized Values'!L283/L$2</f>
        <v>8.3333333333333329E-2</v>
      </c>
      <c r="M283" s="4" t="s">
        <v>919</v>
      </c>
      <c r="N283" s="2" t="s">
        <v>1128</v>
      </c>
      <c r="O283" s="2"/>
      <c r="P283" s="2"/>
      <c r="Q283" s="2"/>
      <c r="R283" s="2"/>
      <c r="S283" s="2"/>
      <c r="T283" s="2"/>
      <c r="U283" s="2"/>
      <c r="V283" s="2"/>
      <c r="W283" s="2"/>
      <c r="X283" s="2"/>
      <c r="Y283" s="2"/>
      <c r="Z283" s="2"/>
    </row>
    <row r="284" spans="1:26" ht="19.5" customHeight="1">
      <c r="A284" s="4" t="s">
        <v>920</v>
      </c>
      <c r="B284" s="4" t="s">
        <v>921</v>
      </c>
      <c r="C284" s="6">
        <v>1</v>
      </c>
      <c r="D284" s="4" t="s">
        <v>922</v>
      </c>
      <c r="E284" s="13">
        <f>'Standardized Values'!E284/E$2</f>
        <v>0.04</v>
      </c>
      <c r="F284" s="13">
        <f>'Standardized Values'!F284/F$2</f>
        <v>2.181818181818182E-2</v>
      </c>
      <c r="G284" s="13">
        <f>'Standardized Values'!G284/G$2</f>
        <v>9.8039215686274508E-2</v>
      </c>
      <c r="H284" s="13">
        <f>'Standardized Values'!H284/H$2</f>
        <v>7.43801652892562E-2</v>
      </c>
      <c r="I284" s="13">
        <f>'Standardized Values'!I284/I$2</f>
        <v>3.2786885245901641E-2</v>
      </c>
      <c r="J284" s="13">
        <f>'Standardized Values'!J284/J$2</f>
        <v>7.3913043478260873E-2</v>
      </c>
      <c r="K284" s="13">
        <f>'Standardized Values'!K284/K$2</f>
        <v>3.6363636363636362E-2</v>
      </c>
      <c r="L284" s="13">
        <f>'Standardized Values'!L284/L$2</f>
        <v>0.23333333333333334</v>
      </c>
      <c r="M284" s="4" t="s">
        <v>923</v>
      </c>
      <c r="N284" s="2" t="s">
        <v>1128</v>
      </c>
      <c r="O284" s="2"/>
      <c r="P284" s="2"/>
      <c r="Q284" s="2"/>
      <c r="R284" s="2"/>
      <c r="S284" s="2"/>
      <c r="T284" s="2"/>
      <c r="U284" s="2"/>
      <c r="V284" s="2"/>
      <c r="W284" s="2"/>
      <c r="X284" s="2"/>
      <c r="Y284" s="2"/>
      <c r="Z284" s="2"/>
    </row>
    <row r="285" spans="1:26" ht="19.5" customHeight="1">
      <c r="A285" s="4" t="s">
        <v>924</v>
      </c>
      <c r="B285" s="4" t="s">
        <v>925</v>
      </c>
      <c r="C285" s="6">
        <v>1</v>
      </c>
      <c r="D285" s="4" t="s">
        <v>909</v>
      </c>
      <c r="E285" s="13">
        <f>'Standardized Values'!E285/E$2</f>
        <v>0.12</v>
      </c>
      <c r="F285" s="13">
        <f>'Standardized Values'!F285/F$2</f>
        <v>7.2727272727272724E-2</v>
      </c>
      <c r="G285" s="13">
        <f>'Standardized Values'!G285/G$2</f>
        <v>0.27450980392156865</v>
      </c>
      <c r="H285" s="13">
        <f>'Standardized Values'!H285/H$2</f>
        <v>0.19834710743801653</v>
      </c>
      <c r="I285" s="13">
        <f>'Standardized Values'!I285/I$2</f>
        <v>9.8360655737704916E-2</v>
      </c>
      <c r="J285" s="13">
        <f>'Standardized Values'!J285/J$2</f>
        <v>0.30434782608695654</v>
      </c>
      <c r="K285" s="13">
        <f>'Standardized Values'!K285/K$2</f>
        <v>0.10909090909090909</v>
      </c>
      <c r="L285" s="13">
        <f>'Standardized Values'!L285/L$2</f>
        <v>0.53333333333333333</v>
      </c>
      <c r="M285" s="4" t="s">
        <v>926</v>
      </c>
      <c r="N285" s="2" t="s">
        <v>1128</v>
      </c>
      <c r="O285" s="2"/>
      <c r="P285" s="2"/>
      <c r="Q285" s="2"/>
      <c r="R285" s="2"/>
      <c r="S285" s="2"/>
      <c r="T285" s="2"/>
      <c r="U285" s="2"/>
      <c r="V285" s="2"/>
      <c r="W285" s="2"/>
      <c r="X285" s="2"/>
      <c r="Y285" s="2"/>
      <c r="Z285" s="2"/>
    </row>
    <row r="286" spans="1:26" ht="19.5" customHeight="1">
      <c r="A286" s="4" t="s">
        <v>927</v>
      </c>
      <c r="B286" s="4" t="s">
        <v>928</v>
      </c>
      <c r="C286" s="6">
        <v>1</v>
      </c>
      <c r="D286" s="4" t="s">
        <v>929</v>
      </c>
      <c r="E286" s="13">
        <f>'Standardized Values'!E286/E$2</f>
        <v>0.04</v>
      </c>
      <c r="F286" s="13">
        <f>'Standardized Values'!F286/F$2</f>
        <v>6.9090909090909092E-2</v>
      </c>
      <c r="G286" s="13">
        <f>'Standardized Values'!G286/G$2</f>
        <v>5.8823529411764705E-2</v>
      </c>
      <c r="H286" s="13">
        <f>'Standardized Values'!H286/H$2</f>
        <v>8.2644628099173556E-3</v>
      </c>
      <c r="I286" s="13">
        <f>'Standardized Values'!I286/I$2</f>
        <v>0.19672131147540983</v>
      </c>
      <c r="J286" s="13">
        <f>'Standardized Values'!J286/J$2</f>
        <v>2.6086956521739129E-2</v>
      </c>
      <c r="K286" s="13">
        <f>'Standardized Values'!K286/K$2</f>
        <v>7.2727272727272724E-2</v>
      </c>
      <c r="L286" s="13">
        <f>'Standardized Values'!L286/L$2</f>
        <v>0</v>
      </c>
      <c r="M286" s="4" t="s">
        <v>931</v>
      </c>
      <c r="N286" s="2" t="s">
        <v>1126</v>
      </c>
      <c r="O286" s="2"/>
      <c r="P286" s="2"/>
      <c r="Q286" s="2"/>
      <c r="R286" s="2"/>
      <c r="S286" s="2"/>
      <c r="T286" s="2"/>
      <c r="U286" s="2"/>
      <c r="V286" s="2"/>
      <c r="W286" s="2"/>
      <c r="X286" s="2"/>
      <c r="Y286" s="2"/>
      <c r="Z286" s="2"/>
    </row>
    <row r="287" spans="1:26" ht="19.5" customHeight="1">
      <c r="A287" s="4" t="s">
        <v>932</v>
      </c>
      <c r="B287" s="4" t="s">
        <v>933</v>
      </c>
      <c r="C287" s="6">
        <v>1</v>
      </c>
      <c r="D287" s="4" t="s">
        <v>778</v>
      </c>
      <c r="E287" s="13">
        <f>'Standardized Values'!E287/E$2</f>
        <v>5.5E-2</v>
      </c>
      <c r="F287" s="13">
        <f>'Standardized Values'!F287/F$2</f>
        <v>4.363636363636364E-2</v>
      </c>
      <c r="G287" s="13">
        <f>'Standardized Values'!G287/G$2</f>
        <v>0.29411764705882354</v>
      </c>
      <c r="H287" s="13">
        <f>'Standardized Values'!H287/H$2</f>
        <v>0</v>
      </c>
      <c r="I287" s="13">
        <f>'Standardized Values'!I287/I$2</f>
        <v>0.29508196721311475</v>
      </c>
      <c r="J287" s="13">
        <f>'Standardized Values'!J287/J$2</f>
        <v>2.391304347826087E-2</v>
      </c>
      <c r="K287" s="13">
        <f>'Standardized Values'!K287/K$2</f>
        <v>0</v>
      </c>
      <c r="L287" s="13">
        <f>'Standardized Values'!L287/L$2</f>
        <v>3.3333333333333333E-2</v>
      </c>
      <c r="M287" s="4" t="s">
        <v>934</v>
      </c>
      <c r="N287" s="2" t="s">
        <v>1126</v>
      </c>
      <c r="O287" s="2"/>
      <c r="P287" s="2"/>
      <c r="Q287" s="2"/>
      <c r="R287" s="2"/>
      <c r="S287" s="2"/>
      <c r="T287" s="2"/>
      <c r="U287" s="2"/>
      <c r="V287" s="2"/>
      <c r="W287" s="2"/>
      <c r="X287" s="2"/>
      <c r="Y287" s="2"/>
      <c r="Z287" s="2"/>
    </row>
    <row r="288" spans="1:26" ht="19.5" customHeight="1">
      <c r="A288" s="4" t="s">
        <v>935</v>
      </c>
      <c r="B288" s="4" t="s">
        <v>936</v>
      </c>
      <c r="C288" s="6">
        <v>1</v>
      </c>
      <c r="D288" s="4" t="s">
        <v>617</v>
      </c>
      <c r="E288" s="13">
        <f>'Standardized Values'!E288/E$2</f>
        <v>3.5000000000000003E-2</v>
      </c>
      <c r="F288" s="13">
        <f>'Standardized Values'!F288/F$2</f>
        <v>3.6363636363636362E-2</v>
      </c>
      <c r="G288" s="13">
        <f>'Standardized Values'!G288/G$2</f>
        <v>3.9215686274509803E-2</v>
      </c>
      <c r="H288" s="13">
        <f>'Standardized Values'!H288/H$2</f>
        <v>3.3057851239669422E-2</v>
      </c>
      <c r="I288" s="13">
        <f>'Standardized Values'!I288/I$2</f>
        <v>0.22950819672131148</v>
      </c>
      <c r="J288" s="13">
        <f>'Standardized Values'!J288/J$2</f>
        <v>3.4782608695652175E-3</v>
      </c>
      <c r="K288" s="13">
        <f>'Standardized Values'!K288/K$2</f>
        <v>0.14545454545454545</v>
      </c>
      <c r="L288" s="13">
        <f>'Standardized Values'!L288/L$2</f>
        <v>0</v>
      </c>
      <c r="M288" s="4" t="s">
        <v>937</v>
      </c>
      <c r="N288" s="2" t="s">
        <v>1126</v>
      </c>
      <c r="O288" s="2"/>
      <c r="P288" s="2"/>
      <c r="Q288" s="2"/>
      <c r="R288" s="2"/>
      <c r="S288" s="2"/>
      <c r="T288" s="2"/>
      <c r="U288" s="2"/>
      <c r="V288" s="2"/>
      <c r="W288" s="2"/>
      <c r="X288" s="2"/>
      <c r="Y288" s="2"/>
      <c r="Z288" s="2"/>
    </row>
    <row r="289" spans="1:26" ht="19.5" customHeight="1">
      <c r="A289" s="4" t="s">
        <v>938</v>
      </c>
      <c r="B289" s="4" t="s">
        <v>939</v>
      </c>
      <c r="C289" s="6">
        <v>1</v>
      </c>
      <c r="D289" s="4" t="s">
        <v>617</v>
      </c>
      <c r="E289" s="13">
        <f>'Standardized Values'!E289/E$2</f>
        <v>3.5000000000000003E-2</v>
      </c>
      <c r="F289" s="13">
        <f>'Standardized Values'!F289/F$2</f>
        <v>3.6363636363636362E-2</v>
      </c>
      <c r="G289" s="13">
        <f>'Standardized Values'!G289/G$2</f>
        <v>3.9215686274509803E-2</v>
      </c>
      <c r="H289" s="13">
        <f>'Standardized Values'!H289/H$2</f>
        <v>3.3057851239669422E-2</v>
      </c>
      <c r="I289" s="13">
        <f>'Standardized Values'!I289/I$2</f>
        <v>0.22950819672131148</v>
      </c>
      <c r="J289" s="13">
        <f>'Standardized Values'!J289/J$2</f>
        <v>3.4782608695652175E-3</v>
      </c>
      <c r="K289" s="13">
        <f>'Standardized Values'!K289/K$2</f>
        <v>0.14545454545454545</v>
      </c>
      <c r="L289" s="13">
        <f>'Standardized Values'!L289/L$2</f>
        <v>0</v>
      </c>
      <c r="M289" s="4" t="s">
        <v>940</v>
      </c>
      <c r="N289" s="2" t="s">
        <v>1126</v>
      </c>
      <c r="O289" s="2"/>
      <c r="P289" s="2"/>
      <c r="Q289" s="2"/>
      <c r="R289" s="2"/>
      <c r="S289" s="2"/>
      <c r="T289" s="2"/>
      <c r="U289" s="2"/>
      <c r="V289" s="2"/>
      <c r="W289" s="2"/>
      <c r="X289" s="2"/>
      <c r="Y289" s="2"/>
      <c r="Z289" s="2"/>
    </row>
    <row r="290" spans="1:26" ht="19.5" customHeight="1">
      <c r="A290" s="4" t="s">
        <v>941</v>
      </c>
      <c r="B290" s="4" t="s">
        <v>942</v>
      </c>
      <c r="C290" s="6">
        <v>1</v>
      </c>
      <c r="D290" s="4" t="s">
        <v>613</v>
      </c>
      <c r="E290" s="13">
        <f>'Standardized Values'!E290/E$2</f>
        <v>9.5000000000000001E-2</v>
      </c>
      <c r="F290" s="13">
        <f>'Standardized Values'!F290/F$2</f>
        <v>7.636363636363637E-2</v>
      </c>
      <c r="G290" s="13">
        <f>'Standardized Values'!G290/G$2</f>
        <v>0.23529411764705882</v>
      </c>
      <c r="H290" s="13">
        <f>'Standardized Values'!H290/H$2</f>
        <v>9.9173553719008267E-2</v>
      </c>
      <c r="I290" s="13">
        <f>'Standardized Values'!I290/I$2</f>
        <v>3.2786885245901641E-2</v>
      </c>
      <c r="J290" s="13">
        <f>'Standardized Values'!J290/J$2</f>
        <v>0.18695652173913044</v>
      </c>
      <c r="K290" s="13">
        <f>'Standardized Values'!K290/K$2</f>
        <v>0.18181818181818182</v>
      </c>
      <c r="L290" s="13">
        <f>'Standardized Values'!L290/L$2</f>
        <v>1.6666666666666666E-2</v>
      </c>
      <c r="M290" s="4" t="s">
        <v>943</v>
      </c>
      <c r="N290" s="2" t="s">
        <v>1128</v>
      </c>
      <c r="O290" s="2"/>
      <c r="P290" s="2"/>
      <c r="Q290" s="2"/>
      <c r="R290" s="2"/>
      <c r="S290" s="2"/>
      <c r="T290" s="2"/>
      <c r="U290" s="2"/>
      <c r="V290" s="2"/>
      <c r="W290" s="2"/>
      <c r="X290" s="2"/>
      <c r="Y290" s="2"/>
      <c r="Z290" s="2"/>
    </row>
    <row r="291" spans="1:26" ht="19.5" customHeight="1">
      <c r="A291" s="4" t="s">
        <v>944</v>
      </c>
      <c r="B291" s="4" t="s">
        <v>945</v>
      </c>
      <c r="C291" s="7" t="s">
        <v>176</v>
      </c>
      <c r="D291" s="4" t="s">
        <v>31</v>
      </c>
      <c r="E291" s="13">
        <f>'Standardized Values'!E291/E$2</f>
        <v>2.5000000000000001E-3</v>
      </c>
      <c r="F291" s="13">
        <f>'Standardized Values'!F291/F$2</f>
        <v>3.6363636363636364E-3</v>
      </c>
      <c r="G291" s="13">
        <f>'Standardized Values'!G291/G$2</f>
        <v>0</v>
      </c>
      <c r="H291" s="13">
        <f>'Standardized Values'!H291/H$2</f>
        <v>0</v>
      </c>
      <c r="I291" s="13">
        <f>'Standardized Values'!I291/I$2</f>
        <v>0</v>
      </c>
      <c r="J291" s="13">
        <f>'Standardized Values'!J291/J$2</f>
        <v>2.1739130434782608E-2</v>
      </c>
      <c r="K291" s="13">
        <f>'Standardized Values'!K291/K$2</f>
        <v>0</v>
      </c>
      <c r="L291" s="13">
        <f>'Standardized Values'!L291/L$2</f>
        <v>0</v>
      </c>
      <c r="M291" s="4" t="s">
        <v>946</v>
      </c>
      <c r="N291" s="2" t="s">
        <v>1125</v>
      </c>
      <c r="O291" s="2"/>
      <c r="P291" s="2"/>
      <c r="Q291" s="2"/>
      <c r="R291" s="2"/>
      <c r="S291" s="2"/>
      <c r="T291" s="2"/>
      <c r="U291" s="2"/>
      <c r="V291" s="2"/>
      <c r="W291" s="2"/>
      <c r="X291" s="2"/>
      <c r="Y291" s="2"/>
      <c r="Z291" s="2"/>
    </row>
    <row r="292" spans="1:26" ht="19.5" customHeight="1">
      <c r="A292" s="4" t="s">
        <v>947</v>
      </c>
      <c r="B292" s="4" t="s">
        <v>948</v>
      </c>
      <c r="C292" s="6">
        <v>1</v>
      </c>
      <c r="D292" s="4" t="s">
        <v>949</v>
      </c>
      <c r="E292" s="13">
        <f>'Standardized Values'!E292/E$2</f>
        <v>0.04</v>
      </c>
      <c r="F292" s="13">
        <f>'Standardized Values'!F292/F$2</f>
        <v>5.0909090909090911E-2</v>
      </c>
      <c r="G292" s="13">
        <f>'Standardized Values'!G292/G$2</f>
        <v>7.8431372549019607E-2</v>
      </c>
      <c r="H292" s="13">
        <f>'Standardized Values'!H292/H$2</f>
        <v>8.2644628099173556E-3</v>
      </c>
      <c r="I292" s="13">
        <f>'Standardized Values'!I292/I$2</f>
        <v>0</v>
      </c>
      <c r="J292" s="13">
        <f>'Standardized Values'!J292/J$2</f>
        <v>7.3913043478260873E-2</v>
      </c>
      <c r="K292" s="13">
        <f>'Standardized Values'!K292/K$2</f>
        <v>0.18181818181818182</v>
      </c>
      <c r="L292" s="13">
        <f>'Standardized Values'!L292/L$2</f>
        <v>0</v>
      </c>
      <c r="M292" s="4" t="s">
        <v>950</v>
      </c>
      <c r="N292" s="2" t="s">
        <v>1126</v>
      </c>
      <c r="O292" s="2"/>
      <c r="P292" s="2"/>
      <c r="Q292" s="2"/>
      <c r="R292" s="2"/>
      <c r="S292" s="2"/>
      <c r="T292" s="2"/>
      <c r="U292" s="2"/>
      <c r="V292" s="2"/>
      <c r="W292" s="2"/>
      <c r="X292" s="2"/>
      <c r="Y292" s="2"/>
      <c r="Z292" s="2"/>
    </row>
    <row r="293" spans="1:26" ht="19.5" customHeight="1">
      <c r="A293" s="4" t="s">
        <v>951</v>
      </c>
      <c r="B293" s="4" t="s">
        <v>952</v>
      </c>
      <c r="C293" s="6">
        <v>1</v>
      </c>
      <c r="D293" s="4" t="s">
        <v>727</v>
      </c>
      <c r="E293" s="13">
        <f>'Standardized Values'!E293/E$2</f>
        <v>0</v>
      </c>
      <c r="F293" s="13">
        <f>'Standardized Values'!F293/F$2</f>
        <v>0</v>
      </c>
      <c r="G293" s="13">
        <f>'Standardized Values'!G293/G$2</f>
        <v>0</v>
      </c>
      <c r="H293" s="13">
        <f>'Standardized Values'!H293/H$2</f>
        <v>0</v>
      </c>
      <c r="I293" s="13">
        <f>'Standardized Values'!I293/I$2</f>
        <v>0</v>
      </c>
      <c r="J293" s="13">
        <f>'Standardized Values'!J293/J$2</f>
        <v>0</v>
      </c>
      <c r="K293" s="13">
        <f>'Standardized Values'!K293/K$2</f>
        <v>0</v>
      </c>
      <c r="L293" s="13">
        <f>'Standardized Values'!L293/L$2</f>
        <v>0</v>
      </c>
      <c r="M293" s="4" t="s">
        <v>953</v>
      </c>
      <c r="N293" s="2" t="s">
        <v>1129</v>
      </c>
      <c r="O293" s="2"/>
      <c r="P293" s="2"/>
      <c r="Q293" s="2"/>
      <c r="R293" s="2"/>
      <c r="S293" s="2"/>
      <c r="T293" s="2"/>
      <c r="U293" s="2"/>
      <c r="V293" s="2"/>
      <c r="W293" s="2"/>
      <c r="X293" s="2"/>
      <c r="Y293" s="2"/>
      <c r="Z293" s="2"/>
    </row>
    <row r="294" spans="1:26" ht="19.5" customHeight="1">
      <c r="A294" s="4" t="s">
        <v>954</v>
      </c>
      <c r="B294" s="4" t="s">
        <v>955</v>
      </c>
      <c r="C294" s="6">
        <v>1</v>
      </c>
      <c r="D294" s="4" t="s">
        <v>956</v>
      </c>
      <c r="E294" s="13">
        <f>'Standardized Values'!E294/E$2</f>
        <v>0.12</v>
      </c>
      <c r="F294" s="13">
        <f>'Standardized Values'!F294/F$2</f>
        <v>7.2727272727272724E-2</v>
      </c>
      <c r="G294" s="13">
        <f>'Standardized Values'!G294/G$2</f>
        <v>0.29411764705882354</v>
      </c>
      <c r="H294" s="13">
        <f>'Standardized Values'!H294/H$2</f>
        <v>0.26446280991735538</v>
      </c>
      <c r="I294" s="13">
        <f>'Standardized Values'!I294/I$2</f>
        <v>3.2786885245901641E-2</v>
      </c>
      <c r="J294" s="13">
        <f>'Standardized Values'!J294/J$2</f>
        <v>8.2608695652173908E-2</v>
      </c>
      <c r="K294" s="13">
        <f>'Standardized Values'!K294/K$2</f>
        <v>0.36363636363636365</v>
      </c>
      <c r="L294" s="13">
        <f>'Standardized Values'!L294/L$2</f>
        <v>0.1</v>
      </c>
      <c r="M294" s="4" t="s">
        <v>957</v>
      </c>
      <c r="N294" s="2" t="s">
        <v>1126</v>
      </c>
      <c r="O294" s="2"/>
      <c r="P294" s="2"/>
      <c r="Q294" s="2"/>
      <c r="R294" s="2"/>
      <c r="S294" s="2"/>
      <c r="T294" s="2"/>
      <c r="U294" s="2"/>
      <c r="V294" s="2"/>
      <c r="W294" s="2"/>
      <c r="X294" s="2"/>
      <c r="Y294" s="2"/>
      <c r="Z294" s="2"/>
    </row>
    <row r="295" spans="1:26" ht="19.5" customHeight="1">
      <c r="A295" s="4" t="s">
        <v>958</v>
      </c>
      <c r="B295" s="4" t="s">
        <v>959</v>
      </c>
      <c r="C295" s="6">
        <v>1</v>
      </c>
      <c r="D295" s="4" t="s">
        <v>960</v>
      </c>
      <c r="E295" s="13">
        <f>'Standardized Values'!E295/E$2</f>
        <v>7.4999999999999997E-3</v>
      </c>
      <c r="F295" s="13">
        <f>'Standardized Values'!F295/F$2</f>
        <v>1.4545454545454545E-2</v>
      </c>
      <c r="G295" s="13">
        <f>'Standardized Values'!G295/G$2</f>
        <v>0</v>
      </c>
      <c r="H295" s="13">
        <f>'Standardized Values'!H295/H$2</f>
        <v>0</v>
      </c>
      <c r="I295" s="13">
        <f>'Standardized Values'!I295/I$2</f>
        <v>0</v>
      </c>
      <c r="J295" s="13">
        <f>'Standardized Values'!J295/J$2</f>
        <v>8.6956521739130436E-3</v>
      </c>
      <c r="K295" s="13">
        <f>'Standardized Values'!K295/K$2</f>
        <v>0</v>
      </c>
      <c r="L295" s="13">
        <f>'Standardized Values'!L295/L$2</f>
        <v>0</v>
      </c>
      <c r="M295" s="4" t="s">
        <v>961</v>
      </c>
      <c r="N295" s="2" t="s">
        <v>1126</v>
      </c>
      <c r="O295" s="2"/>
      <c r="P295" s="2"/>
      <c r="Q295" s="2"/>
      <c r="R295" s="2"/>
      <c r="S295" s="2"/>
      <c r="T295" s="2"/>
      <c r="U295" s="2"/>
      <c r="V295" s="2"/>
      <c r="W295" s="2"/>
      <c r="X295" s="2"/>
      <c r="Y295" s="2"/>
      <c r="Z295" s="2"/>
    </row>
    <row r="296" spans="1:26" ht="19.5" customHeight="1">
      <c r="A296" s="4" t="s">
        <v>962</v>
      </c>
      <c r="B296" s="4" t="s">
        <v>963</v>
      </c>
      <c r="C296" s="6">
        <v>1</v>
      </c>
      <c r="D296" s="4" t="s">
        <v>778</v>
      </c>
      <c r="E296" s="13">
        <f>'Standardized Values'!E296/E$2</f>
        <v>7.4999999999999997E-2</v>
      </c>
      <c r="F296" s="13">
        <f>'Standardized Values'!F296/F$2</f>
        <v>3.6363636363636362E-2</v>
      </c>
      <c r="G296" s="13">
        <f>'Standardized Values'!G296/G$2</f>
        <v>0.33333333333333331</v>
      </c>
      <c r="H296" s="13">
        <f>'Standardized Values'!H296/H$2</f>
        <v>8.2644628099173556E-2</v>
      </c>
      <c r="I296" s="13">
        <f>'Standardized Values'!I296/I$2</f>
        <v>0.29508196721311475</v>
      </c>
      <c r="J296" s="13">
        <f>'Standardized Values'!J296/J$2</f>
        <v>0.15217391304347827</v>
      </c>
      <c r="K296" s="13">
        <f>'Standardized Values'!K296/K$2</f>
        <v>0</v>
      </c>
      <c r="L296" s="13">
        <f>'Standardized Values'!L296/L$2</f>
        <v>8.3333333333333329E-2</v>
      </c>
      <c r="M296" s="4" t="s">
        <v>964</v>
      </c>
      <c r="N296" s="2" t="s">
        <v>1126</v>
      </c>
      <c r="O296" s="2"/>
      <c r="P296" s="2"/>
      <c r="Q296" s="2"/>
      <c r="R296" s="2"/>
      <c r="S296" s="2"/>
      <c r="T296" s="2"/>
      <c r="U296" s="2"/>
      <c r="V296" s="2"/>
      <c r="W296" s="2"/>
      <c r="X296" s="2"/>
      <c r="Y296" s="2"/>
      <c r="Z296" s="2"/>
    </row>
    <row r="297" spans="1:26" ht="19.5" customHeight="1">
      <c r="A297" s="4" t="s">
        <v>965</v>
      </c>
      <c r="B297" s="4" t="s">
        <v>966</v>
      </c>
      <c r="C297" s="6">
        <v>1</v>
      </c>
      <c r="D297" s="4" t="s">
        <v>778</v>
      </c>
      <c r="E297" s="13">
        <f>'Standardized Values'!E297/E$2</f>
        <v>0.06</v>
      </c>
      <c r="F297" s="13">
        <f>'Standardized Values'!F297/F$2</f>
        <v>0.04</v>
      </c>
      <c r="G297" s="13">
        <f>'Standardized Values'!G297/G$2</f>
        <v>0.23529411764705882</v>
      </c>
      <c r="H297" s="13">
        <f>'Standardized Values'!H297/H$2</f>
        <v>4.1322314049586778E-2</v>
      </c>
      <c r="I297" s="13">
        <f>'Standardized Values'!I297/I$2</f>
        <v>0.29508196721311475</v>
      </c>
      <c r="J297" s="13">
        <f>'Standardized Values'!J297/J$2</f>
        <v>2.1739130434782608E-2</v>
      </c>
      <c r="K297" s="13">
        <f>'Standardized Values'!K297/K$2</f>
        <v>0</v>
      </c>
      <c r="L297" s="13">
        <f>'Standardized Values'!L297/L$2</f>
        <v>0.05</v>
      </c>
      <c r="M297" s="4" t="s">
        <v>967</v>
      </c>
      <c r="N297" s="2" t="s">
        <v>1126</v>
      </c>
      <c r="O297" s="2"/>
      <c r="P297" s="2"/>
      <c r="Q297" s="2"/>
      <c r="R297" s="2"/>
      <c r="S297" s="2"/>
      <c r="T297" s="2"/>
      <c r="U297" s="2"/>
      <c r="V297" s="2"/>
      <c r="W297" s="2"/>
      <c r="X297" s="2"/>
      <c r="Y297" s="2"/>
      <c r="Z297" s="2"/>
    </row>
    <row r="298" spans="1:26" ht="19.5" customHeight="1">
      <c r="A298" s="4" t="s">
        <v>968</v>
      </c>
      <c r="B298" s="4" t="s">
        <v>969</v>
      </c>
      <c r="C298" s="7" t="s">
        <v>176</v>
      </c>
      <c r="D298" s="4" t="s">
        <v>727</v>
      </c>
      <c r="E298" s="13">
        <f>'Standardized Values'!E298/E$2</f>
        <v>0.05</v>
      </c>
      <c r="F298" s="13">
        <f>'Standardized Values'!F298/F$2</f>
        <v>9.8181818181818176E-2</v>
      </c>
      <c r="G298" s="13">
        <f>'Standardized Values'!G298/G$2</f>
        <v>0</v>
      </c>
      <c r="H298" s="13">
        <f>'Standardized Values'!H298/H$2</f>
        <v>0</v>
      </c>
      <c r="I298" s="13">
        <f>'Standardized Values'!I298/I$2</f>
        <v>0.88524590163934425</v>
      </c>
      <c r="J298" s="13">
        <f>'Standardized Values'!J298/J$2</f>
        <v>0</v>
      </c>
      <c r="K298" s="13">
        <f>'Standardized Values'!K298/K$2</f>
        <v>0</v>
      </c>
      <c r="L298" s="13">
        <f>'Standardized Values'!L298/L$2</f>
        <v>0</v>
      </c>
      <c r="M298" s="4" t="s">
        <v>971</v>
      </c>
      <c r="N298" s="2" t="s">
        <v>1129</v>
      </c>
      <c r="O298" s="2"/>
      <c r="P298" s="2"/>
      <c r="Q298" s="2"/>
      <c r="R298" s="2"/>
      <c r="S298" s="2"/>
      <c r="T298" s="2"/>
      <c r="U298" s="2"/>
      <c r="V298" s="2"/>
      <c r="W298" s="2"/>
      <c r="X298" s="2"/>
      <c r="Y298" s="2"/>
      <c r="Z298" s="2"/>
    </row>
    <row r="299" spans="1:26" ht="19.5" customHeight="1">
      <c r="A299" s="4" t="s">
        <v>972</v>
      </c>
      <c r="B299" s="4" t="s">
        <v>973</v>
      </c>
      <c r="C299" s="6">
        <v>1</v>
      </c>
      <c r="D299" s="4" t="s">
        <v>606</v>
      </c>
      <c r="E299" s="13">
        <f>'Standardized Values'!E299/E$2</f>
        <v>0</v>
      </c>
      <c r="F299" s="13">
        <f>'Standardized Values'!F299/F$2</f>
        <v>0</v>
      </c>
      <c r="G299" s="13">
        <f>'Standardized Values'!G299/G$2</f>
        <v>0</v>
      </c>
      <c r="H299" s="13">
        <f>'Standardized Values'!H299/H$2</f>
        <v>0</v>
      </c>
      <c r="I299" s="13">
        <f>'Standardized Values'!I299/I$2</f>
        <v>0</v>
      </c>
      <c r="J299" s="13">
        <f>'Standardized Values'!J299/J$2</f>
        <v>0</v>
      </c>
      <c r="K299" s="13">
        <f>'Standardized Values'!K299/K$2</f>
        <v>0</v>
      </c>
      <c r="L299" s="13">
        <f>'Standardized Values'!L299/L$2</f>
        <v>0</v>
      </c>
      <c r="M299" s="4" t="s">
        <v>974</v>
      </c>
      <c r="N299" s="2" t="s">
        <v>1129</v>
      </c>
      <c r="O299" s="2"/>
      <c r="P299" s="2"/>
      <c r="Q299" s="2"/>
      <c r="R299" s="2"/>
      <c r="S299" s="2"/>
      <c r="T299" s="2"/>
      <c r="U299" s="2"/>
      <c r="V299" s="2"/>
      <c r="W299" s="2"/>
      <c r="X299" s="2"/>
      <c r="Y299" s="2"/>
      <c r="Z299" s="2"/>
    </row>
    <row r="300" spans="1:26" ht="19.5" customHeight="1">
      <c r="A300" s="4" t="s">
        <v>975</v>
      </c>
      <c r="B300" s="4" t="s">
        <v>976</v>
      </c>
      <c r="C300" s="6">
        <v>1</v>
      </c>
      <c r="D300" s="4" t="s">
        <v>606</v>
      </c>
      <c r="E300" s="13">
        <f>'Standardized Values'!E300/E$2</f>
        <v>0</v>
      </c>
      <c r="F300" s="13">
        <f>'Standardized Values'!F300/F$2</f>
        <v>0</v>
      </c>
      <c r="G300" s="13">
        <f>'Standardized Values'!G300/G$2</f>
        <v>0</v>
      </c>
      <c r="H300" s="13">
        <f>'Standardized Values'!H300/H$2</f>
        <v>0</v>
      </c>
      <c r="I300" s="13">
        <f>'Standardized Values'!I300/I$2</f>
        <v>0</v>
      </c>
      <c r="J300" s="13">
        <f>'Standardized Values'!J300/J$2</f>
        <v>1.0869565217391304E-2</v>
      </c>
      <c r="K300" s="13">
        <f>'Standardized Values'!K300/K$2</f>
        <v>0</v>
      </c>
      <c r="L300" s="13">
        <f>'Standardized Values'!L300/L$2</f>
        <v>0</v>
      </c>
      <c r="M300" s="4" t="s">
        <v>977</v>
      </c>
      <c r="N300" s="2" t="s">
        <v>1129</v>
      </c>
      <c r="O300" s="2"/>
      <c r="P300" s="2"/>
      <c r="Q300" s="2"/>
      <c r="R300" s="2"/>
      <c r="S300" s="2"/>
      <c r="T300" s="2"/>
      <c r="U300" s="2"/>
      <c r="V300" s="2"/>
      <c r="W300" s="2"/>
      <c r="X300" s="2"/>
      <c r="Y300" s="2"/>
      <c r="Z300" s="2"/>
    </row>
    <row r="301" spans="1:26" ht="19.5" customHeight="1">
      <c r="A301" s="4" t="s">
        <v>978</v>
      </c>
      <c r="B301" s="4" t="s">
        <v>979</v>
      </c>
      <c r="C301" s="6">
        <v>1</v>
      </c>
      <c r="D301" s="4" t="s">
        <v>606</v>
      </c>
      <c r="E301" s="13">
        <f>'Standardized Values'!E301/E$2</f>
        <v>0</v>
      </c>
      <c r="F301" s="13">
        <f>'Standardized Values'!F301/F$2</f>
        <v>0</v>
      </c>
      <c r="G301" s="13">
        <f>'Standardized Values'!G301/G$2</f>
        <v>0</v>
      </c>
      <c r="H301" s="13">
        <f>'Standardized Values'!H301/H$2</f>
        <v>0</v>
      </c>
      <c r="I301" s="13">
        <f>'Standardized Values'!I301/I$2</f>
        <v>0</v>
      </c>
      <c r="J301" s="13">
        <f>'Standardized Values'!J301/J$2</f>
        <v>4.3478260869565218E-3</v>
      </c>
      <c r="K301" s="13">
        <f>'Standardized Values'!K301/K$2</f>
        <v>0</v>
      </c>
      <c r="L301" s="13">
        <f>'Standardized Values'!L301/L$2</f>
        <v>0</v>
      </c>
      <c r="M301" s="4" t="s">
        <v>980</v>
      </c>
      <c r="N301" s="2" t="s">
        <v>1129</v>
      </c>
      <c r="O301" s="2"/>
      <c r="P301" s="2"/>
      <c r="Q301" s="2"/>
      <c r="R301" s="2"/>
      <c r="S301" s="2"/>
      <c r="T301" s="2"/>
      <c r="U301" s="2"/>
      <c r="V301" s="2"/>
      <c r="W301" s="2"/>
      <c r="X301" s="2"/>
      <c r="Y301" s="2"/>
      <c r="Z301" s="2"/>
    </row>
    <row r="302" spans="1:26" ht="19.5" customHeight="1">
      <c r="A302" s="4" t="s">
        <v>981</v>
      </c>
      <c r="B302" s="4" t="s">
        <v>982</v>
      </c>
      <c r="C302" s="6">
        <v>1</v>
      </c>
      <c r="D302" s="4" t="s">
        <v>606</v>
      </c>
      <c r="E302" s="13">
        <f>'Standardized Values'!E302/E$2</f>
        <v>0</v>
      </c>
      <c r="F302" s="13">
        <f>'Standardized Values'!F302/F$2</f>
        <v>0</v>
      </c>
      <c r="G302" s="13">
        <f>'Standardized Values'!G302/G$2</f>
        <v>0</v>
      </c>
      <c r="H302" s="13">
        <f>'Standardized Values'!H302/H$2</f>
        <v>0</v>
      </c>
      <c r="I302" s="13">
        <f>'Standardized Values'!I302/I$2</f>
        <v>0</v>
      </c>
      <c r="J302" s="13">
        <f>'Standardized Values'!J302/J$2</f>
        <v>0</v>
      </c>
      <c r="K302" s="13">
        <f>'Standardized Values'!K302/K$2</f>
        <v>0</v>
      </c>
      <c r="L302" s="13">
        <f>'Standardized Values'!L302/L$2</f>
        <v>0</v>
      </c>
      <c r="M302" s="4" t="s">
        <v>983</v>
      </c>
      <c r="N302" s="2" t="s">
        <v>1129</v>
      </c>
      <c r="O302" s="2"/>
      <c r="P302" s="2"/>
      <c r="Q302" s="2"/>
      <c r="R302" s="2"/>
      <c r="S302" s="2"/>
      <c r="T302" s="2"/>
      <c r="U302" s="2"/>
      <c r="V302" s="2"/>
      <c r="W302" s="2"/>
      <c r="X302" s="2"/>
      <c r="Y302" s="2"/>
      <c r="Z302" s="2"/>
    </row>
    <row r="303" spans="1:26" ht="19.5" customHeight="1">
      <c r="A303" s="4" t="s">
        <v>984</v>
      </c>
      <c r="B303" s="4" t="s">
        <v>985</v>
      </c>
      <c r="C303" s="6">
        <v>1</v>
      </c>
      <c r="D303" s="4" t="s">
        <v>909</v>
      </c>
      <c r="E303" s="13">
        <f>'Standardized Values'!E303/E$2</f>
        <v>0.14000000000000001</v>
      </c>
      <c r="F303" s="13">
        <f>'Standardized Values'!F303/F$2</f>
        <v>2.9090909090909091E-2</v>
      </c>
      <c r="G303" s="13">
        <f>'Standardized Values'!G303/G$2</f>
        <v>0.27450980392156865</v>
      </c>
      <c r="H303" s="13">
        <f>'Standardized Values'!H303/H$2</f>
        <v>0.34710743801652894</v>
      </c>
      <c r="I303" s="13">
        <f>'Standardized Values'!I303/I$2</f>
        <v>0.13114754098360656</v>
      </c>
      <c r="J303" s="13">
        <f>'Standardized Values'!J303/J$2</f>
        <v>0.39565217391304347</v>
      </c>
      <c r="K303" s="13">
        <f>'Standardized Values'!K303/K$2</f>
        <v>3.6363636363636362E-2</v>
      </c>
      <c r="L303" s="13">
        <f>'Standardized Values'!L303/L$2</f>
        <v>0.6</v>
      </c>
      <c r="M303" s="4" t="s">
        <v>986</v>
      </c>
      <c r="N303" s="2" t="s">
        <v>1128</v>
      </c>
      <c r="O303" s="2"/>
      <c r="P303" s="2"/>
      <c r="Q303" s="2"/>
      <c r="R303" s="2"/>
      <c r="S303" s="2"/>
      <c r="T303" s="2"/>
      <c r="U303" s="2"/>
      <c r="V303" s="2"/>
      <c r="W303" s="2"/>
      <c r="X303" s="2"/>
      <c r="Y303" s="2"/>
      <c r="Z303" s="2"/>
    </row>
    <row r="304" spans="1:26" ht="19.5" customHeight="1">
      <c r="A304" s="4" t="s">
        <v>987</v>
      </c>
      <c r="B304" s="4" t="s">
        <v>988</v>
      </c>
      <c r="C304" s="6">
        <v>1</v>
      </c>
      <c r="D304" s="4" t="s">
        <v>31</v>
      </c>
      <c r="E304" s="13">
        <f>'Standardized Values'!E304/E$2</f>
        <v>5.0000000000000001E-3</v>
      </c>
      <c r="F304" s="13">
        <f>'Standardized Values'!F304/F$2</f>
        <v>0</v>
      </c>
      <c r="G304" s="13">
        <f>'Standardized Values'!G304/G$2</f>
        <v>0</v>
      </c>
      <c r="H304" s="13">
        <f>'Standardized Values'!H304/H$2</f>
        <v>1.6528925619834711E-2</v>
      </c>
      <c r="I304" s="13">
        <f>'Standardized Values'!I304/I$2</f>
        <v>0</v>
      </c>
      <c r="J304" s="13">
        <f>'Standardized Values'!J304/J$2</f>
        <v>2.1739130434782609E-3</v>
      </c>
      <c r="K304" s="13">
        <f>'Standardized Values'!K304/K$2</f>
        <v>0</v>
      </c>
      <c r="L304" s="13">
        <f>'Standardized Values'!L304/L$2</f>
        <v>0</v>
      </c>
      <c r="M304" s="4" t="s">
        <v>989</v>
      </c>
      <c r="N304" s="2" t="s">
        <v>1129</v>
      </c>
      <c r="O304" s="2"/>
      <c r="P304" s="2"/>
      <c r="Q304" s="2"/>
      <c r="R304" s="2"/>
      <c r="S304" s="2"/>
      <c r="T304" s="2"/>
      <c r="U304" s="2"/>
      <c r="V304" s="2"/>
      <c r="W304" s="2"/>
      <c r="X304" s="2"/>
      <c r="Y304" s="2"/>
      <c r="Z304" s="2"/>
    </row>
    <row r="305" spans="1:26" ht="19.5" customHeight="1">
      <c r="A305" s="4" t="s">
        <v>990</v>
      </c>
      <c r="B305" s="4" t="s">
        <v>991</v>
      </c>
      <c r="C305" s="6">
        <v>1</v>
      </c>
      <c r="D305" s="4" t="s">
        <v>31</v>
      </c>
      <c r="E305" s="13">
        <f>'Standardized Values'!E305/E$2</f>
        <v>2.7E-2</v>
      </c>
      <c r="F305" s="13">
        <f>'Standardized Values'!F305/F$2</f>
        <v>7.2727272727272727E-3</v>
      </c>
      <c r="G305" s="13">
        <f>'Standardized Values'!G305/G$2</f>
        <v>0</v>
      </c>
      <c r="H305" s="13">
        <f>'Standardized Values'!H305/H$2</f>
        <v>8.2644628099173556E-2</v>
      </c>
      <c r="I305" s="13">
        <f>'Standardized Values'!I305/I$2</f>
        <v>6.5573770491803282E-2</v>
      </c>
      <c r="J305" s="13">
        <f>'Standardized Values'!J305/J$2</f>
        <v>4.5652173913043478E-2</v>
      </c>
      <c r="K305" s="13">
        <f>'Standardized Values'!K305/K$2</f>
        <v>0</v>
      </c>
      <c r="L305" s="13">
        <f>'Standardized Values'!L305/L$2</f>
        <v>0</v>
      </c>
      <c r="M305" s="4" t="s">
        <v>992</v>
      </c>
      <c r="N305" s="2" t="s">
        <v>1125</v>
      </c>
      <c r="O305" s="2"/>
      <c r="P305" s="2"/>
      <c r="Q305" s="2"/>
      <c r="R305" s="2"/>
      <c r="S305" s="2"/>
      <c r="T305" s="2"/>
      <c r="U305" s="2"/>
      <c r="V305" s="2"/>
      <c r="W305" s="2"/>
      <c r="X305" s="2"/>
      <c r="Y305" s="2"/>
      <c r="Z305" s="2"/>
    </row>
    <row r="306" spans="1:26" ht="19.5" customHeight="1">
      <c r="A306" s="4" t="s">
        <v>993</v>
      </c>
      <c r="B306" s="4" t="s">
        <v>994</v>
      </c>
      <c r="C306" s="6">
        <v>1</v>
      </c>
      <c r="D306" s="4" t="s">
        <v>31</v>
      </c>
      <c r="E306" s="13">
        <f>'Standardized Values'!E306/E$2</f>
        <v>4.4999999999999998E-2</v>
      </c>
      <c r="F306" s="13">
        <f>'Standardized Values'!F306/F$2</f>
        <v>3.6363636363636364E-3</v>
      </c>
      <c r="G306" s="13">
        <f>'Standardized Values'!G306/G$2</f>
        <v>0</v>
      </c>
      <c r="H306" s="13">
        <f>'Standardized Values'!H306/H$2</f>
        <v>0.16528925619834711</v>
      </c>
      <c r="I306" s="13">
        <f>'Standardized Values'!I306/I$2</f>
        <v>0</v>
      </c>
      <c r="J306" s="13">
        <f>'Standardized Values'!J306/J$2</f>
        <v>4.3478260869565216E-2</v>
      </c>
      <c r="K306" s="13">
        <f>'Standardized Values'!K306/K$2</f>
        <v>0</v>
      </c>
      <c r="L306" s="13">
        <f>'Standardized Values'!L306/L$2</f>
        <v>0.05</v>
      </c>
      <c r="M306" s="4" t="s">
        <v>995</v>
      </c>
      <c r="N306" s="2" t="s">
        <v>1125</v>
      </c>
      <c r="O306" s="2"/>
      <c r="P306" s="2"/>
      <c r="Q306" s="2"/>
      <c r="R306" s="2"/>
      <c r="S306" s="2"/>
      <c r="T306" s="2"/>
      <c r="U306" s="2"/>
      <c r="V306" s="2"/>
      <c r="W306" s="2"/>
      <c r="X306" s="2"/>
      <c r="Y306" s="2"/>
      <c r="Z306" s="2"/>
    </row>
    <row r="307" spans="1:26" ht="19.5" customHeight="1">
      <c r="A307" s="4" t="s">
        <v>996</v>
      </c>
      <c r="B307" s="4" t="s">
        <v>997</v>
      </c>
      <c r="C307" s="6">
        <v>1</v>
      </c>
      <c r="D307" s="4" t="s">
        <v>778</v>
      </c>
      <c r="E307" s="13">
        <f>'Standardized Values'!E307/E$2</f>
        <v>0.08</v>
      </c>
      <c r="F307" s="13">
        <f>'Standardized Values'!F307/F$2</f>
        <v>4.363636363636364E-2</v>
      </c>
      <c r="G307" s="13">
        <f>'Standardized Values'!G307/G$2</f>
        <v>3.9215686274509803E-2</v>
      </c>
      <c r="H307" s="13">
        <f>'Standardized Values'!H307/H$2</f>
        <v>0.18181818181818182</v>
      </c>
      <c r="I307" s="13">
        <f>'Standardized Values'!I307/I$2</f>
        <v>0.22950819672131148</v>
      </c>
      <c r="J307" s="13">
        <f>'Standardized Values'!J307/J$2</f>
        <v>2.8260869565217391E-2</v>
      </c>
      <c r="K307" s="13">
        <f>'Standardized Values'!K307/K$2</f>
        <v>3.6363636363636362E-2</v>
      </c>
      <c r="L307" s="13">
        <f>'Standardized Values'!L307/L$2</f>
        <v>0</v>
      </c>
      <c r="M307" s="4" t="s">
        <v>1001</v>
      </c>
      <c r="N307" s="2" t="s">
        <v>1126</v>
      </c>
      <c r="O307" s="2"/>
      <c r="P307" s="2"/>
      <c r="Q307" s="2"/>
      <c r="R307" s="2"/>
      <c r="S307" s="2"/>
      <c r="T307" s="2"/>
      <c r="U307" s="2"/>
      <c r="V307" s="2"/>
      <c r="W307" s="2"/>
      <c r="X307" s="2"/>
      <c r="Y307" s="2"/>
      <c r="Z307" s="2"/>
    </row>
    <row r="308" spans="1:26" ht="19.5" customHeight="1">
      <c r="A308" s="4" t="s">
        <v>1002</v>
      </c>
      <c r="B308" s="4" t="s">
        <v>1003</v>
      </c>
      <c r="C308" s="6">
        <v>1</v>
      </c>
      <c r="D308" s="4" t="s">
        <v>31</v>
      </c>
      <c r="E308" s="13">
        <f>'Standardized Values'!E308/E$2</f>
        <v>3.5999999999999997E-2</v>
      </c>
      <c r="F308" s="13">
        <f>'Standardized Values'!F308/F$2</f>
        <v>5.4545454545454543E-2</v>
      </c>
      <c r="G308" s="13">
        <f>'Standardized Values'!G308/G$2</f>
        <v>0</v>
      </c>
      <c r="H308" s="13">
        <f>'Standardized Values'!H308/H$2</f>
        <v>0</v>
      </c>
      <c r="I308" s="13">
        <f>'Standardized Values'!I308/I$2</f>
        <v>0.45901639344262296</v>
      </c>
      <c r="J308" s="13">
        <f>'Standardized Values'!J308/J$2</f>
        <v>0</v>
      </c>
      <c r="K308" s="13">
        <f>'Standardized Values'!K308/K$2</f>
        <v>0</v>
      </c>
      <c r="L308" s="13">
        <f>'Standardized Values'!L308/L$2</f>
        <v>0</v>
      </c>
      <c r="M308" s="4" t="s">
        <v>1004</v>
      </c>
      <c r="N308" s="2" t="s">
        <v>1127</v>
      </c>
      <c r="O308" s="2"/>
      <c r="P308" s="2"/>
      <c r="Q308" s="2"/>
      <c r="R308" s="2"/>
      <c r="S308" s="2"/>
      <c r="T308" s="2"/>
      <c r="U308" s="2"/>
      <c r="V308" s="2"/>
      <c r="W308" s="2"/>
      <c r="X308" s="2"/>
      <c r="Y308" s="2"/>
      <c r="Z308" s="2"/>
    </row>
    <row r="309" spans="1:26" ht="19.5" customHeight="1">
      <c r="A309" s="4" t="s">
        <v>1005</v>
      </c>
      <c r="B309" s="4" t="s">
        <v>1006</v>
      </c>
      <c r="C309" s="6">
        <v>1</v>
      </c>
      <c r="D309" s="4" t="s">
        <v>17</v>
      </c>
      <c r="E309" s="13">
        <f>'Standardized Values'!E309/E$2</f>
        <v>7.0000000000000007E-2</v>
      </c>
      <c r="F309" s="13">
        <f>'Standardized Values'!F309/F$2</f>
        <v>0.08</v>
      </c>
      <c r="G309" s="13">
        <f>'Standardized Values'!G309/G$2</f>
        <v>3.9215686274509803E-2</v>
      </c>
      <c r="H309" s="13">
        <f>'Standardized Values'!H309/H$2</f>
        <v>4.9586776859504134E-2</v>
      </c>
      <c r="I309" s="13">
        <f>'Standardized Values'!I309/I$2</f>
        <v>0</v>
      </c>
      <c r="J309" s="13">
        <f>'Standardized Values'!J309/J$2</f>
        <v>0.2</v>
      </c>
      <c r="K309" s="13">
        <f>'Standardized Values'!K309/K$2</f>
        <v>0.21818181818181817</v>
      </c>
      <c r="L309" s="13">
        <f>'Standardized Values'!L309/L$2</f>
        <v>0</v>
      </c>
      <c r="M309" s="4" t="s">
        <v>1007</v>
      </c>
      <c r="N309" s="2" t="s">
        <v>1128</v>
      </c>
      <c r="O309" s="2"/>
      <c r="P309" s="2"/>
      <c r="Q309" s="2"/>
      <c r="R309" s="2"/>
      <c r="S309" s="2"/>
      <c r="T309" s="2"/>
      <c r="U309" s="2"/>
      <c r="V309" s="2"/>
      <c r="W309" s="2"/>
      <c r="X309" s="2"/>
      <c r="Y309" s="2"/>
      <c r="Z309" s="2"/>
    </row>
    <row r="310" spans="1:26" ht="19.5" customHeight="1">
      <c r="A310" s="4" t="s">
        <v>1008</v>
      </c>
      <c r="B310" s="4" t="s">
        <v>1009</v>
      </c>
      <c r="C310" s="6">
        <v>1</v>
      </c>
      <c r="D310" s="4" t="s">
        <v>17</v>
      </c>
      <c r="E310" s="13">
        <f>'Standardized Values'!E310/E$2</f>
        <v>0.11</v>
      </c>
      <c r="F310" s="13">
        <f>'Standardized Values'!F310/F$2</f>
        <v>0.13090909090909092</v>
      </c>
      <c r="G310" s="13">
        <f>'Standardized Values'!G310/G$2</f>
        <v>0.11764705882352941</v>
      </c>
      <c r="H310" s="13">
        <f>'Standardized Values'!H310/H$2</f>
        <v>9.9173553719008267E-2</v>
      </c>
      <c r="I310" s="13">
        <f>'Standardized Values'!I310/I$2</f>
        <v>9.8360655737704916E-2</v>
      </c>
      <c r="J310" s="13">
        <f>'Standardized Values'!J310/J$2</f>
        <v>0.11304347826086956</v>
      </c>
      <c r="K310" s="13">
        <f>'Standardized Values'!K310/K$2</f>
        <v>0.14545454545454545</v>
      </c>
      <c r="L310" s="13">
        <f>'Standardized Values'!L310/L$2</f>
        <v>0</v>
      </c>
      <c r="M310" s="4" t="s">
        <v>1011</v>
      </c>
      <c r="N310" s="2" t="s">
        <v>1128</v>
      </c>
      <c r="O310" s="2"/>
      <c r="P310" s="2"/>
      <c r="Q310" s="2"/>
      <c r="R310" s="2"/>
      <c r="S310" s="2"/>
      <c r="T310" s="2"/>
      <c r="U310" s="2"/>
      <c r="V310" s="2"/>
      <c r="W310" s="2"/>
      <c r="X310" s="2"/>
      <c r="Y310" s="2"/>
      <c r="Z310" s="2"/>
    </row>
    <row r="311" spans="1:26" ht="19.5" customHeight="1">
      <c r="A311" s="4" t="s">
        <v>1012</v>
      </c>
      <c r="B311" s="4" t="s">
        <v>1013</v>
      </c>
      <c r="C311" s="6">
        <v>1</v>
      </c>
      <c r="D311" s="4" t="s">
        <v>613</v>
      </c>
      <c r="E311" s="13">
        <f>'Standardized Values'!E311/E$2</f>
        <v>9.5000000000000001E-2</v>
      </c>
      <c r="F311" s="13">
        <f>'Standardized Values'!F311/F$2</f>
        <v>6.9090909090909092E-2</v>
      </c>
      <c r="G311" s="13">
        <f>'Standardized Values'!G311/G$2</f>
        <v>0.29411764705882354</v>
      </c>
      <c r="H311" s="13">
        <f>'Standardized Values'!H311/H$2</f>
        <v>9.9173553719008267E-2</v>
      </c>
      <c r="I311" s="13">
        <f>'Standardized Values'!I311/I$2</f>
        <v>0.26229508196721313</v>
      </c>
      <c r="J311" s="13">
        <f>'Standardized Values'!J311/J$2</f>
        <v>0.29130434782608694</v>
      </c>
      <c r="K311" s="13">
        <f>'Standardized Values'!K311/K$2</f>
        <v>0.14545454545454545</v>
      </c>
      <c r="L311" s="13">
        <f>'Standardized Values'!L311/L$2</f>
        <v>8.3333333333333329E-2</v>
      </c>
      <c r="M311" s="4" t="s">
        <v>1017</v>
      </c>
      <c r="N311" s="2" t="s">
        <v>1128</v>
      </c>
      <c r="O311" s="2"/>
      <c r="P311" s="2"/>
      <c r="Q311" s="2"/>
      <c r="R311" s="2"/>
      <c r="S311" s="2"/>
      <c r="T311" s="2"/>
      <c r="U311" s="2"/>
      <c r="V311" s="2"/>
      <c r="W311" s="2"/>
      <c r="X311" s="2"/>
      <c r="Y311" s="2"/>
      <c r="Z311" s="2"/>
    </row>
    <row r="312" spans="1:26" ht="19.5" customHeight="1">
      <c r="A312" s="4" t="s">
        <v>1018</v>
      </c>
      <c r="B312" s="4" t="s">
        <v>1019</v>
      </c>
      <c r="C312" s="6">
        <v>1</v>
      </c>
      <c r="D312" s="4" t="s">
        <v>606</v>
      </c>
      <c r="E312" s="13">
        <f>'Standardized Values'!E312/E$2</f>
        <v>0</v>
      </c>
      <c r="F312" s="13">
        <f>'Standardized Values'!F312/F$2</f>
        <v>0</v>
      </c>
      <c r="G312" s="13">
        <f>'Standardized Values'!G312/G$2</f>
        <v>0</v>
      </c>
      <c r="H312" s="13">
        <f>'Standardized Values'!H312/H$2</f>
        <v>0</v>
      </c>
      <c r="I312" s="13">
        <f>'Standardized Values'!I312/I$2</f>
        <v>0</v>
      </c>
      <c r="J312" s="13">
        <f>'Standardized Values'!J312/J$2</f>
        <v>0</v>
      </c>
      <c r="K312" s="13">
        <f>'Standardized Values'!K312/K$2</f>
        <v>0</v>
      </c>
      <c r="L312" s="13">
        <f>'Standardized Values'!L312/L$2</f>
        <v>0</v>
      </c>
      <c r="M312" s="4" t="s">
        <v>1020</v>
      </c>
      <c r="N312" s="2" t="s">
        <v>1129</v>
      </c>
      <c r="O312" s="2"/>
      <c r="P312" s="2"/>
      <c r="Q312" s="2"/>
      <c r="R312" s="2"/>
      <c r="S312" s="2"/>
      <c r="T312" s="2"/>
      <c r="U312" s="2"/>
      <c r="V312" s="2"/>
      <c r="W312" s="2"/>
      <c r="X312" s="2"/>
      <c r="Y312" s="2"/>
      <c r="Z312" s="2"/>
    </row>
    <row r="313" spans="1:26" ht="19.5" customHeight="1">
      <c r="A313" s="4" t="s">
        <v>1021</v>
      </c>
      <c r="B313" s="4" t="s">
        <v>1022</v>
      </c>
      <c r="C313" s="6">
        <v>1</v>
      </c>
      <c r="D313" s="4" t="s">
        <v>17</v>
      </c>
      <c r="E313" s="13">
        <f>'Standardized Values'!E313/E$2</f>
        <v>0.06</v>
      </c>
      <c r="F313" s="13">
        <f>'Standardized Values'!F313/F$2</f>
        <v>5.8181818181818182E-2</v>
      </c>
      <c r="G313" s="13">
        <f>'Standardized Values'!G313/G$2</f>
        <v>5.8823529411764705E-2</v>
      </c>
      <c r="H313" s="13">
        <f>'Standardized Values'!H313/H$2</f>
        <v>8.2644628099173556E-2</v>
      </c>
      <c r="I313" s="13">
        <f>'Standardized Values'!I313/I$2</f>
        <v>0.22950819672131148</v>
      </c>
      <c r="J313" s="13">
        <f>'Standardized Values'!J313/J$2</f>
        <v>4.3478260869565216E-2</v>
      </c>
      <c r="K313" s="13">
        <f>'Standardized Values'!K313/K$2</f>
        <v>3.6363636363636362E-2</v>
      </c>
      <c r="L313" s="13">
        <f>'Standardized Values'!L313/L$2</f>
        <v>0</v>
      </c>
      <c r="M313" s="4" t="s">
        <v>1023</v>
      </c>
      <c r="N313" s="2" t="s">
        <v>1129</v>
      </c>
      <c r="O313" s="2"/>
      <c r="P313" s="2"/>
      <c r="Q313" s="2"/>
      <c r="R313" s="2"/>
      <c r="S313" s="2"/>
      <c r="T313" s="2"/>
      <c r="U313" s="2"/>
      <c r="V313" s="2"/>
      <c r="W313" s="2"/>
      <c r="X313" s="2"/>
      <c r="Y313" s="2"/>
      <c r="Z313" s="2"/>
    </row>
    <row r="314" spans="1:26" ht="19.5" customHeight="1">
      <c r="A314" s="4" t="s">
        <v>1024</v>
      </c>
      <c r="B314" s="4" t="s">
        <v>1025</v>
      </c>
      <c r="C314" s="6">
        <v>1</v>
      </c>
      <c r="D314" s="4" t="s">
        <v>606</v>
      </c>
      <c r="E314" s="13">
        <f>'Standardized Values'!E314/E$2</f>
        <v>8.5000000000000006E-3</v>
      </c>
      <c r="F314" s="13">
        <f>'Standardized Values'!F314/F$2</f>
        <v>1.4545454545454545E-2</v>
      </c>
      <c r="G314" s="13">
        <f>'Standardized Values'!G314/G$2</f>
        <v>0</v>
      </c>
      <c r="H314" s="13">
        <f>'Standardized Values'!H314/H$2</f>
        <v>0</v>
      </c>
      <c r="I314" s="13">
        <f>'Standardized Values'!I314/I$2</f>
        <v>9.8360655737704916E-2</v>
      </c>
      <c r="J314" s="13">
        <f>'Standardized Values'!J314/J$2</f>
        <v>0</v>
      </c>
      <c r="K314" s="13">
        <f>'Standardized Values'!K314/K$2</f>
        <v>0</v>
      </c>
      <c r="L314" s="13">
        <f>'Standardized Values'!L314/L$2</f>
        <v>0</v>
      </c>
      <c r="M314" s="4" t="s">
        <v>1026</v>
      </c>
      <c r="N314" s="2" t="s">
        <v>1129</v>
      </c>
      <c r="O314" s="2"/>
      <c r="P314" s="2"/>
      <c r="Q314" s="2"/>
      <c r="R314" s="2"/>
      <c r="S314" s="2"/>
      <c r="T314" s="2"/>
      <c r="U314" s="2"/>
      <c r="V314" s="2"/>
      <c r="W314" s="2"/>
      <c r="X314" s="2"/>
      <c r="Y314" s="2"/>
      <c r="Z314" s="2"/>
    </row>
    <row r="315" spans="1:26" ht="19.5" customHeight="1">
      <c r="A315" s="4" t="s">
        <v>1027</v>
      </c>
      <c r="B315" s="4" t="s">
        <v>1028</v>
      </c>
      <c r="C315" s="6">
        <v>1</v>
      </c>
      <c r="D315" s="4" t="s">
        <v>31</v>
      </c>
      <c r="E315" s="13">
        <f>'Standardized Values'!E315/E$2</f>
        <v>6.5000000000000002E-2</v>
      </c>
      <c r="F315" s="13">
        <f>'Standardized Values'!F315/F$2</f>
        <v>0</v>
      </c>
      <c r="G315" s="13">
        <f>'Standardized Values'!G315/G$2</f>
        <v>0</v>
      </c>
      <c r="H315" s="13">
        <f>'Standardized Values'!H315/H$2</f>
        <v>0.23140495867768596</v>
      </c>
      <c r="I315" s="13">
        <f>'Standardized Values'!I315/I$2</f>
        <v>0</v>
      </c>
      <c r="J315" s="13">
        <f>'Standardized Values'!J315/J$2</f>
        <v>0</v>
      </c>
      <c r="K315" s="13">
        <f>'Standardized Values'!K315/K$2</f>
        <v>0</v>
      </c>
      <c r="L315" s="13">
        <f>'Standardized Values'!L315/L$2</f>
        <v>0</v>
      </c>
      <c r="M315" s="4" t="s">
        <v>1029</v>
      </c>
      <c r="N315" s="2" t="s">
        <v>1127</v>
      </c>
      <c r="O315" s="2"/>
      <c r="P315" s="2"/>
      <c r="Q315" s="2"/>
      <c r="R315" s="2"/>
      <c r="S315" s="2"/>
      <c r="T315" s="2"/>
      <c r="U315" s="2"/>
      <c r="V315" s="2"/>
      <c r="W315" s="2"/>
      <c r="X315" s="2"/>
      <c r="Y315" s="2"/>
      <c r="Z315" s="2"/>
    </row>
    <row r="316" spans="1:26" ht="19.5" customHeight="1">
      <c r="A316" s="4" t="s">
        <v>1030</v>
      </c>
      <c r="B316" s="4" t="s">
        <v>1031</v>
      </c>
      <c r="C316" s="7" t="s">
        <v>176</v>
      </c>
      <c r="D316" s="4" t="s">
        <v>76</v>
      </c>
      <c r="E316" s="13">
        <f>'Standardized Values'!E316/E$2</f>
        <v>7.4999999999999997E-3</v>
      </c>
      <c r="F316" s="13">
        <f>'Standardized Values'!F316/F$2</f>
        <v>3.6363636363636364E-3</v>
      </c>
      <c r="G316" s="13">
        <f>'Standardized Values'!G316/G$2</f>
        <v>1.9607843137254902E-2</v>
      </c>
      <c r="H316" s="13">
        <f>'Standardized Values'!H316/H$2</f>
        <v>2.4793388429752067E-2</v>
      </c>
      <c r="I316" s="13">
        <f>'Standardized Values'!I316/I$2</f>
        <v>0</v>
      </c>
      <c r="J316" s="13">
        <f>'Standardized Values'!J316/J$2</f>
        <v>3.4782608695652174E-2</v>
      </c>
      <c r="K316" s="13">
        <f>'Standardized Values'!K316/K$2</f>
        <v>0</v>
      </c>
      <c r="L316" s="13">
        <f>'Standardized Values'!L316/L$2</f>
        <v>0</v>
      </c>
      <c r="M316" s="4" t="s">
        <v>1032</v>
      </c>
      <c r="N316" s="2" t="s">
        <v>1127</v>
      </c>
      <c r="O316" s="2"/>
      <c r="P316" s="2"/>
      <c r="Q316" s="2"/>
      <c r="R316" s="2"/>
      <c r="S316" s="2"/>
      <c r="T316" s="2"/>
      <c r="U316" s="2"/>
      <c r="V316" s="2"/>
      <c r="W316" s="2"/>
      <c r="X316" s="2"/>
      <c r="Y316" s="2"/>
      <c r="Z316" s="2"/>
    </row>
    <row r="317" spans="1:26" ht="19.5" customHeight="1">
      <c r="A317" s="4" t="s">
        <v>1033</v>
      </c>
      <c r="B317" s="4" t="s">
        <v>1034</v>
      </c>
      <c r="C317" s="7" t="s">
        <v>176</v>
      </c>
      <c r="D317" s="4" t="s">
        <v>909</v>
      </c>
      <c r="E317" s="13">
        <f>'Standardized Values'!E317/E$2</f>
        <v>9.5000000000000001E-2</v>
      </c>
      <c r="F317" s="13">
        <f>'Standardized Values'!F317/F$2</f>
        <v>5.8181818181818182E-2</v>
      </c>
      <c r="G317" s="13">
        <f>'Standardized Values'!G317/G$2</f>
        <v>0.25490196078431371</v>
      </c>
      <c r="H317" s="13">
        <f>'Standardized Values'!H317/H$2</f>
        <v>0.13223140495867769</v>
      </c>
      <c r="I317" s="13">
        <f>'Standardized Values'!I317/I$2</f>
        <v>3.2786885245901641E-2</v>
      </c>
      <c r="J317" s="13">
        <f>'Standardized Values'!J317/J$2</f>
        <v>0.2</v>
      </c>
      <c r="K317" s="13">
        <f>'Standardized Values'!K317/K$2</f>
        <v>7.2727272727272724E-2</v>
      </c>
      <c r="L317" s="13">
        <f>'Standardized Values'!L317/L$2</f>
        <v>0.3</v>
      </c>
      <c r="M317" s="4" t="s">
        <v>1035</v>
      </c>
      <c r="N317" s="2" t="s">
        <v>1128</v>
      </c>
      <c r="O317" s="2"/>
      <c r="P317" s="2"/>
      <c r="Q317" s="2"/>
      <c r="R317" s="2"/>
      <c r="S317" s="2"/>
      <c r="T317" s="2"/>
      <c r="U317" s="2"/>
      <c r="V317" s="2"/>
      <c r="W317" s="2"/>
      <c r="X317" s="2"/>
      <c r="Y317" s="2"/>
      <c r="Z317" s="2"/>
    </row>
    <row r="318" spans="1:26" ht="19.5" customHeight="1">
      <c r="A318" s="4" t="s">
        <v>1036</v>
      </c>
      <c r="B318" s="4" t="s">
        <v>1037</v>
      </c>
      <c r="C318" s="6">
        <v>1</v>
      </c>
      <c r="D318" s="4" t="s">
        <v>31</v>
      </c>
      <c r="E318" s="13">
        <f>'Standardized Values'!E318/E$2</f>
        <v>2.5000000000000001E-3</v>
      </c>
      <c r="F318" s="13">
        <f>'Standardized Values'!F318/F$2</f>
        <v>3.6363636363636364E-3</v>
      </c>
      <c r="G318" s="13">
        <f>'Standardized Values'!G318/G$2</f>
        <v>0</v>
      </c>
      <c r="H318" s="13">
        <f>'Standardized Values'!H318/H$2</f>
        <v>0</v>
      </c>
      <c r="I318" s="13">
        <f>'Standardized Values'!I318/I$2</f>
        <v>0</v>
      </c>
      <c r="J318" s="13">
        <f>'Standardized Values'!J318/J$2</f>
        <v>2.1739130434782608E-2</v>
      </c>
      <c r="K318" s="13">
        <f>'Standardized Values'!K318/K$2</f>
        <v>0</v>
      </c>
      <c r="L318" s="13">
        <f>'Standardized Values'!L318/L$2</f>
        <v>0</v>
      </c>
      <c r="M318" s="4" t="s">
        <v>1038</v>
      </c>
      <c r="N318" s="2" t="s">
        <v>1127</v>
      </c>
      <c r="O318" s="2"/>
      <c r="P318" s="2"/>
      <c r="Q318" s="2"/>
      <c r="R318" s="2"/>
      <c r="S318" s="2"/>
      <c r="T318" s="2"/>
      <c r="U318" s="2"/>
      <c r="V318" s="2"/>
      <c r="W318" s="2"/>
      <c r="X318" s="2"/>
      <c r="Y318" s="2"/>
      <c r="Z318" s="2"/>
    </row>
    <row r="319" spans="1:26" ht="19.5" customHeight="1">
      <c r="A319" s="4" t="s">
        <v>1039</v>
      </c>
      <c r="B319" s="4" t="s">
        <v>1040</v>
      </c>
      <c r="C319" s="6">
        <v>1</v>
      </c>
      <c r="D319" s="4" t="s">
        <v>31</v>
      </c>
      <c r="E319" s="13">
        <f>'Standardized Values'!E319/E$2</f>
        <v>0.06</v>
      </c>
      <c r="F319" s="13">
        <f>'Standardized Values'!F319/F$2</f>
        <v>0</v>
      </c>
      <c r="G319" s="13">
        <f>'Standardized Values'!G319/G$2</f>
        <v>0</v>
      </c>
      <c r="H319" s="13">
        <f>'Standardized Values'!H319/H$2</f>
        <v>0.23140495867768596</v>
      </c>
      <c r="I319" s="13">
        <f>'Standardized Values'!I319/I$2</f>
        <v>0</v>
      </c>
      <c r="J319" s="13">
        <f>'Standardized Values'!J319/J$2</f>
        <v>0</v>
      </c>
      <c r="K319" s="13">
        <f>'Standardized Values'!K319/K$2</f>
        <v>0</v>
      </c>
      <c r="L319" s="13">
        <f>'Standardized Values'!L319/L$2</f>
        <v>0</v>
      </c>
      <c r="M319" s="4" t="s">
        <v>1029</v>
      </c>
      <c r="N319" s="2" t="s">
        <v>1127</v>
      </c>
      <c r="O319" s="2"/>
      <c r="P319" s="2"/>
      <c r="Q319" s="2"/>
      <c r="R319" s="2"/>
      <c r="S319" s="2"/>
      <c r="T319" s="2"/>
      <c r="U319" s="2"/>
      <c r="V319" s="2"/>
      <c r="W319" s="2"/>
      <c r="X319" s="2"/>
      <c r="Y319" s="2"/>
      <c r="Z319" s="2"/>
    </row>
    <row r="320" spans="1:26" ht="19.5" customHeight="1">
      <c r="A320" s="4" t="s">
        <v>1041</v>
      </c>
      <c r="B320" s="4" t="s">
        <v>1042</v>
      </c>
      <c r="C320" s="6">
        <v>1</v>
      </c>
      <c r="D320" s="4" t="s">
        <v>76</v>
      </c>
      <c r="E320" s="13">
        <f>'Standardized Values'!E320/E$2</f>
        <v>5.0000000000000001E-3</v>
      </c>
      <c r="F320" s="13">
        <f>'Standardized Values'!F320/F$2</f>
        <v>3.6363636363636364E-3</v>
      </c>
      <c r="G320" s="13">
        <f>'Standardized Values'!G320/G$2</f>
        <v>0</v>
      </c>
      <c r="H320" s="13">
        <f>'Standardized Values'!H320/H$2</f>
        <v>8.2644628099173556E-3</v>
      </c>
      <c r="I320" s="13">
        <f>'Standardized Values'!I320/I$2</f>
        <v>0</v>
      </c>
      <c r="J320" s="13">
        <f>'Standardized Values'!J320/J$2</f>
        <v>5.6521739130434782E-2</v>
      </c>
      <c r="K320" s="13">
        <f>'Standardized Values'!K320/K$2</f>
        <v>0</v>
      </c>
      <c r="L320" s="13">
        <f>'Standardized Values'!L320/L$2</f>
        <v>0</v>
      </c>
      <c r="M320" s="4" t="s">
        <v>1043</v>
      </c>
      <c r="N320" s="2" t="s">
        <v>1125</v>
      </c>
      <c r="O320" s="2"/>
      <c r="P320" s="2"/>
      <c r="Q320" s="2"/>
      <c r="R320" s="2"/>
      <c r="S320" s="2"/>
      <c r="T320" s="2"/>
      <c r="U320" s="2"/>
      <c r="V320" s="2"/>
      <c r="W320" s="2"/>
      <c r="X320" s="2"/>
      <c r="Y320" s="2"/>
      <c r="Z320" s="2"/>
    </row>
    <row r="321" spans="1:26" ht="19.5" customHeight="1">
      <c r="A321" s="4" t="s">
        <v>1044</v>
      </c>
      <c r="B321" s="4" t="s">
        <v>1045</v>
      </c>
      <c r="C321" s="6">
        <v>1</v>
      </c>
      <c r="D321" s="4" t="s">
        <v>31</v>
      </c>
      <c r="E321" s="13">
        <f>'Standardized Values'!E321/E$2</f>
        <v>7.4999999999999997E-3</v>
      </c>
      <c r="F321" s="13">
        <f>'Standardized Values'!F321/F$2</f>
        <v>0</v>
      </c>
      <c r="G321" s="13">
        <f>'Standardized Values'!G321/G$2</f>
        <v>5.8823529411764705E-2</v>
      </c>
      <c r="H321" s="13">
        <f>'Standardized Values'!H321/H$2</f>
        <v>0</v>
      </c>
      <c r="I321" s="13">
        <f>'Standardized Values'!I321/I$2</f>
        <v>0</v>
      </c>
      <c r="J321" s="13">
        <f>'Standardized Values'!J321/J$2</f>
        <v>0.68260869565217386</v>
      </c>
      <c r="K321" s="13">
        <f>'Standardized Values'!K321/K$2</f>
        <v>0</v>
      </c>
      <c r="L321" s="13">
        <f>'Standardized Values'!L321/L$2</f>
        <v>0</v>
      </c>
      <c r="M321" s="4" t="s">
        <v>1046</v>
      </c>
      <c r="N321" s="2" t="s">
        <v>1127</v>
      </c>
      <c r="O321" s="2"/>
      <c r="P321" s="2"/>
      <c r="Q321" s="2"/>
      <c r="R321" s="2"/>
      <c r="S321" s="2"/>
      <c r="T321" s="2"/>
      <c r="U321" s="2"/>
      <c r="V321" s="2"/>
      <c r="W321" s="2"/>
      <c r="X321" s="2"/>
      <c r="Y321" s="2"/>
      <c r="Z321" s="2"/>
    </row>
    <row r="322" spans="1:26" ht="19.5" customHeight="1">
      <c r="A322" s="4" t="s">
        <v>1047</v>
      </c>
      <c r="B322" s="4" t="s">
        <v>1031</v>
      </c>
      <c r="C322" s="6">
        <v>1</v>
      </c>
      <c r="D322" s="4" t="s">
        <v>76</v>
      </c>
      <c r="E322" s="13">
        <f>'Standardized Values'!E322/E$2</f>
        <v>7.4999999999999997E-3</v>
      </c>
      <c r="F322" s="13">
        <f>'Standardized Values'!F322/F$2</f>
        <v>0</v>
      </c>
      <c r="G322" s="13">
        <f>'Standardized Values'!G322/G$2</f>
        <v>0</v>
      </c>
      <c r="H322" s="13">
        <f>'Standardized Values'!H322/H$2</f>
        <v>2.4793388429752067E-2</v>
      </c>
      <c r="I322" s="13">
        <f>'Standardized Values'!I322/I$2</f>
        <v>0</v>
      </c>
      <c r="J322" s="13">
        <f>'Standardized Values'!J322/J$2</f>
        <v>3.4782608695652174E-2</v>
      </c>
      <c r="K322" s="13">
        <f>'Standardized Values'!K322/K$2</f>
        <v>0</v>
      </c>
      <c r="L322" s="13">
        <f>'Standardized Values'!L322/L$2</f>
        <v>0</v>
      </c>
      <c r="M322" s="4" t="s">
        <v>1032</v>
      </c>
      <c r="N322" s="2" t="s">
        <v>1127</v>
      </c>
      <c r="O322" s="2"/>
      <c r="P322" s="2"/>
      <c r="Q322" s="2"/>
      <c r="R322" s="2"/>
      <c r="S322" s="2"/>
      <c r="T322" s="2"/>
      <c r="U322" s="2"/>
      <c r="V322" s="2"/>
      <c r="W322" s="2"/>
      <c r="X322" s="2"/>
      <c r="Y322" s="2"/>
      <c r="Z322" s="2"/>
    </row>
    <row r="323" spans="1:26" ht="19.5" customHeight="1">
      <c r="A323" s="4" t="s">
        <v>1048</v>
      </c>
      <c r="B323" s="4" t="s">
        <v>1049</v>
      </c>
      <c r="C323" s="6">
        <v>1</v>
      </c>
      <c r="D323" s="4" t="s">
        <v>205</v>
      </c>
      <c r="E323" s="13">
        <f>'Standardized Values'!E323/E$2</f>
        <v>5.0000000000000001E-3</v>
      </c>
      <c r="F323" s="13">
        <f>'Standardized Values'!F323/F$2</f>
        <v>7.2727272727272727E-3</v>
      </c>
      <c r="G323" s="13">
        <f>'Standardized Values'!G323/G$2</f>
        <v>1.9607843137254902E-2</v>
      </c>
      <c r="H323" s="13">
        <f>'Standardized Values'!H323/H$2</f>
        <v>0</v>
      </c>
      <c r="I323" s="13">
        <f>'Standardized Values'!I323/I$2</f>
        <v>0</v>
      </c>
      <c r="J323" s="13">
        <f>'Standardized Values'!J323/J$2</f>
        <v>7.8260869565217397E-2</v>
      </c>
      <c r="K323" s="13">
        <f>'Standardized Values'!K323/K$2</f>
        <v>3.6363636363636362E-2</v>
      </c>
      <c r="L323" s="13">
        <f>'Standardized Values'!L323/L$2</f>
        <v>0</v>
      </c>
      <c r="M323" s="4" t="s">
        <v>1050</v>
      </c>
      <c r="N323" s="2" t="s">
        <v>1126</v>
      </c>
      <c r="O323" s="2"/>
      <c r="P323" s="2"/>
      <c r="Q323" s="2"/>
      <c r="R323" s="2"/>
      <c r="S323" s="2"/>
      <c r="T323" s="2"/>
      <c r="U323" s="2"/>
      <c r="V323" s="2"/>
      <c r="W323" s="2"/>
      <c r="X323" s="2"/>
      <c r="Y323" s="2"/>
      <c r="Z323" s="2"/>
    </row>
    <row r="324" spans="1:26" ht="19.5" customHeight="1">
      <c r="A324" s="4" t="s">
        <v>1051</v>
      </c>
      <c r="B324" s="4" t="s">
        <v>1052</v>
      </c>
      <c r="C324" s="6">
        <v>1</v>
      </c>
      <c r="D324" s="4" t="s">
        <v>76</v>
      </c>
      <c r="E324" s="13">
        <f>'Standardized Values'!E324/E$2</f>
        <v>2.5000000000000001E-3</v>
      </c>
      <c r="F324" s="13">
        <f>'Standardized Values'!F324/F$2</f>
        <v>0</v>
      </c>
      <c r="G324" s="13">
        <f>'Standardized Values'!G324/G$2</f>
        <v>0</v>
      </c>
      <c r="H324" s="13">
        <f>'Standardized Values'!H324/H$2</f>
        <v>0</v>
      </c>
      <c r="I324" s="13">
        <f>'Standardized Values'!I324/I$2</f>
        <v>0</v>
      </c>
      <c r="J324" s="13">
        <f>'Standardized Values'!J324/J$2</f>
        <v>5.2173913043478258E-2</v>
      </c>
      <c r="K324" s="13">
        <f>'Standardized Values'!K324/K$2</f>
        <v>0</v>
      </c>
      <c r="L324" s="13">
        <f>'Standardized Values'!L324/L$2</f>
        <v>0</v>
      </c>
      <c r="M324" s="4" t="s">
        <v>1053</v>
      </c>
      <c r="N324" s="2" t="s">
        <v>1125</v>
      </c>
      <c r="O324" s="2"/>
      <c r="P324" s="2"/>
      <c r="Q324" s="2"/>
      <c r="R324" s="2"/>
      <c r="S324" s="2"/>
      <c r="T324" s="2"/>
      <c r="U324" s="2"/>
      <c r="V324" s="2"/>
      <c r="W324" s="2"/>
      <c r="X324" s="2"/>
      <c r="Y324" s="2"/>
      <c r="Z324" s="2"/>
    </row>
    <row r="325" spans="1:26" ht="19.5" customHeight="1">
      <c r="A325" s="4" t="s">
        <v>1054</v>
      </c>
      <c r="B325" s="4" t="s">
        <v>1055</v>
      </c>
      <c r="C325" s="6">
        <v>1</v>
      </c>
      <c r="D325" s="4" t="s">
        <v>76</v>
      </c>
      <c r="E325" s="13">
        <f>'Standardized Values'!E325/E$2</f>
        <v>5.0000000000000001E-3</v>
      </c>
      <c r="F325" s="13">
        <f>'Standardized Values'!F325/F$2</f>
        <v>0</v>
      </c>
      <c r="G325" s="13">
        <f>'Standardized Values'!G325/G$2</f>
        <v>0</v>
      </c>
      <c r="H325" s="13">
        <f>'Standardized Values'!H325/H$2</f>
        <v>8.2644628099173556E-3</v>
      </c>
      <c r="I325" s="13">
        <f>'Standardized Values'!I325/I$2</f>
        <v>0</v>
      </c>
      <c r="J325" s="13">
        <f>'Standardized Values'!J325/J$2</f>
        <v>4.3478260869565216E-2</v>
      </c>
      <c r="K325" s="13">
        <f>'Standardized Values'!K325/K$2</f>
        <v>0</v>
      </c>
      <c r="L325" s="13">
        <f>'Standardized Values'!L325/L$2</f>
        <v>0</v>
      </c>
      <c r="M325" s="4" t="s">
        <v>1056</v>
      </c>
      <c r="N325" s="2" t="s">
        <v>1125</v>
      </c>
      <c r="O325" s="2"/>
      <c r="P325" s="2"/>
      <c r="Q325" s="2"/>
      <c r="R325" s="2"/>
      <c r="S325" s="2"/>
      <c r="T325" s="2"/>
      <c r="U325" s="2"/>
      <c r="V325" s="2"/>
      <c r="W325" s="2"/>
      <c r="X325" s="2"/>
      <c r="Y325" s="2"/>
      <c r="Z325" s="2"/>
    </row>
    <row r="326" spans="1:26" ht="19.5" customHeight="1">
      <c r="A326" s="4" t="s">
        <v>1057</v>
      </c>
      <c r="B326" s="4" t="s">
        <v>1058</v>
      </c>
      <c r="C326" s="6">
        <v>0.5</v>
      </c>
      <c r="D326" s="4" t="s">
        <v>17</v>
      </c>
      <c r="E326" s="13">
        <f>'Standardized Values'!E326/E$2</f>
        <v>0.04</v>
      </c>
      <c r="F326" s="13">
        <f>'Standardized Values'!F326/F$2</f>
        <v>3.6363636363636364E-3</v>
      </c>
      <c r="G326" s="13">
        <f>'Standardized Values'!G326/G$2</f>
        <v>0.25490196078431371</v>
      </c>
      <c r="H326" s="13">
        <f>'Standardized Values'!H326/H$2</f>
        <v>4.9586776859504134E-2</v>
      </c>
      <c r="I326" s="13">
        <f>'Standardized Values'!I326/I$2</f>
        <v>0</v>
      </c>
      <c r="J326" s="13">
        <f>'Standardized Values'!J326/J$2</f>
        <v>0.12173913043478261</v>
      </c>
      <c r="K326" s="13">
        <f>'Standardized Values'!K326/K$2</f>
        <v>3.6363636363636362E-2</v>
      </c>
      <c r="L326" s="13">
        <f>'Standardized Values'!L326/L$2</f>
        <v>0</v>
      </c>
      <c r="M326" s="4" t="s">
        <v>1059</v>
      </c>
      <c r="N326" s="2" t="s">
        <v>1128</v>
      </c>
      <c r="O326" s="2"/>
      <c r="P326" s="2"/>
      <c r="Q326" s="2"/>
      <c r="R326" s="2"/>
      <c r="S326" s="2"/>
      <c r="T326" s="2"/>
      <c r="U326" s="2"/>
      <c r="V326" s="2"/>
      <c r="W326" s="2"/>
      <c r="X326" s="2"/>
      <c r="Y326" s="2"/>
      <c r="Z326" s="2"/>
    </row>
    <row r="327" spans="1:26" ht="19.5" customHeight="1">
      <c r="A327" s="4" t="s">
        <v>1060</v>
      </c>
      <c r="B327" s="4" t="s">
        <v>1061</v>
      </c>
      <c r="C327" s="7" t="s">
        <v>930</v>
      </c>
      <c r="D327" s="4" t="s">
        <v>205</v>
      </c>
      <c r="E327" s="13">
        <f>'Standardized Values'!E327/E$2</f>
        <v>3.5000000000000003E-2</v>
      </c>
      <c r="F327" s="13">
        <f>'Standardized Values'!F327/F$2</f>
        <v>0</v>
      </c>
      <c r="G327" s="13">
        <f>'Standardized Values'!G327/G$2</f>
        <v>0.21568627450980393</v>
      </c>
      <c r="H327" s="13">
        <f>'Standardized Values'!H327/H$2</f>
        <v>4.1322314049586778E-2</v>
      </c>
      <c r="I327" s="13">
        <f>'Standardized Values'!I327/I$2</f>
        <v>0</v>
      </c>
      <c r="J327" s="13">
        <f>'Standardized Values'!J327/J$2</f>
        <v>0.1</v>
      </c>
      <c r="K327" s="13">
        <f>'Standardized Values'!K327/K$2</f>
        <v>0</v>
      </c>
      <c r="L327" s="13">
        <f>'Standardized Values'!L327/L$2</f>
        <v>6.6666666666666666E-2</v>
      </c>
      <c r="M327" s="4" t="s">
        <v>1062</v>
      </c>
      <c r="N327" s="2" t="s">
        <v>1126</v>
      </c>
      <c r="O327" s="2"/>
      <c r="P327" s="2"/>
      <c r="Q327" s="2"/>
      <c r="R327" s="2"/>
      <c r="S327" s="2"/>
      <c r="T327" s="2"/>
      <c r="U327" s="2"/>
      <c r="V327" s="2"/>
      <c r="W327" s="2"/>
      <c r="X327" s="2"/>
      <c r="Y327" s="2"/>
      <c r="Z327" s="2"/>
    </row>
    <row r="328" spans="1:26" ht="19.5" customHeight="1">
      <c r="A328" s="4" t="s">
        <v>1063</v>
      </c>
      <c r="B328" s="4" t="s">
        <v>1064</v>
      </c>
      <c r="C328" s="7" t="s">
        <v>930</v>
      </c>
      <c r="D328" s="4" t="s">
        <v>200</v>
      </c>
      <c r="E328" s="13">
        <f>'Standardized Values'!E328/E$2</f>
        <v>0.04</v>
      </c>
      <c r="F328" s="13">
        <f>'Standardized Values'!F328/F$2</f>
        <v>5.8181818181818182E-2</v>
      </c>
      <c r="G328" s="13">
        <f>'Standardized Values'!G328/G$2</f>
        <v>7.8431372549019607E-2</v>
      </c>
      <c r="H328" s="13">
        <f>'Standardized Values'!H328/H$2</f>
        <v>1.6528925619834711E-2</v>
      </c>
      <c r="I328" s="13">
        <f>'Standardized Values'!I328/I$2</f>
        <v>0</v>
      </c>
      <c r="J328" s="13">
        <f>'Standardized Values'!J328/J$2</f>
        <v>5.2173913043478258E-2</v>
      </c>
      <c r="K328" s="13">
        <f>'Standardized Values'!K328/K$2</f>
        <v>0.10909090909090909</v>
      </c>
      <c r="L328" s="13">
        <f>'Standardized Values'!L328/L$2</f>
        <v>0</v>
      </c>
      <c r="M328" s="4" t="s">
        <v>1065</v>
      </c>
      <c r="N328" s="2" t="s">
        <v>1126</v>
      </c>
      <c r="O328" s="2"/>
      <c r="P328" s="2"/>
      <c r="Q328" s="2"/>
      <c r="R328" s="2"/>
      <c r="S328" s="2"/>
      <c r="T328" s="2"/>
      <c r="U328" s="2"/>
      <c r="V328" s="2"/>
      <c r="W328" s="2"/>
      <c r="X328" s="2"/>
      <c r="Y328" s="2"/>
      <c r="Z328" s="2"/>
    </row>
    <row r="329" spans="1:26" ht="19.5" customHeight="1">
      <c r="A329" s="4" t="s">
        <v>1066</v>
      </c>
      <c r="B329" s="4" t="s">
        <v>1067</v>
      </c>
      <c r="C329" s="6">
        <v>0.5</v>
      </c>
      <c r="D329" s="4" t="s">
        <v>212</v>
      </c>
      <c r="E329" s="13">
        <f>'Standardized Values'!E329/E$2</f>
        <v>7.4999999999999997E-2</v>
      </c>
      <c r="F329" s="13">
        <f>'Standardized Values'!F329/F$2</f>
        <v>4.363636363636364E-2</v>
      </c>
      <c r="G329" s="13">
        <f>'Standardized Values'!G329/G$2</f>
        <v>0.11764705882352941</v>
      </c>
      <c r="H329" s="13">
        <f>'Standardized Values'!H329/H$2</f>
        <v>0.13223140495867769</v>
      </c>
      <c r="I329" s="13">
        <f>'Standardized Values'!I329/I$2</f>
        <v>9.8360655737704916E-2</v>
      </c>
      <c r="J329" s="13">
        <f>'Standardized Values'!J329/J$2</f>
        <v>8.6956521739130432E-2</v>
      </c>
      <c r="K329" s="13">
        <f>'Standardized Values'!K329/K$2</f>
        <v>0.14545454545454545</v>
      </c>
      <c r="L329" s="13">
        <f>'Standardized Values'!L329/L$2</f>
        <v>0</v>
      </c>
      <c r="M329" s="4" t="s">
        <v>1069</v>
      </c>
      <c r="N329" s="2" t="s">
        <v>1126</v>
      </c>
      <c r="O329" s="2"/>
      <c r="P329" s="2"/>
      <c r="Q329" s="2"/>
      <c r="R329" s="2"/>
      <c r="S329" s="2"/>
      <c r="T329" s="2"/>
      <c r="U329" s="2"/>
      <c r="V329" s="2"/>
      <c r="W329" s="2"/>
      <c r="X329" s="2"/>
      <c r="Y329" s="2"/>
      <c r="Z329" s="2"/>
    </row>
    <row r="330" spans="1:26" ht="19.5" customHeight="1">
      <c r="A330" s="4" t="s">
        <v>1070</v>
      </c>
      <c r="B330" s="4" t="s">
        <v>1071</v>
      </c>
      <c r="C330" s="6">
        <v>0.25</v>
      </c>
      <c r="D330" s="4" t="s">
        <v>17</v>
      </c>
      <c r="E330" s="13">
        <f>'Standardized Values'!E330/E$2</f>
        <v>0.09</v>
      </c>
      <c r="F330" s="13">
        <f>'Standardized Values'!F330/F$2</f>
        <v>1.8181818181818181E-2</v>
      </c>
      <c r="G330" s="13">
        <f>'Standardized Values'!G330/G$2</f>
        <v>0.13725490196078433</v>
      </c>
      <c r="H330" s="13">
        <f>'Standardized Values'!H330/H$2</f>
        <v>0.24793388429752067</v>
      </c>
      <c r="I330" s="13">
        <f>'Standardized Values'!I330/I$2</f>
        <v>0</v>
      </c>
      <c r="J330" s="13">
        <f>'Standardized Values'!J330/J$2</f>
        <v>8.2608695652173908E-2</v>
      </c>
      <c r="K330" s="13">
        <f>'Standardized Values'!K330/K$2</f>
        <v>7.2727272727272724E-2</v>
      </c>
      <c r="L330" s="13">
        <f>'Standardized Values'!L330/L$2</f>
        <v>0</v>
      </c>
      <c r="M330" s="4" t="s">
        <v>80</v>
      </c>
      <c r="N330" s="2" t="s">
        <v>1126</v>
      </c>
      <c r="O330" s="2"/>
      <c r="P330" s="2"/>
      <c r="Q330" s="2"/>
      <c r="R330" s="2"/>
      <c r="S330" s="2"/>
      <c r="T330" s="2"/>
      <c r="U330" s="2"/>
      <c r="V330" s="2"/>
      <c r="W330" s="2"/>
      <c r="X330" s="2"/>
      <c r="Y330" s="2"/>
      <c r="Z330" s="2"/>
    </row>
    <row r="331" spans="1:26" ht="19.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9.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9.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9.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9.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9.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9.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9.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9.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9.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9.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9.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9.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9.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9.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9.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9.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9.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9.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9.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9.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9.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9.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9.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9.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9.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9.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9.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9.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9.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9.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9.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9.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9.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9.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9.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9.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9.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9.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9.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9.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9.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9.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9.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9.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9.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9.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9.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9.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9.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9.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9.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9.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9.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9.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9.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9.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9.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9.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9.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9.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9.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9.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9.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9.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9.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9.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9.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9.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9.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9.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9.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9.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9.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9.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9.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9.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9.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9.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9.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9.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9.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9.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9.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9.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9.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9.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9.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9.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9.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9.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9.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9.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9.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9.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9.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9.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9.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9.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9.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9.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9.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9.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9.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9.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9.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9.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9.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9.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9.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9.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9.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9.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9.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9.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9.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9.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9.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9.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9.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9.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9.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9.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9.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9.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9.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9.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9.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9.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9.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9.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9.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9.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9.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9.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9.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9.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9.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9.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9.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9.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9.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9.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9.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9.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9.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9.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9.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9.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9.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9.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9.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9.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9.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9.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9.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9.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9.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9.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9.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9.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9.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9.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9.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9.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9.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9.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9.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9.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9.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9.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9.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9.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9.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9.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9.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9.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9.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9.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9.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9.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9.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9.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9.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9.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9.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9.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9.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9.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9.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9.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9.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9.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9.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9.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9.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9.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9.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9.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9.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9.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9.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9.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9.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9.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9.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9.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9.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9.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9.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9.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9.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9.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9.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9.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9.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9.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9.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9.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9.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9.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9.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9.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9.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9.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9.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9.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9.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9.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9.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9.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9.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9.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9.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9.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9.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9.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9.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9.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9.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9.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9.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9.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9.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9.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9.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9.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9.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9.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9.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9.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9.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9.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9.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9.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9.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9.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9.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9.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9.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9.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9.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9.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9.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9.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9.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9.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9.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9.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9.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9.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9.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9.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9.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9.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9.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9.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9.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9.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9.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9.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9.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9.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9.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9.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9.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9.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9.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9.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9.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9.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9.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9.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9.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9.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9.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9.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9.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9.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9.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9.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9.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9.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9.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9.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9.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9.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9.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9.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9.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9.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9.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9.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9.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9.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9.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9.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9.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9.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9.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9.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9.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9.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9.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9.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9.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9.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9.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9.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9.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9.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9.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9.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9.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9.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9.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9.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9.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9.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9.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9.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9.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9.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9.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9.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9.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9.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9.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9.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9.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9.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9.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9.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9.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9.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9.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9.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9.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9.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9.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9.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9.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9.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9.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9.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9.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9.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9.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9.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9.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9.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9.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9.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9.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9.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9.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9.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9.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9.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9.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9.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9.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9.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9.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9.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9.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9.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9.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9.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9.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9.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9.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9.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9.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9.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9.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9.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9.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9.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9.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9.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9.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9.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9.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9.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9.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9.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9.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9.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9.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9.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9.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9.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9.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9.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9.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9.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9.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9.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9.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9.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9.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9.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9.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9.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9.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9.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9.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9.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9.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9.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9.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9.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9.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9.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9.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9.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9.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9.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9.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9.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9.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9.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9.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9.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9.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9.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9.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9.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9.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9.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9.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9.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9.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9.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9.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9.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9.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9.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9.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9.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9.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9.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9.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9.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9.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9.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9.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9.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9.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9.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9.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9.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9.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9.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9.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9.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9.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9.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9.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9.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9.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9.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9.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9.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9.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9.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9.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9.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9.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9.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9.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9.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9.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9.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9.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9.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9.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9.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9.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9.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9.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9.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9.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9.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9.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9.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9.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9.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9.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9.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9.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9.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9.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9.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9.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9.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9.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9.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9.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9.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9.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9.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9.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9.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9.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9.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9.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9.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9.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9.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9.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9.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9.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9.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9.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9.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9.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9.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9.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9.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9.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9.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9.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9.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9.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9.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9.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9.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9.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9.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9.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9.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9.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9.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9.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9.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9.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9.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9.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9.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9.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9.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9.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9.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9.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9.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9.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9.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9.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9.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9.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9.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9.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9.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9.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9.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9.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9.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9.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9.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9.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9.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9.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9.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9.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9.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9.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9.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9.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9.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9.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9.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9.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9.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9.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9.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9.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9.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9.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9.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9.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9.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9.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9.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9.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9.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9.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9.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9.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9.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9.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9.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9.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9.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9.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9.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9.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9.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9.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9.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9.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9.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9.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9.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9.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9.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9.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9.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9.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9.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9.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9.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9.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9.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9.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9.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9.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9.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9.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9.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9.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9.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9.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9.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9.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9.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9.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9.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9.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9.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9.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9.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autoFilter ref="B3:N3" xr:uid="{81F61FBE-49EC-4C3E-9960-2FCB071BBA64}"/>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53125" defaultRowHeight="15" customHeight="1"/>
  <cols>
    <col min="1" max="1" width="34.453125" customWidth="1"/>
    <col min="2" max="2" width="66.7265625" customWidth="1"/>
    <col min="3" max="3" width="17" customWidth="1"/>
    <col min="4" max="4" width="18" customWidth="1"/>
    <col min="5" max="5" width="17.81640625" customWidth="1"/>
    <col min="6" max="6" width="16" customWidth="1"/>
    <col min="7" max="7" width="17.08984375" customWidth="1"/>
    <col min="8" max="8" width="13.7265625" customWidth="1"/>
    <col min="9" max="9" width="16" customWidth="1"/>
    <col min="10" max="10" width="17.453125" customWidth="1"/>
    <col min="11" max="11" width="15.08984375" customWidth="1"/>
    <col min="12" max="12" width="20.453125" customWidth="1"/>
    <col min="13" max="13" width="166.7265625" customWidth="1"/>
    <col min="14" max="26" width="8.26953125" customWidth="1"/>
  </cols>
  <sheetData>
    <row r="1" spans="1:26" ht="27.75" customHeight="1">
      <c r="A1" s="26" t="s">
        <v>0</v>
      </c>
      <c r="B1" s="27"/>
      <c r="C1" s="27"/>
      <c r="D1" s="27"/>
      <c r="E1" s="27"/>
      <c r="F1" s="27"/>
      <c r="G1" s="27"/>
      <c r="H1" s="27"/>
      <c r="I1" s="27"/>
      <c r="J1" s="27"/>
      <c r="K1" s="27"/>
      <c r="L1" s="27"/>
      <c r="M1" s="27"/>
      <c r="N1" s="2"/>
      <c r="O1" s="2"/>
      <c r="P1" s="2"/>
      <c r="Q1" s="2"/>
      <c r="R1" s="2"/>
      <c r="S1" s="2"/>
      <c r="T1" s="2"/>
      <c r="U1" s="2"/>
      <c r="V1" s="2"/>
      <c r="W1" s="2"/>
      <c r="X1" s="2"/>
      <c r="Y1" s="2"/>
      <c r="Z1" s="2"/>
    </row>
    <row r="2" spans="1:26" ht="27.75" customHeight="1">
      <c r="A2" s="1"/>
      <c r="B2" s="1"/>
      <c r="C2" s="1"/>
      <c r="D2" s="1" t="s">
        <v>1</v>
      </c>
      <c r="E2" s="1">
        <v>2000</v>
      </c>
      <c r="F2" s="1">
        <f>(225+325)/2</f>
        <v>275</v>
      </c>
      <c r="G2" s="1">
        <f>(56+46)/2</f>
        <v>51</v>
      </c>
      <c r="H2" s="1">
        <f>(44+77)/2</f>
        <v>60.5</v>
      </c>
      <c r="I2" s="1">
        <f>(36+25)/2</f>
        <v>30.5</v>
      </c>
      <c r="J2" s="1">
        <f>2300</f>
        <v>2300</v>
      </c>
      <c r="K2" s="1">
        <f>(25+30)/2</f>
        <v>27.5</v>
      </c>
      <c r="L2" s="1">
        <f>300</f>
        <v>300</v>
      </c>
      <c r="M2" s="1"/>
      <c r="N2" s="2"/>
      <c r="O2" s="2"/>
      <c r="P2" s="2"/>
      <c r="Q2" s="2"/>
      <c r="R2" s="2"/>
      <c r="S2" s="2"/>
      <c r="T2" s="2"/>
      <c r="U2" s="2"/>
      <c r="V2" s="2"/>
      <c r="W2" s="2"/>
      <c r="X2" s="2"/>
      <c r="Y2" s="2"/>
      <c r="Z2" s="2"/>
    </row>
    <row r="3" spans="1:26" ht="20.25" customHeight="1">
      <c r="A3" s="3" t="s">
        <v>2</v>
      </c>
      <c r="B3" s="3" t="s">
        <v>3</v>
      </c>
      <c r="C3" s="3" t="s">
        <v>4</v>
      </c>
      <c r="D3" s="3" t="s">
        <v>5</v>
      </c>
      <c r="E3" s="3" t="s">
        <v>6</v>
      </c>
      <c r="F3" s="3" t="s">
        <v>7</v>
      </c>
      <c r="G3" s="3" t="s">
        <v>8</v>
      </c>
      <c r="H3" s="3" t="s">
        <v>9</v>
      </c>
      <c r="I3" s="3" t="s">
        <v>10</v>
      </c>
      <c r="J3" s="3" t="s">
        <v>11</v>
      </c>
      <c r="K3" s="3" t="s">
        <v>12</v>
      </c>
      <c r="L3" s="3" t="s">
        <v>13</v>
      </c>
      <c r="M3" s="3" t="s">
        <v>14</v>
      </c>
      <c r="N3" s="2"/>
      <c r="O3" s="2"/>
      <c r="P3" s="2"/>
      <c r="Q3" s="2"/>
      <c r="R3" s="2"/>
      <c r="S3" s="2"/>
      <c r="T3" s="2"/>
      <c r="U3" s="2"/>
      <c r="V3" s="2"/>
      <c r="W3" s="2"/>
      <c r="X3" s="2"/>
      <c r="Y3" s="2"/>
      <c r="Z3" s="2"/>
    </row>
    <row r="4" spans="1:26" ht="20.25" customHeight="1">
      <c r="A4" s="14" t="s">
        <v>597</v>
      </c>
      <c r="B4" s="15" t="s">
        <v>1072</v>
      </c>
      <c r="C4" s="16">
        <v>1</v>
      </c>
      <c r="D4" s="17" t="s">
        <v>599</v>
      </c>
      <c r="E4" s="18">
        <v>0.125</v>
      </c>
      <c r="F4" s="18">
        <f>20/((225+325)/2)</f>
        <v>7.2727272727272724E-2</v>
      </c>
      <c r="G4" s="18">
        <f>3/((56+46)/2)</f>
        <v>5.8823529411764705E-2</v>
      </c>
      <c r="H4" s="18">
        <f>18/((44+77)/2)</f>
        <v>0.2975206611570248</v>
      </c>
      <c r="I4" s="18">
        <f>19/((36+25)/2)</f>
        <v>0.62295081967213117</v>
      </c>
      <c r="J4" s="18">
        <f>40/(2300)</f>
        <v>1.7391304347826087E-2</v>
      </c>
      <c r="K4" s="18">
        <f>1/((25+30)/2)</f>
        <v>3.6363636363636362E-2</v>
      </c>
      <c r="L4" s="18">
        <f t="shared" ref="L4:L5" si="0">45/(300)</f>
        <v>0.15</v>
      </c>
      <c r="M4" s="17" t="s">
        <v>600</v>
      </c>
      <c r="N4" s="2"/>
      <c r="O4" s="2"/>
      <c r="P4" s="2"/>
      <c r="Q4" s="2"/>
      <c r="R4" s="2"/>
      <c r="S4" s="2"/>
      <c r="T4" s="2"/>
      <c r="U4" s="2"/>
      <c r="V4" s="2"/>
      <c r="W4" s="2"/>
      <c r="X4" s="2"/>
      <c r="Y4" s="2"/>
      <c r="Z4" s="2"/>
    </row>
    <row r="5" spans="1:26" ht="19.5" customHeight="1">
      <c r="A5" s="19" t="s">
        <v>253</v>
      </c>
      <c r="B5" s="20" t="s">
        <v>254</v>
      </c>
      <c r="C5" s="21">
        <v>42</v>
      </c>
      <c r="D5" s="22" t="s">
        <v>226</v>
      </c>
      <c r="E5" s="18">
        <v>0.09</v>
      </c>
      <c r="F5" s="18">
        <f>0/((225+325)/2)</f>
        <v>0</v>
      </c>
      <c r="G5" s="18">
        <f>12/((56+46)/2)</f>
        <v>0.23529411764705882</v>
      </c>
      <c r="H5" s="18">
        <f>13/((44+77)/2)</f>
        <v>0.21487603305785125</v>
      </c>
      <c r="I5" s="18">
        <f>0/((36+25)/2)</f>
        <v>0</v>
      </c>
      <c r="J5" s="18">
        <f>330/(2300)</f>
        <v>0.14347826086956522</v>
      </c>
      <c r="K5" s="18">
        <f>0/((25+30)/2)</f>
        <v>0</v>
      </c>
      <c r="L5" s="18">
        <f t="shared" si="0"/>
        <v>0.15</v>
      </c>
      <c r="M5" s="22" t="s">
        <v>255</v>
      </c>
      <c r="N5" s="2"/>
      <c r="O5" s="2"/>
      <c r="P5" s="2"/>
      <c r="Q5" s="2"/>
      <c r="R5" s="2"/>
      <c r="S5" s="2"/>
      <c r="T5" s="2"/>
      <c r="U5" s="2"/>
      <c r="V5" s="2"/>
      <c r="W5" s="2"/>
      <c r="X5" s="2"/>
      <c r="Y5" s="2"/>
      <c r="Z5" s="2"/>
    </row>
    <row r="6" spans="1:26" ht="19.5" customHeight="1">
      <c r="A6" s="19" t="s">
        <v>601</v>
      </c>
      <c r="B6" s="20" t="s">
        <v>602</v>
      </c>
      <c r="C6" s="21">
        <v>1</v>
      </c>
      <c r="D6" s="22" t="s">
        <v>17</v>
      </c>
      <c r="E6" s="18">
        <v>0.06</v>
      </c>
      <c r="F6" s="18">
        <f>23/((225+325)/2)</f>
        <v>8.3636363636363634E-2</v>
      </c>
      <c r="G6" s="18">
        <f t="shared" ref="G6:G7" si="1">2/((56+46)/2)</f>
        <v>3.9215686274509803E-2</v>
      </c>
      <c r="H6" s="18">
        <f>2.5/((44+77)/2)</f>
        <v>4.1322314049586778E-2</v>
      </c>
      <c r="I6" s="18">
        <f>7/((36+25)/2)</f>
        <v>0.22950819672131148</v>
      </c>
      <c r="J6" s="18">
        <f>190/(2300)</f>
        <v>8.2608695652173908E-2</v>
      </c>
      <c r="K6" s="18">
        <f>3/((25+30)/2)</f>
        <v>0.10909090909090909</v>
      </c>
      <c r="L6" s="18">
        <f t="shared" ref="L6:L8" si="2">0/(300)</f>
        <v>0</v>
      </c>
      <c r="M6" s="22" t="s">
        <v>603</v>
      </c>
      <c r="N6" s="2"/>
      <c r="O6" s="2"/>
      <c r="P6" s="2"/>
      <c r="Q6" s="2"/>
      <c r="R6" s="2"/>
      <c r="S6" s="2"/>
      <c r="T6" s="2"/>
      <c r="U6" s="2"/>
      <c r="V6" s="2"/>
      <c r="W6" s="2"/>
      <c r="X6" s="2"/>
      <c r="Y6" s="2"/>
      <c r="Z6" s="2"/>
    </row>
    <row r="7" spans="1:26" ht="19.5" customHeight="1">
      <c r="A7" s="19" t="s">
        <v>469</v>
      </c>
      <c r="B7" s="20" t="s">
        <v>470</v>
      </c>
      <c r="C7" s="21">
        <v>2</v>
      </c>
      <c r="D7" s="22" t="s">
        <v>31</v>
      </c>
      <c r="E7" s="18">
        <v>0.1</v>
      </c>
      <c r="F7" s="18">
        <f>22/((225+325)/2)</f>
        <v>0.08</v>
      </c>
      <c r="G7" s="18">
        <f t="shared" si="1"/>
        <v>3.9215686274509803E-2</v>
      </c>
      <c r="H7" s="18">
        <f>12/((44+77)/2)</f>
        <v>0.19834710743801653</v>
      </c>
      <c r="I7" s="18">
        <f>21/((36+25)/2)</f>
        <v>0.68852459016393441</v>
      </c>
      <c r="J7" s="18">
        <f>35/(2300)</f>
        <v>1.5217391304347827E-2</v>
      </c>
      <c r="K7" s="18">
        <f>1/((25+30)/2)</f>
        <v>3.6363636363636362E-2</v>
      </c>
      <c r="L7" s="18">
        <f t="shared" si="2"/>
        <v>0</v>
      </c>
      <c r="M7" s="22" t="s">
        <v>1073</v>
      </c>
      <c r="N7" s="2"/>
      <c r="O7" s="2"/>
      <c r="P7" s="2"/>
      <c r="Q7" s="2"/>
      <c r="R7" s="2"/>
      <c r="S7" s="2"/>
      <c r="T7" s="2"/>
      <c r="U7" s="2"/>
      <c r="V7" s="2"/>
      <c r="W7" s="2"/>
      <c r="X7" s="2"/>
      <c r="Y7" s="2"/>
      <c r="Z7" s="2"/>
    </row>
    <row r="8" spans="1:26" ht="19.5" customHeight="1">
      <c r="A8" s="19" t="s">
        <v>604</v>
      </c>
      <c r="B8" s="20" t="s">
        <v>605</v>
      </c>
      <c r="C8" s="21">
        <v>1</v>
      </c>
      <c r="D8" s="22" t="s">
        <v>606</v>
      </c>
      <c r="E8" s="18">
        <v>0.16500000000000001</v>
      </c>
      <c r="F8" s="18">
        <f>24/((225+325)/2)</f>
        <v>8.727272727272728E-2</v>
      </c>
      <c r="G8" s="18">
        <f>7/((56+46)/2)</f>
        <v>0.13725490196078433</v>
      </c>
      <c r="H8" s="18">
        <f>23/((44+77)/2)</f>
        <v>0.38016528925619836</v>
      </c>
      <c r="I8" s="18">
        <f>9/((36+25)/2)</f>
        <v>0.29508196721311475</v>
      </c>
      <c r="J8" s="18">
        <f>1300/(2300)</f>
        <v>0.56521739130434778</v>
      </c>
      <c r="K8" s="18">
        <f>4/((25+30)/2)</f>
        <v>0.14545454545454545</v>
      </c>
      <c r="L8" s="18">
        <f t="shared" si="2"/>
        <v>0</v>
      </c>
      <c r="M8" s="22" t="s">
        <v>1074</v>
      </c>
      <c r="N8" s="2"/>
      <c r="O8" s="2"/>
      <c r="P8" s="2"/>
      <c r="Q8" s="2"/>
      <c r="R8" s="2"/>
      <c r="S8" s="2"/>
      <c r="T8" s="2"/>
      <c r="U8" s="2"/>
      <c r="V8" s="2"/>
      <c r="W8" s="2"/>
      <c r="X8" s="2"/>
      <c r="Y8" s="2"/>
      <c r="Z8" s="2"/>
    </row>
    <row r="9" spans="1:26" ht="19.5" customHeight="1">
      <c r="A9" s="19" t="s">
        <v>49</v>
      </c>
      <c r="B9" s="20" t="s">
        <v>50</v>
      </c>
      <c r="C9" s="22" t="s">
        <v>54</v>
      </c>
      <c r="D9" s="22" t="s">
        <v>17</v>
      </c>
      <c r="E9" s="18">
        <v>0.14000000000000001</v>
      </c>
      <c r="F9" s="18">
        <f>33/((225+325)/2)</f>
        <v>0.12</v>
      </c>
      <c r="G9" s="18">
        <f>5/((56+46)/2)</f>
        <v>9.8039215686274508E-2</v>
      </c>
      <c r="H9" s="18">
        <f>9/((44+77)/2)</f>
        <v>0.1487603305785124</v>
      </c>
      <c r="I9" s="18">
        <f>31/((36+25)/2)</f>
        <v>1.0163934426229508</v>
      </c>
      <c r="J9" s="18">
        <f>25/(2300)</f>
        <v>1.0869565217391304E-2</v>
      </c>
      <c r="K9" s="18">
        <f>1/((25+30)/2)</f>
        <v>3.6363636363636362E-2</v>
      </c>
      <c r="L9" s="18">
        <f>155/(300)</f>
        <v>0.51666666666666672</v>
      </c>
      <c r="M9" s="22" t="s">
        <v>51</v>
      </c>
      <c r="N9" s="2"/>
      <c r="O9" s="2"/>
      <c r="P9" s="2"/>
      <c r="Q9" s="2"/>
      <c r="R9" s="2"/>
      <c r="S9" s="2"/>
      <c r="T9" s="2"/>
      <c r="U9" s="2"/>
      <c r="V9" s="2"/>
      <c r="W9" s="2"/>
      <c r="X9" s="2"/>
      <c r="Y9" s="2"/>
      <c r="Z9" s="2"/>
    </row>
    <row r="10" spans="1:26" ht="19.5" customHeight="1">
      <c r="A10" s="19" t="s">
        <v>64</v>
      </c>
      <c r="B10" s="20" t="s">
        <v>1075</v>
      </c>
      <c r="C10" s="22" t="s">
        <v>69</v>
      </c>
      <c r="D10" s="22" t="s">
        <v>17</v>
      </c>
      <c r="E10" s="18">
        <v>0.08</v>
      </c>
      <c r="F10" s="18">
        <f>35/((225+325)/2)</f>
        <v>0.12727272727272726</v>
      </c>
      <c r="G10" s="18">
        <f>3/((56+46)/2)</f>
        <v>5.8823529411764705E-2</v>
      </c>
      <c r="H10" s="18">
        <f>0/((44+77)/2)</f>
        <v>0</v>
      </c>
      <c r="I10" s="18">
        <f t="shared" ref="I10:I11" si="3">2/((36+25)/2)</f>
        <v>6.5573770491803282E-2</v>
      </c>
      <c r="J10" s="18">
        <f t="shared" ref="J10:J11" si="4">410/(2300)</f>
        <v>0.17826086956521739</v>
      </c>
      <c r="K10" s="18">
        <f t="shared" ref="K10:K11" si="5">2/((25+30)/2)</f>
        <v>7.2727272727272724E-2</v>
      </c>
      <c r="L10" s="18">
        <f>0/(300)</f>
        <v>0</v>
      </c>
      <c r="M10" s="22" t="s">
        <v>66</v>
      </c>
      <c r="N10" s="2"/>
      <c r="O10" s="2"/>
      <c r="P10" s="2"/>
      <c r="Q10" s="2"/>
      <c r="R10" s="2"/>
      <c r="S10" s="2"/>
      <c r="T10" s="2"/>
      <c r="U10" s="2"/>
      <c r="V10" s="2"/>
      <c r="W10" s="2"/>
      <c r="X10" s="2"/>
      <c r="Y10" s="2"/>
      <c r="Z10" s="2"/>
    </row>
    <row r="11" spans="1:26" ht="19.5" customHeight="1">
      <c r="A11" s="19" t="s">
        <v>608</v>
      </c>
      <c r="B11" s="20" t="s">
        <v>609</v>
      </c>
      <c r="C11" s="21">
        <v>1</v>
      </c>
      <c r="D11" s="22" t="s">
        <v>17</v>
      </c>
      <c r="E11" s="18">
        <v>8.5000000000000006E-2</v>
      </c>
      <c r="F11" s="18">
        <f>22/((225+325)/2)</f>
        <v>0.08</v>
      </c>
      <c r="G11" s="18">
        <f>10/((56+46)/2)</f>
        <v>0.19607843137254902</v>
      </c>
      <c r="H11" s="18">
        <f>5/((44+77)/2)</f>
        <v>8.2644628099173556E-2</v>
      </c>
      <c r="I11" s="18">
        <f t="shared" si="3"/>
        <v>6.5573770491803282E-2</v>
      </c>
      <c r="J11" s="18">
        <f t="shared" si="4"/>
        <v>0.17826086956521739</v>
      </c>
      <c r="K11" s="18">
        <f t="shared" si="5"/>
        <v>7.2727272727272724E-2</v>
      </c>
      <c r="L11" s="18">
        <f>15/(300)</f>
        <v>0.05</v>
      </c>
      <c r="M11" s="22" t="s">
        <v>610</v>
      </c>
      <c r="N11" s="2"/>
      <c r="O11" s="2"/>
      <c r="P11" s="2"/>
      <c r="Q11" s="2"/>
      <c r="R11" s="2"/>
      <c r="S11" s="2"/>
      <c r="T11" s="2"/>
      <c r="U11" s="2"/>
      <c r="V11" s="2"/>
      <c r="W11" s="2"/>
      <c r="X11" s="2"/>
      <c r="Y11" s="2"/>
      <c r="Z11" s="2"/>
    </row>
    <row r="12" spans="1:26" ht="19.5" customHeight="1">
      <c r="A12" s="19" t="s">
        <v>611</v>
      </c>
      <c r="B12" s="20" t="s">
        <v>612</v>
      </c>
      <c r="C12" s="21">
        <v>1</v>
      </c>
      <c r="D12" s="22" t="s">
        <v>613</v>
      </c>
      <c r="E12" s="18">
        <v>9.5000000000000001E-2</v>
      </c>
      <c r="F12" s="18">
        <f>15/((225+325)/2)</f>
        <v>5.4545454545454543E-2</v>
      </c>
      <c r="G12" s="18">
        <f>23/((56+46)/2)</f>
        <v>0.45098039215686275</v>
      </c>
      <c r="H12" s="18">
        <f>4/((44+77)/2)</f>
        <v>6.6115702479338845E-2</v>
      </c>
      <c r="I12" s="18">
        <f>8/((36+25)/2)</f>
        <v>0.26229508196721313</v>
      </c>
      <c r="J12" s="18">
        <f>500/(2300)</f>
        <v>0.21739130434782608</v>
      </c>
      <c r="K12" s="18">
        <f t="shared" ref="K12:K14" si="6">4/((25+30)/2)</f>
        <v>0.14545454545454545</v>
      </c>
      <c r="L12" s="18">
        <f>75/(300)</f>
        <v>0.25</v>
      </c>
      <c r="M12" s="22" t="s">
        <v>614</v>
      </c>
      <c r="N12" s="2"/>
      <c r="O12" s="2"/>
      <c r="P12" s="2"/>
      <c r="Q12" s="2"/>
      <c r="R12" s="2"/>
      <c r="S12" s="2"/>
      <c r="T12" s="2"/>
      <c r="U12" s="2"/>
      <c r="V12" s="2"/>
      <c r="W12" s="2"/>
      <c r="X12" s="2"/>
      <c r="Y12" s="2"/>
      <c r="Z12" s="2"/>
    </row>
    <row r="13" spans="1:26" ht="43.5" customHeight="1">
      <c r="A13" s="19" t="s">
        <v>615</v>
      </c>
      <c r="B13" s="20" t="s">
        <v>616</v>
      </c>
      <c r="C13" s="21">
        <v>1</v>
      </c>
      <c r="D13" s="22" t="s">
        <v>617</v>
      </c>
      <c r="E13" s="18">
        <v>4.4999999999999998E-2</v>
      </c>
      <c r="F13" s="18">
        <f>17/((225+325)/2)</f>
        <v>6.1818181818181821E-2</v>
      </c>
      <c r="G13" s="18">
        <f>4/((56+46)/2)</f>
        <v>7.8431372549019607E-2</v>
      </c>
      <c r="H13" s="18">
        <f>1.5/((44+77)/2)</f>
        <v>2.4793388429752067E-2</v>
      </c>
      <c r="I13" s="18">
        <f>3/((36+25)/2)</f>
        <v>9.8360655737704916E-2</v>
      </c>
      <c r="J13" s="18">
        <f>80/(2300)</f>
        <v>3.4782608695652174E-2</v>
      </c>
      <c r="K13" s="18">
        <f t="shared" si="6"/>
        <v>0.14545454545454545</v>
      </c>
      <c r="L13" s="18">
        <f>0/(300)</f>
        <v>0</v>
      </c>
      <c r="M13" s="23" t="s">
        <v>1076</v>
      </c>
      <c r="N13" s="2"/>
      <c r="O13" s="2"/>
      <c r="P13" s="2"/>
      <c r="Q13" s="2"/>
      <c r="R13" s="2"/>
      <c r="S13" s="2"/>
      <c r="T13" s="2"/>
      <c r="U13" s="2"/>
      <c r="V13" s="2"/>
      <c r="W13" s="2"/>
      <c r="X13" s="2"/>
      <c r="Y13" s="2"/>
      <c r="Z13" s="2"/>
    </row>
    <row r="14" spans="1:26" ht="19.5" customHeight="1">
      <c r="A14" s="19" t="s">
        <v>619</v>
      </c>
      <c r="B14" s="20" t="s">
        <v>620</v>
      </c>
      <c r="C14" s="21">
        <v>1</v>
      </c>
      <c r="D14" s="22" t="s">
        <v>613</v>
      </c>
      <c r="E14" s="18">
        <v>9.5000000000000001E-2</v>
      </c>
      <c r="F14" s="18">
        <f>8/((225+325)/2)</f>
        <v>2.9090909090909091E-2</v>
      </c>
      <c r="G14" s="18">
        <f>28/((56+46)/2)</f>
        <v>0.5490196078431373</v>
      </c>
      <c r="H14" s="18">
        <f>5/((44+77)/2)</f>
        <v>8.2644628099173556E-2</v>
      </c>
      <c r="I14" s="18">
        <f>2/((36+25)/2)</f>
        <v>6.5573770491803282E-2</v>
      </c>
      <c r="J14" s="18">
        <f>600/(2300)</f>
        <v>0.2608695652173913</v>
      </c>
      <c r="K14" s="18">
        <f t="shared" si="6"/>
        <v>0.14545454545454545</v>
      </c>
      <c r="L14" s="18">
        <f>85/(300)</f>
        <v>0.28333333333333333</v>
      </c>
      <c r="M14" s="22" t="s">
        <v>621</v>
      </c>
      <c r="N14" s="2"/>
      <c r="O14" s="2"/>
      <c r="P14" s="2"/>
      <c r="Q14" s="2"/>
      <c r="R14" s="2"/>
      <c r="S14" s="2"/>
      <c r="T14" s="2"/>
      <c r="U14" s="2"/>
      <c r="V14" s="2"/>
      <c r="W14" s="2"/>
      <c r="X14" s="2"/>
      <c r="Y14" s="2"/>
      <c r="Z14" s="2"/>
    </row>
    <row r="15" spans="1:26" ht="19.5" customHeight="1">
      <c r="A15" s="19" t="s">
        <v>127</v>
      </c>
      <c r="B15" s="20" t="s">
        <v>128</v>
      </c>
      <c r="C15" s="22" t="s">
        <v>145</v>
      </c>
      <c r="D15" s="22" t="s">
        <v>17</v>
      </c>
      <c r="E15" s="18">
        <v>7.0000000000000007E-2</v>
      </c>
      <c r="F15" s="18">
        <f t="shared" ref="F15:F16" si="7">20/((225+325)/2)</f>
        <v>7.2727272727272724E-2</v>
      </c>
      <c r="G15" s="18">
        <f t="shared" ref="G15:G16" si="8">3/((56+46)/2)</f>
        <v>5.8823529411764705E-2</v>
      </c>
      <c r="H15" s="18">
        <f>6/((44+77)/2)</f>
        <v>9.9173553719008267E-2</v>
      </c>
      <c r="I15" s="18">
        <f>6/((36+25)/2)</f>
        <v>0.19672131147540983</v>
      </c>
      <c r="J15" s="18">
        <f>125/(2300)</f>
        <v>5.434782608695652E-2</v>
      </c>
      <c r="K15" s="18">
        <f t="shared" ref="K15:K16" si="9">2/((25+30)/2)</f>
        <v>7.2727272727272724E-2</v>
      </c>
      <c r="L15" s="18">
        <f t="shared" ref="L15:L16" si="10">0/(300)</f>
        <v>0</v>
      </c>
      <c r="M15" s="22" t="s">
        <v>129</v>
      </c>
      <c r="N15" s="2"/>
      <c r="O15" s="2"/>
      <c r="P15" s="2"/>
      <c r="Q15" s="2"/>
      <c r="R15" s="2"/>
      <c r="S15" s="2"/>
      <c r="T15" s="2"/>
      <c r="U15" s="2"/>
      <c r="V15" s="2"/>
      <c r="W15" s="2"/>
      <c r="X15" s="2"/>
      <c r="Y15" s="2"/>
      <c r="Z15" s="2"/>
    </row>
    <row r="16" spans="1:26" ht="19.5" customHeight="1">
      <c r="A16" s="19" t="s">
        <v>130</v>
      </c>
      <c r="B16" s="20" t="s">
        <v>131</v>
      </c>
      <c r="C16" s="22" t="s">
        <v>145</v>
      </c>
      <c r="D16" s="22" t="s">
        <v>17</v>
      </c>
      <c r="E16" s="18">
        <v>7.0000000000000007E-2</v>
      </c>
      <c r="F16" s="18">
        <f t="shared" si="7"/>
        <v>7.2727272727272724E-2</v>
      </c>
      <c r="G16" s="18">
        <f t="shared" si="8"/>
        <v>5.8823529411764705E-2</v>
      </c>
      <c r="H16" s="18">
        <f>5/((44+77)/2)</f>
        <v>8.2644628099173556E-2</v>
      </c>
      <c r="I16" s="18">
        <f>7/((36+25)/2)</f>
        <v>0.22950819672131148</v>
      </c>
      <c r="J16" s="18">
        <f>110/(2300)</f>
        <v>4.7826086956521741E-2</v>
      </c>
      <c r="K16" s="18">
        <f t="shared" si="9"/>
        <v>7.2727272727272724E-2</v>
      </c>
      <c r="L16" s="18">
        <f t="shared" si="10"/>
        <v>0</v>
      </c>
      <c r="M16" s="22" t="s">
        <v>132</v>
      </c>
      <c r="N16" s="2"/>
      <c r="O16" s="2"/>
      <c r="P16" s="2"/>
      <c r="Q16" s="2"/>
      <c r="R16" s="2"/>
      <c r="S16" s="2"/>
      <c r="T16" s="2"/>
      <c r="U16" s="2"/>
      <c r="V16" s="2"/>
      <c r="W16" s="2"/>
      <c r="X16" s="2"/>
      <c r="Y16" s="2"/>
      <c r="Z16" s="2"/>
    </row>
    <row r="17" spans="1:26" ht="19.5" customHeight="1">
      <c r="A17" s="19" t="s">
        <v>622</v>
      </c>
      <c r="B17" s="20" t="s">
        <v>623</v>
      </c>
      <c r="C17" s="21">
        <v>1</v>
      </c>
      <c r="D17" s="22" t="s">
        <v>624</v>
      </c>
      <c r="E17" s="18">
        <v>0.08</v>
      </c>
      <c r="F17" s="18">
        <f>18/((225+325)/2)</f>
        <v>6.545454545454546E-2</v>
      </c>
      <c r="G17" s="18">
        <f>5/((56+46)/2)</f>
        <v>9.8039215686274508E-2</v>
      </c>
      <c r="H17" s="18">
        <f>12/((44+77)/2)</f>
        <v>0.19834710743801653</v>
      </c>
      <c r="I17" s="18">
        <f>1/((36+25)/2)</f>
        <v>3.2786885245901641E-2</v>
      </c>
      <c r="J17" s="18">
        <f>280/(2300)</f>
        <v>0.12173913043478261</v>
      </c>
      <c r="K17" s="18">
        <f>4/((25+30)/2)</f>
        <v>0.14545454545454545</v>
      </c>
      <c r="L17" s="18">
        <f>70/(300)</f>
        <v>0.23333333333333334</v>
      </c>
      <c r="M17" s="22" t="s">
        <v>625</v>
      </c>
      <c r="N17" s="2"/>
      <c r="O17" s="2"/>
      <c r="P17" s="2"/>
      <c r="Q17" s="2"/>
      <c r="R17" s="2"/>
      <c r="S17" s="2"/>
      <c r="T17" s="2"/>
      <c r="U17" s="2"/>
      <c r="V17" s="2"/>
      <c r="W17" s="2"/>
      <c r="X17" s="2"/>
      <c r="Y17" s="2"/>
      <c r="Z17" s="2"/>
    </row>
    <row r="18" spans="1:26" ht="19.5" customHeight="1">
      <c r="A18" s="19" t="s">
        <v>472</v>
      </c>
      <c r="B18" s="20" t="s">
        <v>473</v>
      </c>
      <c r="C18" s="21">
        <v>2</v>
      </c>
      <c r="D18" s="22" t="s">
        <v>474</v>
      </c>
      <c r="E18" s="18">
        <v>4.4999999999999998E-2</v>
      </c>
      <c r="F18" s="18">
        <f>14/((225+325)/2)</f>
        <v>5.0909090909090911E-2</v>
      </c>
      <c r="G18" s="18">
        <f>2/((56+46)/2)</f>
        <v>3.9215686274509803E-2</v>
      </c>
      <c r="H18" s="18">
        <f>2.5/((44+77)/2)</f>
        <v>4.1322314049586778E-2</v>
      </c>
      <c r="I18" s="18">
        <f>0/((36+25)/2)</f>
        <v>0</v>
      </c>
      <c r="J18" s="18">
        <f>210/(2300)</f>
        <v>9.1304347826086957E-2</v>
      </c>
      <c r="K18" s="18">
        <f>3/((25+30)/2)</f>
        <v>0.10909090909090909</v>
      </c>
      <c r="L18" s="18">
        <f>0/(300)</f>
        <v>0</v>
      </c>
      <c r="M18" s="22" t="s">
        <v>475</v>
      </c>
      <c r="N18" s="2"/>
      <c r="O18" s="2"/>
      <c r="P18" s="2"/>
      <c r="Q18" s="2"/>
      <c r="R18" s="2"/>
      <c r="S18" s="2"/>
      <c r="T18" s="2"/>
      <c r="U18" s="2"/>
      <c r="V18" s="2"/>
      <c r="W18" s="2"/>
      <c r="X18" s="2"/>
      <c r="Y18" s="2"/>
      <c r="Z18" s="2"/>
    </row>
    <row r="19" spans="1:26" ht="19.5" customHeight="1">
      <c r="A19" s="19" t="s">
        <v>150</v>
      </c>
      <c r="B19" s="20" t="s">
        <v>151</v>
      </c>
      <c r="C19" s="22" t="s">
        <v>155</v>
      </c>
      <c r="D19" s="22" t="s">
        <v>17</v>
      </c>
      <c r="E19" s="18">
        <v>4.4999999999999998E-2</v>
      </c>
      <c r="F19" s="18">
        <f>8/((225+325)/2)</f>
        <v>2.9090909090909091E-2</v>
      </c>
      <c r="G19" s="18">
        <f>3/((56+46)/2)</f>
        <v>5.8823529411764705E-2</v>
      </c>
      <c r="H19" s="18">
        <f t="shared" ref="H19:H20" si="11">5/((44+77)/2)</f>
        <v>8.2644628099173556E-2</v>
      </c>
      <c r="I19" s="18">
        <f>2/((36+25)/2)</f>
        <v>6.5573770491803282E-2</v>
      </c>
      <c r="J19" s="18">
        <f>430/(2300)</f>
        <v>0.18695652173913044</v>
      </c>
      <c r="K19" s="18">
        <f>2/((25+30)/2)</f>
        <v>7.2727272727272724E-2</v>
      </c>
      <c r="L19" s="18">
        <f>15/(300)</f>
        <v>0.05</v>
      </c>
      <c r="M19" s="22" t="s">
        <v>152</v>
      </c>
      <c r="N19" s="2"/>
      <c r="O19" s="2"/>
      <c r="P19" s="2"/>
      <c r="Q19" s="2"/>
      <c r="R19" s="2"/>
      <c r="S19" s="2"/>
      <c r="T19" s="2"/>
      <c r="U19" s="2"/>
      <c r="V19" s="2"/>
      <c r="W19" s="2"/>
      <c r="X19" s="2"/>
      <c r="Y19" s="2"/>
      <c r="Z19" s="2"/>
    </row>
    <row r="20" spans="1:26" ht="19.5" customHeight="1">
      <c r="A20" s="19" t="s">
        <v>438</v>
      </c>
      <c r="B20" s="20" t="s">
        <v>439</v>
      </c>
      <c r="C20" s="21">
        <v>3</v>
      </c>
      <c r="D20" s="22" t="s">
        <v>440</v>
      </c>
      <c r="E20" s="18">
        <v>4.4999999999999998E-2</v>
      </c>
      <c r="F20" s="18">
        <f t="shared" ref="F20:F21" si="12">1/((225+325)/2)</f>
        <v>3.6363636363636364E-3</v>
      </c>
      <c r="G20" s="18">
        <f>11/((56+46)/2)</f>
        <v>0.21568627450980393</v>
      </c>
      <c r="H20" s="18">
        <f t="shared" si="11"/>
        <v>8.2644628099173556E-2</v>
      </c>
      <c r="I20" s="18">
        <f>0/((36+25)/2)</f>
        <v>0</v>
      </c>
      <c r="J20" s="18">
        <f>440/(2300)</f>
        <v>0.19130434782608696</v>
      </c>
      <c r="K20" s="18">
        <f t="shared" ref="K20:K21" si="13">0/((25+30)/2)</f>
        <v>0</v>
      </c>
      <c r="L20" s="18">
        <f>45/(300)</f>
        <v>0.15</v>
      </c>
      <c r="M20" s="22" t="s">
        <v>441</v>
      </c>
      <c r="N20" s="2"/>
      <c r="O20" s="2"/>
      <c r="P20" s="2"/>
      <c r="Q20" s="2"/>
      <c r="R20" s="2"/>
      <c r="S20" s="2"/>
      <c r="T20" s="2"/>
      <c r="U20" s="2"/>
      <c r="V20" s="2"/>
      <c r="W20" s="2"/>
      <c r="X20" s="2"/>
      <c r="Y20" s="2"/>
      <c r="Z20" s="2"/>
    </row>
    <row r="21" spans="1:26" ht="19.5" customHeight="1">
      <c r="A21" s="19" t="s">
        <v>626</v>
      </c>
      <c r="B21" s="20" t="s">
        <v>627</v>
      </c>
      <c r="C21" s="21">
        <v>1</v>
      </c>
      <c r="D21" s="22" t="s">
        <v>628</v>
      </c>
      <c r="E21" s="18">
        <v>0.03</v>
      </c>
      <c r="F21" s="18">
        <f t="shared" si="12"/>
        <v>3.6363636363636364E-3</v>
      </c>
      <c r="G21" s="18">
        <f>5/((56+46)/2)</f>
        <v>9.8039215686274508E-2</v>
      </c>
      <c r="H21" s="18">
        <f>4/((44+77)/2)</f>
        <v>6.6115702479338845E-2</v>
      </c>
      <c r="I21" s="18">
        <f>1/((36+25)/2)</f>
        <v>3.2786885245901641E-2</v>
      </c>
      <c r="J21" s="18">
        <f>220/(2300)</f>
        <v>9.5652173913043481E-2</v>
      </c>
      <c r="K21" s="18">
        <f t="shared" si="13"/>
        <v>0</v>
      </c>
      <c r="L21" s="18">
        <f t="shared" ref="L21:L22" si="14">25/(300)</f>
        <v>8.3333333333333329E-2</v>
      </c>
      <c r="M21" s="22" t="s">
        <v>629</v>
      </c>
      <c r="N21" s="2"/>
      <c r="O21" s="2"/>
      <c r="P21" s="2"/>
      <c r="Q21" s="2"/>
      <c r="R21" s="2"/>
      <c r="S21" s="2"/>
      <c r="T21" s="2"/>
      <c r="U21" s="2"/>
      <c r="V21" s="2"/>
      <c r="W21" s="2"/>
      <c r="X21" s="2"/>
      <c r="Y21" s="2"/>
      <c r="Z21" s="2"/>
    </row>
    <row r="22" spans="1:26" ht="19.5" customHeight="1">
      <c r="A22" s="19" t="s">
        <v>630</v>
      </c>
      <c r="B22" s="20" t="s">
        <v>631</v>
      </c>
      <c r="C22" s="21">
        <v>1</v>
      </c>
      <c r="D22" s="22" t="s">
        <v>200</v>
      </c>
      <c r="E22" s="18">
        <v>5.5E-2</v>
      </c>
      <c r="F22" s="18">
        <f>21/((225+325)/2)</f>
        <v>7.636363636363637E-2</v>
      </c>
      <c r="G22" s="18">
        <f>3/((56+46)/2)</f>
        <v>5.8823529411764705E-2</v>
      </c>
      <c r="H22" s="18">
        <f>2/((44+77)/2)</f>
        <v>3.3057851239669422E-2</v>
      </c>
      <c r="I22" s="18">
        <f>10/((36+25)/2)</f>
        <v>0.32786885245901637</v>
      </c>
      <c r="J22" s="18">
        <f>125/(2300)</f>
        <v>5.434782608695652E-2</v>
      </c>
      <c r="K22" s="18">
        <f>2/((25+30)/2)</f>
        <v>7.2727272727272724E-2</v>
      </c>
      <c r="L22" s="18">
        <f t="shared" si="14"/>
        <v>8.3333333333333329E-2</v>
      </c>
      <c r="M22" s="22" t="s">
        <v>632</v>
      </c>
      <c r="N22" s="2"/>
      <c r="O22" s="2"/>
      <c r="P22" s="2"/>
      <c r="Q22" s="2"/>
      <c r="R22" s="2"/>
      <c r="S22" s="2"/>
      <c r="T22" s="2"/>
      <c r="U22" s="2"/>
      <c r="V22" s="2"/>
      <c r="W22" s="2"/>
      <c r="X22" s="2"/>
      <c r="Y22" s="2"/>
      <c r="Z22" s="2"/>
    </row>
    <row r="23" spans="1:26" ht="19.5" customHeight="1">
      <c r="A23" s="19" t="s">
        <v>633</v>
      </c>
      <c r="B23" s="20" t="s">
        <v>634</v>
      </c>
      <c r="C23" s="21">
        <v>1</v>
      </c>
      <c r="D23" s="22" t="s">
        <v>606</v>
      </c>
      <c r="E23" s="18">
        <v>0</v>
      </c>
      <c r="F23" s="18">
        <f t="shared" ref="F23:F24" si="15">0/((225+325)/2)</f>
        <v>0</v>
      </c>
      <c r="G23" s="18">
        <f t="shared" ref="G23:G24" si="16">0/((56+46)/2)</f>
        <v>0</v>
      </c>
      <c r="H23" s="18">
        <f t="shared" ref="H23:H24" si="17">0/((44+77)/2)</f>
        <v>0</v>
      </c>
      <c r="I23" s="18">
        <f t="shared" ref="I23:I24" si="18">0/((36+25)/2)</f>
        <v>0</v>
      </c>
      <c r="J23" s="18">
        <f>35/(2300)</f>
        <v>1.5217391304347827E-2</v>
      </c>
      <c r="K23" s="18">
        <f t="shared" ref="K23:K24" si="19">0/((25+30)/2)</f>
        <v>0</v>
      </c>
      <c r="L23" s="18">
        <f t="shared" ref="L23:L24" si="20">0/(300)</f>
        <v>0</v>
      </c>
      <c r="M23" s="22" t="s">
        <v>635</v>
      </c>
      <c r="N23" s="2"/>
      <c r="O23" s="2"/>
      <c r="P23" s="2"/>
      <c r="Q23" s="2"/>
      <c r="R23" s="2"/>
      <c r="S23" s="2"/>
      <c r="T23" s="2"/>
      <c r="U23" s="2"/>
      <c r="V23" s="2"/>
      <c r="W23" s="2"/>
      <c r="X23" s="2"/>
      <c r="Y23" s="2"/>
      <c r="Z23" s="2"/>
    </row>
    <row r="24" spans="1:26" ht="19.5" customHeight="1">
      <c r="A24" s="19" t="s">
        <v>636</v>
      </c>
      <c r="B24" s="20" t="s">
        <v>637</v>
      </c>
      <c r="C24" s="21">
        <v>1</v>
      </c>
      <c r="D24" s="22" t="s">
        <v>606</v>
      </c>
      <c r="E24" s="18">
        <v>0</v>
      </c>
      <c r="F24" s="18">
        <f t="shared" si="15"/>
        <v>0</v>
      </c>
      <c r="G24" s="18">
        <f t="shared" si="16"/>
        <v>0</v>
      </c>
      <c r="H24" s="18">
        <f t="shared" si="17"/>
        <v>0</v>
      </c>
      <c r="I24" s="18">
        <f t="shared" si="18"/>
        <v>0</v>
      </c>
      <c r="J24" s="18">
        <f>0/(2300)</f>
        <v>0</v>
      </c>
      <c r="K24" s="18">
        <f t="shared" si="19"/>
        <v>0</v>
      </c>
      <c r="L24" s="18">
        <f t="shared" si="20"/>
        <v>0</v>
      </c>
      <c r="M24" s="22" t="s">
        <v>638</v>
      </c>
      <c r="N24" s="2"/>
      <c r="O24" s="2"/>
      <c r="P24" s="2"/>
      <c r="Q24" s="2"/>
      <c r="R24" s="2"/>
      <c r="S24" s="2"/>
      <c r="T24" s="2"/>
      <c r="U24" s="2"/>
      <c r="V24" s="2"/>
      <c r="W24" s="2"/>
      <c r="X24" s="2"/>
      <c r="Y24" s="2"/>
      <c r="Z24" s="2"/>
    </row>
    <row r="25" spans="1:26" ht="19.5" customHeight="1">
      <c r="A25" s="19" t="s">
        <v>234</v>
      </c>
      <c r="B25" s="20" t="s">
        <v>235</v>
      </c>
      <c r="C25" s="21">
        <v>60</v>
      </c>
      <c r="D25" s="22" t="s">
        <v>236</v>
      </c>
      <c r="E25" s="18">
        <v>0.06</v>
      </c>
      <c r="F25" s="18">
        <f>18/((225+325)/2)</f>
        <v>6.545454545454546E-2</v>
      </c>
      <c r="G25" s="18">
        <f>3/((56+46)/2)</f>
        <v>5.8823529411764705E-2</v>
      </c>
      <c r="H25" s="18">
        <f>4/((44+77)/2)</f>
        <v>6.6115702479338845E-2</v>
      </c>
      <c r="I25" s="18">
        <f t="shared" ref="I25:I26" si="21">1/((36+25)/2)</f>
        <v>3.2786885245901641E-2</v>
      </c>
      <c r="J25" s="18">
        <f>230/(2300)</f>
        <v>0.1</v>
      </c>
      <c r="K25" s="18">
        <f>1/((25+30)/2)</f>
        <v>3.6363636363636362E-2</v>
      </c>
      <c r="L25" s="18">
        <f>2/(300)</f>
        <v>6.6666666666666671E-3</v>
      </c>
      <c r="M25" s="22" t="s">
        <v>237</v>
      </c>
      <c r="N25" s="2"/>
      <c r="O25" s="2"/>
      <c r="P25" s="2"/>
      <c r="Q25" s="2"/>
      <c r="R25" s="2"/>
      <c r="S25" s="2"/>
      <c r="T25" s="2"/>
      <c r="U25" s="2"/>
      <c r="V25" s="2"/>
      <c r="W25" s="2"/>
      <c r="X25" s="2"/>
      <c r="Y25" s="2"/>
      <c r="Z25" s="2"/>
    </row>
    <row r="26" spans="1:26" ht="19.5" customHeight="1">
      <c r="A26" s="19" t="s">
        <v>476</v>
      </c>
      <c r="B26" s="20" t="s">
        <v>477</v>
      </c>
      <c r="C26" s="21">
        <v>2</v>
      </c>
      <c r="D26" s="22" t="s">
        <v>31</v>
      </c>
      <c r="E26" s="18">
        <v>0.04</v>
      </c>
      <c r="F26" s="18">
        <f>1/((225+325)/2)</f>
        <v>3.6363636363636364E-3</v>
      </c>
      <c r="G26" s="18">
        <f>1/((56+46)/2)</f>
        <v>1.9607843137254902E-2</v>
      </c>
      <c r="H26" s="18">
        <f>8/((44+77)/2)</f>
        <v>0.13223140495867769</v>
      </c>
      <c r="I26" s="18">
        <f t="shared" si="21"/>
        <v>3.2786885245901641E-2</v>
      </c>
      <c r="J26" s="18">
        <f>75/(2300)</f>
        <v>3.2608695652173912E-2</v>
      </c>
      <c r="K26" s="18">
        <f>0/((25+30)/2)</f>
        <v>0</v>
      </c>
      <c r="L26" s="18">
        <f>25/(300)</f>
        <v>8.3333333333333329E-2</v>
      </c>
      <c r="M26" s="22" t="s">
        <v>478</v>
      </c>
      <c r="N26" s="2"/>
      <c r="O26" s="2"/>
      <c r="P26" s="2"/>
      <c r="Q26" s="2"/>
      <c r="R26" s="2"/>
      <c r="S26" s="2"/>
      <c r="T26" s="2"/>
      <c r="U26" s="2"/>
      <c r="V26" s="2"/>
      <c r="W26" s="2"/>
      <c r="X26" s="2"/>
      <c r="Y26" s="2"/>
      <c r="Z26" s="2"/>
    </row>
    <row r="27" spans="1:26" ht="19.5" customHeight="1">
      <c r="A27" s="19" t="s">
        <v>639</v>
      </c>
      <c r="B27" s="20" t="s">
        <v>640</v>
      </c>
      <c r="C27" s="21">
        <v>1</v>
      </c>
      <c r="D27" s="22" t="s">
        <v>76</v>
      </c>
      <c r="E27" s="18">
        <v>5.0000000000000001E-3</v>
      </c>
      <c r="F27" s="18">
        <f>0/((225+325)/2)</f>
        <v>0</v>
      </c>
      <c r="G27" s="18">
        <f>0/((56+46)/2)</f>
        <v>0</v>
      </c>
      <c r="H27" s="18">
        <f>1/((44+77)/2)</f>
        <v>1.6528925619834711E-2</v>
      </c>
      <c r="I27" s="18">
        <f>0/((36+25)/2)</f>
        <v>0</v>
      </c>
      <c r="J27" s="18">
        <f>35/(2300)</f>
        <v>1.5217391304347827E-2</v>
      </c>
      <c r="K27" s="18" t="s">
        <v>218</v>
      </c>
      <c r="L27" s="18" t="s">
        <v>218</v>
      </c>
      <c r="M27" s="22" t="s">
        <v>641</v>
      </c>
      <c r="N27" s="2"/>
      <c r="O27" s="2"/>
      <c r="P27" s="2"/>
      <c r="Q27" s="2"/>
      <c r="R27" s="2"/>
      <c r="S27" s="2"/>
      <c r="T27" s="2"/>
      <c r="U27" s="2"/>
      <c r="V27" s="2"/>
      <c r="W27" s="2"/>
      <c r="X27" s="2"/>
      <c r="Y27" s="2"/>
      <c r="Z27" s="2"/>
    </row>
    <row r="28" spans="1:26" ht="19.5" customHeight="1">
      <c r="A28" s="19" t="s">
        <v>479</v>
      </c>
      <c r="B28" s="20" t="s">
        <v>480</v>
      </c>
      <c r="C28" s="21">
        <v>2</v>
      </c>
      <c r="D28" s="22" t="s">
        <v>31</v>
      </c>
      <c r="E28" s="18">
        <v>9.5000000000000001E-2</v>
      </c>
      <c r="F28" s="18">
        <f>8/((225+325)/2)</f>
        <v>2.9090909090909091E-2</v>
      </c>
      <c r="G28" s="18">
        <f>7/((56+46)/2)</f>
        <v>0.13725490196078433</v>
      </c>
      <c r="H28" s="18">
        <f>16/((44+77)/2)</f>
        <v>0.26446280991735538</v>
      </c>
      <c r="I28" s="18">
        <f>4/((36+25)/2)</f>
        <v>0.13114754098360656</v>
      </c>
      <c r="J28" s="18">
        <f>80/(2300)</f>
        <v>3.4782608695652174E-2</v>
      </c>
      <c r="K28" s="18">
        <f>3/((25+30)/2)</f>
        <v>0.10909090909090909</v>
      </c>
      <c r="L28" s="18">
        <f t="shared" ref="L28:L31" si="22">0/(300)</f>
        <v>0</v>
      </c>
      <c r="M28" s="22" t="s">
        <v>481</v>
      </c>
      <c r="N28" s="2"/>
      <c r="O28" s="2"/>
      <c r="P28" s="2"/>
      <c r="Q28" s="2"/>
      <c r="R28" s="2"/>
      <c r="S28" s="2"/>
      <c r="T28" s="2"/>
      <c r="U28" s="2"/>
      <c r="V28" s="2"/>
      <c r="W28" s="2"/>
      <c r="X28" s="2"/>
      <c r="Y28" s="2"/>
      <c r="Z28" s="2"/>
    </row>
    <row r="29" spans="1:26" ht="19.5" customHeight="1">
      <c r="A29" s="19" t="s">
        <v>482</v>
      </c>
      <c r="B29" s="20" t="s">
        <v>483</v>
      </c>
      <c r="C29" s="21">
        <v>2</v>
      </c>
      <c r="D29" s="22" t="s">
        <v>205</v>
      </c>
      <c r="E29" s="18">
        <v>9.5000000000000001E-2</v>
      </c>
      <c r="F29" s="18">
        <f>32/((225+325)/2)</f>
        <v>0.11636363636363636</v>
      </c>
      <c r="G29" s="18">
        <f>14/((56+46)/2)</f>
        <v>0.27450980392156865</v>
      </c>
      <c r="H29" s="18">
        <f t="shared" ref="H29:H30" si="23">3.5/((44+77)/2)</f>
        <v>5.7851239669421489E-2</v>
      </c>
      <c r="I29" s="18">
        <f>5/((36+25)/2)</f>
        <v>0.16393442622950818</v>
      </c>
      <c r="J29" s="18">
        <f>60/(2300)</f>
        <v>2.6086956521739129E-2</v>
      </c>
      <c r="K29" s="18">
        <f>8/((25+30)/2)</f>
        <v>0.29090909090909089</v>
      </c>
      <c r="L29" s="18">
        <f t="shared" si="22"/>
        <v>0</v>
      </c>
      <c r="M29" s="22" t="s">
        <v>484</v>
      </c>
      <c r="N29" s="2"/>
      <c r="O29" s="2"/>
      <c r="P29" s="2"/>
      <c r="Q29" s="2"/>
      <c r="R29" s="2"/>
      <c r="S29" s="2"/>
      <c r="T29" s="2"/>
      <c r="U29" s="2"/>
      <c r="V29" s="2"/>
      <c r="W29" s="2"/>
      <c r="X29" s="2"/>
      <c r="Y29" s="2"/>
      <c r="Z29" s="2"/>
    </row>
    <row r="30" spans="1:26" ht="19.5" customHeight="1">
      <c r="A30" s="19" t="s">
        <v>485</v>
      </c>
      <c r="B30" s="20" t="s">
        <v>486</v>
      </c>
      <c r="C30" s="21">
        <v>2</v>
      </c>
      <c r="D30" s="22" t="s">
        <v>205</v>
      </c>
      <c r="E30" s="18">
        <v>0.09</v>
      </c>
      <c r="F30" s="18">
        <f>20/((225+325)/2)</f>
        <v>7.2727272727272724E-2</v>
      </c>
      <c r="G30" s="18">
        <f>24/((56+46)/2)</f>
        <v>0.47058823529411764</v>
      </c>
      <c r="H30" s="18">
        <f t="shared" si="23"/>
        <v>5.7851239669421489E-2</v>
      </c>
      <c r="I30" s="18">
        <f>3/((36+25)/2)</f>
        <v>9.8360655737704916E-2</v>
      </c>
      <c r="J30" s="18">
        <f>0/(2300)</f>
        <v>0</v>
      </c>
      <c r="K30" s="18">
        <f>13/((25+30)/2)</f>
        <v>0.47272727272727272</v>
      </c>
      <c r="L30" s="18">
        <f t="shared" si="22"/>
        <v>0</v>
      </c>
      <c r="M30" s="22" t="s">
        <v>492</v>
      </c>
      <c r="N30" s="2"/>
      <c r="O30" s="2"/>
      <c r="P30" s="2"/>
      <c r="Q30" s="2"/>
      <c r="R30" s="2"/>
      <c r="S30" s="2"/>
      <c r="T30" s="2"/>
      <c r="U30" s="2"/>
      <c r="V30" s="2"/>
      <c r="W30" s="2"/>
      <c r="X30" s="2"/>
      <c r="Y30" s="2"/>
      <c r="Z30" s="2"/>
    </row>
    <row r="31" spans="1:26" ht="19.5" customHeight="1">
      <c r="A31" s="19" t="s">
        <v>67</v>
      </c>
      <c r="B31" s="20" t="s">
        <v>68</v>
      </c>
      <c r="C31" s="22" t="s">
        <v>69</v>
      </c>
      <c r="D31" s="22" t="s">
        <v>17</v>
      </c>
      <c r="E31" s="18">
        <v>8.5000000000000006E-2</v>
      </c>
      <c r="F31" s="18">
        <f>30/((225+325)/2)</f>
        <v>0.10909090909090909</v>
      </c>
      <c r="G31" s="18">
        <f>11/((56+46)/2)</f>
        <v>0.21568627450980393</v>
      </c>
      <c r="H31" s="18">
        <f>3/((44+77)/2)</f>
        <v>4.9586776859504134E-2</v>
      </c>
      <c r="I31" s="18">
        <f t="shared" ref="I31:I34" si="24">1/((36+25)/2)</f>
        <v>3.2786885245901641E-2</v>
      </c>
      <c r="J31" s="18">
        <f>70/(2300)</f>
        <v>3.0434782608695653E-2</v>
      </c>
      <c r="K31" s="18">
        <f>5/((25+30)/2)</f>
        <v>0.18181818181818182</v>
      </c>
      <c r="L31" s="18">
        <f t="shared" si="22"/>
        <v>0</v>
      </c>
      <c r="M31" s="22" t="s">
        <v>70</v>
      </c>
      <c r="N31" s="2"/>
      <c r="O31" s="2"/>
      <c r="P31" s="2"/>
      <c r="Q31" s="2"/>
      <c r="R31" s="2"/>
      <c r="S31" s="2"/>
      <c r="T31" s="2"/>
      <c r="U31" s="2"/>
      <c r="V31" s="2"/>
      <c r="W31" s="2"/>
      <c r="X31" s="2"/>
      <c r="Y31" s="2"/>
      <c r="Z31" s="2"/>
    </row>
    <row r="32" spans="1:26" ht="19.5" customHeight="1">
      <c r="A32" s="19" t="s">
        <v>642</v>
      </c>
      <c r="B32" s="20" t="s">
        <v>643</v>
      </c>
      <c r="C32" s="21">
        <v>1</v>
      </c>
      <c r="D32" s="22" t="s">
        <v>624</v>
      </c>
      <c r="E32" s="18">
        <v>0.09</v>
      </c>
      <c r="F32" s="18">
        <f t="shared" ref="F32:F33" si="25">19/((225+325)/2)</f>
        <v>6.9090909090909092E-2</v>
      </c>
      <c r="G32" s="18">
        <f>5/((56+46)/2)</f>
        <v>9.8039215686274508E-2</v>
      </c>
      <c r="H32" s="18">
        <f>13/((44+77)/2)</f>
        <v>0.21487603305785125</v>
      </c>
      <c r="I32" s="18">
        <f t="shared" si="24"/>
        <v>3.2786885245901641E-2</v>
      </c>
      <c r="J32" s="18">
        <f>260/(2300)</f>
        <v>0.11304347826086956</v>
      </c>
      <c r="K32" s="18">
        <f>4/((25+30)/2)</f>
        <v>0.14545454545454545</v>
      </c>
      <c r="L32" s="18">
        <f>70/(300)</f>
        <v>0.23333333333333334</v>
      </c>
      <c r="M32" s="22" t="s">
        <v>644</v>
      </c>
      <c r="N32" s="2"/>
      <c r="O32" s="2"/>
      <c r="P32" s="2"/>
      <c r="Q32" s="2"/>
      <c r="R32" s="2"/>
      <c r="S32" s="2"/>
      <c r="T32" s="2"/>
      <c r="U32" s="2"/>
      <c r="V32" s="2"/>
      <c r="W32" s="2"/>
      <c r="X32" s="2"/>
      <c r="Y32" s="2"/>
      <c r="Z32" s="2"/>
    </row>
    <row r="33" spans="1:26" ht="19.5" customHeight="1">
      <c r="A33" s="19" t="s">
        <v>238</v>
      </c>
      <c r="B33" s="20" t="s">
        <v>239</v>
      </c>
      <c r="C33" s="21">
        <v>60</v>
      </c>
      <c r="D33" s="22" t="s">
        <v>236</v>
      </c>
      <c r="E33" s="18">
        <v>0.06</v>
      </c>
      <c r="F33" s="18">
        <f t="shared" si="25"/>
        <v>6.9090909090909092E-2</v>
      </c>
      <c r="G33" s="18">
        <f>3/((56+46)/2)</f>
        <v>5.8823529411764705E-2</v>
      </c>
      <c r="H33" s="18">
        <f>3.5/((44+77)/2)</f>
        <v>5.7851239669421489E-2</v>
      </c>
      <c r="I33" s="18">
        <f t="shared" si="24"/>
        <v>3.2786885245901641E-2</v>
      </c>
      <c r="J33" s="18">
        <f>230/(2300)</f>
        <v>0.1</v>
      </c>
      <c r="K33" s="18">
        <f>1/((25+30)/2)</f>
        <v>3.6363636363636362E-2</v>
      </c>
      <c r="L33" s="18">
        <f t="shared" ref="L33:L34" si="26">0/(300)</f>
        <v>0</v>
      </c>
      <c r="M33" s="22" t="s">
        <v>240</v>
      </c>
      <c r="N33" s="2"/>
      <c r="O33" s="2"/>
      <c r="P33" s="2"/>
      <c r="Q33" s="2"/>
      <c r="R33" s="2"/>
      <c r="S33" s="2"/>
      <c r="T33" s="2"/>
      <c r="U33" s="2"/>
      <c r="V33" s="2"/>
      <c r="W33" s="2"/>
      <c r="X33" s="2"/>
      <c r="Y33" s="2"/>
      <c r="Z33" s="2"/>
    </row>
    <row r="34" spans="1:26" ht="19.5" customHeight="1">
      <c r="A34" s="19" t="s">
        <v>645</v>
      </c>
      <c r="B34" s="20" t="s">
        <v>646</v>
      </c>
      <c r="C34" s="21">
        <v>1</v>
      </c>
      <c r="D34" s="22" t="s">
        <v>606</v>
      </c>
      <c r="E34" s="18">
        <v>2.5000000000000001E-3</v>
      </c>
      <c r="F34" s="18">
        <f>9/((225+325)/2)</f>
        <v>3.272727272727273E-2</v>
      </c>
      <c r="G34" s="18">
        <f>0/((56+46)/2)</f>
        <v>0</v>
      </c>
      <c r="H34" s="18">
        <f>0/((44+77)/2)</f>
        <v>0</v>
      </c>
      <c r="I34" s="18">
        <f t="shared" si="24"/>
        <v>3.2786885245901641E-2</v>
      </c>
      <c r="J34" s="18">
        <f>10/(2300)</f>
        <v>4.3478260869565218E-3</v>
      </c>
      <c r="K34" s="18">
        <f t="shared" ref="K34:K35" si="27">0/((25+30)/2)</f>
        <v>0</v>
      </c>
      <c r="L34" s="18">
        <f t="shared" si="26"/>
        <v>0</v>
      </c>
      <c r="M34" s="22" t="s">
        <v>1077</v>
      </c>
      <c r="N34" s="2"/>
      <c r="O34" s="2"/>
      <c r="P34" s="2"/>
      <c r="Q34" s="2"/>
      <c r="R34" s="2"/>
      <c r="S34" s="2"/>
      <c r="T34" s="2"/>
      <c r="U34" s="2"/>
      <c r="V34" s="2"/>
      <c r="W34" s="2"/>
      <c r="X34" s="2"/>
      <c r="Y34" s="2"/>
      <c r="Z34" s="2"/>
    </row>
    <row r="35" spans="1:26" ht="19.5" customHeight="1">
      <c r="A35" s="19" t="s">
        <v>648</v>
      </c>
      <c r="B35" s="20" t="s">
        <v>649</v>
      </c>
      <c r="C35" s="21">
        <v>1</v>
      </c>
      <c r="D35" s="22" t="s">
        <v>205</v>
      </c>
      <c r="E35" s="18">
        <v>2.2499999999999999E-2</v>
      </c>
      <c r="F35" s="18">
        <f>0/((225+325)/2)</f>
        <v>0</v>
      </c>
      <c r="G35" s="18">
        <f>5/((56+46)/2)</f>
        <v>9.8039215686274508E-2</v>
      </c>
      <c r="H35" s="18">
        <f>3/((44+77)/2)</f>
        <v>4.9586776859504134E-2</v>
      </c>
      <c r="I35" s="18">
        <f>0/((36+25)/2)</f>
        <v>0</v>
      </c>
      <c r="J35" s="18">
        <f>150/(2300)</f>
        <v>6.5217391304347824E-2</v>
      </c>
      <c r="K35" s="18">
        <f t="shared" si="27"/>
        <v>0</v>
      </c>
      <c r="L35" s="18">
        <f>10/(300)</f>
        <v>3.3333333333333333E-2</v>
      </c>
      <c r="M35" s="22" t="s">
        <v>650</v>
      </c>
      <c r="N35" s="2"/>
      <c r="O35" s="2"/>
      <c r="P35" s="2"/>
      <c r="Q35" s="2"/>
      <c r="R35" s="2"/>
      <c r="S35" s="2"/>
      <c r="T35" s="2"/>
      <c r="U35" s="2"/>
      <c r="V35" s="2"/>
      <c r="W35" s="2"/>
      <c r="X35" s="2"/>
      <c r="Y35" s="2"/>
      <c r="Z35" s="2"/>
    </row>
    <row r="36" spans="1:26" ht="19.5" customHeight="1">
      <c r="A36" s="19" t="s">
        <v>651</v>
      </c>
      <c r="B36" s="20" t="s">
        <v>652</v>
      </c>
      <c r="C36" s="21">
        <v>1</v>
      </c>
      <c r="D36" s="22" t="s">
        <v>31</v>
      </c>
      <c r="E36" s="18">
        <v>1.2500000000000001E-2</v>
      </c>
      <c r="F36" s="18">
        <f>6/((225+325)/2)</f>
        <v>2.181818181818182E-2</v>
      </c>
      <c r="G36" s="18">
        <f>0/((56+46)/2)</f>
        <v>0</v>
      </c>
      <c r="H36" s="18">
        <f>0/((44+77)/2)</f>
        <v>0</v>
      </c>
      <c r="I36" s="18">
        <f>6/((36+25)/2)</f>
        <v>0.19672131147540983</v>
      </c>
      <c r="J36" s="18">
        <f>0/(2300)</f>
        <v>0</v>
      </c>
      <c r="K36" s="18">
        <f>1/((25+30)/2)</f>
        <v>3.6363636363636362E-2</v>
      </c>
      <c r="L36" s="18">
        <f t="shared" ref="L36:L43" si="28">0/(300)</f>
        <v>0</v>
      </c>
      <c r="M36" s="22" t="s">
        <v>653</v>
      </c>
      <c r="N36" s="2"/>
      <c r="O36" s="2"/>
      <c r="P36" s="2"/>
      <c r="Q36" s="2"/>
      <c r="R36" s="2"/>
      <c r="S36" s="2"/>
      <c r="T36" s="2"/>
      <c r="U36" s="2"/>
      <c r="V36" s="2"/>
      <c r="W36" s="2"/>
      <c r="X36" s="2"/>
      <c r="Y36" s="2"/>
      <c r="Z36" s="2"/>
    </row>
    <row r="37" spans="1:26" ht="19.5" customHeight="1">
      <c r="A37" s="19" t="s">
        <v>493</v>
      </c>
      <c r="B37" s="20" t="s">
        <v>494</v>
      </c>
      <c r="C37" s="21">
        <v>2</v>
      </c>
      <c r="D37" s="22" t="s">
        <v>31</v>
      </c>
      <c r="E37" s="18">
        <v>9.5000000000000001E-2</v>
      </c>
      <c r="F37" s="18">
        <f>8/((225+325)/2)</f>
        <v>2.9090909090909091E-2</v>
      </c>
      <c r="G37" s="18">
        <f>6/((56+46)/2)</f>
        <v>0.11764705882352941</v>
      </c>
      <c r="H37" s="18">
        <f>16/((44+77)/2)</f>
        <v>0.26446280991735538</v>
      </c>
      <c r="I37" s="18">
        <f>3/((36+25)/2)</f>
        <v>9.8360655737704916E-2</v>
      </c>
      <c r="J37" s="18">
        <f>65/(2300)</f>
        <v>2.8260869565217391E-2</v>
      </c>
      <c r="K37" s="18">
        <f>3/((25+30)/2)</f>
        <v>0.10909090909090909</v>
      </c>
      <c r="L37" s="18">
        <f t="shared" si="28"/>
        <v>0</v>
      </c>
      <c r="M37" s="22" t="s">
        <v>495</v>
      </c>
      <c r="N37" s="2"/>
      <c r="O37" s="2"/>
      <c r="P37" s="2"/>
      <c r="Q37" s="2"/>
      <c r="R37" s="2"/>
      <c r="S37" s="2"/>
      <c r="T37" s="2"/>
      <c r="U37" s="2"/>
      <c r="V37" s="2"/>
      <c r="W37" s="2"/>
      <c r="X37" s="2"/>
      <c r="Y37" s="2"/>
      <c r="Z37" s="2"/>
    </row>
    <row r="38" spans="1:26" ht="19.5" customHeight="1">
      <c r="A38" s="19" t="s">
        <v>496</v>
      </c>
      <c r="B38" s="20" t="s">
        <v>497</v>
      </c>
      <c r="C38" s="21">
        <v>2</v>
      </c>
      <c r="D38" s="22" t="s">
        <v>31</v>
      </c>
      <c r="E38" s="18">
        <v>4.4999999999999998E-2</v>
      </c>
      <c r="F38" s="18">
        <f>3/((225+325)/2)</f>
        <v>1.090909090909091E-2</v>
      </c>
      <c r="G38" s="18">
        <f>0/((56+46)/2)</f>
        <v>0</v>
      </c>
      <c r="H38" s="18">
        <f>9/((44+77)/2)</f>
        <v>0.1487603305785124</v>
      </c>
      <c r="I38" s="18">
        <f>2/((36+25)/2)</f>
        <v>6.5573770491803282E-2</v>
      </c>
      <c r="J38" s="18">
        <f>170/(2300)</f>
        <v>7.3913043478260873E-2</v>
      </c>
      <c r="K38" s="18">
        <f t="shared" ref="K38:K39" si="29">0/((25+30)/2)</f>
        <v>0</v>
      </c>
      <c r="L38" s="18">
        <f t="shared" si="28"/>
        <v>0</v>
      </c>
      <c r="M38" s="22" t="s">
        <v>498</v>
      </c>
      <c r="N38" s="2"/>
      <c r="O38" s="2"/>
      <c r="P38" s="2"/>
      <c r="Q38" s="2"/>
      <c r="R38" s="2"/>
      <c r="S38" s="2"/>
      <c r="T38" s="2"/>
      <c r="U38" s="2"/>
      <c r="V38" s="2"/>
      <c r="W38" s="2"/>
      <c r="X38" s="2"/>
      <c r="Y38" s="2"/>
      <c r="Z38" s="2"/>
    </row>
    <row r="39" spans="1:26" ht="19.5" customHeight="1">
      <c r="A39" s="19" t="s">
        <v>499</v>
      </c>
      <c r="B39" s="20" t="s">
        <v>500</v>
      </c>
      <c r="C39" s="21">
        <v>2</v>
      </c>
      <c r="D39" s="22" t="s">
        <v>31</v>
      </c>
      <c r="E39" s="18">
        <v>0.06</v>
      </c>
      <c r="F39" s="18">
        <f>1/((225+325)/2)</f>
        <v>3.6363636363636364E-3</v>
      </c>
      <c r="G39" s="18">
        <f t="shared" ref="G39:G43" si="30">1/((56+46)/2)</f>
        <v>1.9607843137254902E-2</v>
      </c>
      <c r="H39" s="18">
        <f>13/((44+77)/2)</f>
        <v>0.21487603305785125</v>
      </c>
      <c r="I39" s="18">
        <f t="shared" ref="I39:I41" si="31">0/((36+25)/2)</f>
        <v>0</v>
      </c>
      <c r="J39" s="18">
        <f>260/(2300)</f>
        <v>0.11304347826086956</v>
      </c>
      <c r="K39" s="18">
        <f t="shared" si="29"/>
        <v>0</v>
      </c>
      <c r="L39" s="18">
        <f t="shared" si="28"/>
        <v>0</v>
      </c>
      <c r="M39" s="22" t="s">
        <v>501</v>
      </c>
      <c r="N39" s="2"/>
      <c r="O39" s="2"/>
      <c r="P39" s="2"/>
      <c r="Q39" s="2"/>
      <c r="R39" s="2"/>
      <c r="S39" s="2"/>
      <c r="T39" s="2"/>
      <c r="U39" s="2"/>
      <c r="V39" s="2"/>
      <c r="W39" s="2"/>
      <c r="X39" s="2"/>
      <c r="Y39" s="2"/>
      <c r="Z39" s="2"/>
    </row>
    <row r="40" spans="1:26" ht="19.5" customHeight="1">
      <c r="A40" s="19" t="s">
        <v>502</v>
      </c>
      <c r="B40" s="20" t="s">
        <v>503</v>
      </c>
      <c r="C40" s="21">
        <v>2</v>
      </c>
      <c r="D40" s="22" t="s">
        <v>31</v>
      </c>
      <c r="E40" s="18">
        <v>0.06</v>
      </c>
      <c r="F40" s="18">
        <f>2/((225+325)/2)</f>
        <v>7.2727272727272727E-3</v>
      </c>
      <c r="G40" s="18">
        <f t="shared" si="30"/>
        <v>1.9607843137254902E-2</v>
      </c>
      <c r="H40" s="18">
        <f>12/((44+77)/2)</f>
        <v>0.19834710743801653</v>
      </c>
      <c r="I40" s="18">
        <f t="shared" si="31"/>
        <v>0</v>
      </c>
      <c r="J40" s="18">
        <f>340/(2300)</f>
        <v>0.14782608695652175</v>
      </c>
      <c r="K40" s="18">
        <f>1/((25+30)/2)</f>
        <v>3.6363636363636362E-2</v>
      </c>
      <c r="L40" s="18">
        <f t="shared" si="28"/>
        <v>0</v>
      </c>
      <c r="M40" s="22" t="s">
        <v>504</v>
      </c>
      <c r="N40" s="2"/>
      <c r="O40" s="2"/>
      <c r="P40" s="2"/>
      <c r="Q40" s="2"/>
      <c r="R40" s="2"/>
      <c r="S40" s="2"/>
      <c r="T40" s="2"/>
      <c r="U40" s="2"/>
      <c r="V40" s="2"/>
      <c r="W40" s="2"/>
      <c r="X40" s="2"/>
      <c r="Y40" s="2"/>
      <c r="Z40" s="2"/>
    </row>
    <row r="41" spans="1:26" ht="19.5" customHeight="1">
      <c r="A41" s="19" t="s">
        <v>654</v>
      </c>
      <c r="B41" s="20" t="s">
        <v>655</v>
      </c>
      <c r="C41" s="21">
        <v>1</v>
      </c>
      <c r="D41" s="22" t="s">
        <v>31</v>
      </c>
      <c r="E41" s="18">
        <v>1.2500000000000001E-2</v>
      </c>
      <c r="F41" s="18">
        <f>3/((225+325)/2)</f>
        <v>1.090909090909091E-2</v>
      </c>
      <c r="G41" s="18">
        <f t="shared" si="30"/>
        <v>1.9607843137254902E-2</v>
      </c>
      <c r="H41" s="18">
        <f>1/((44+77)/2)</f>
        <v>1.6528925619834711E-2</v>
      </c>
      <c r="I41" s="18">
        <f t="shared" si="31"/>
        <v>0</v>
      </c>
      <c r="J41" s="18">
        <f>90/(2300)</f>
        <v>3.9130434782608699E-2</v>
      </c>
      <c r="K41" s="18">
        <f>0/((25+30)/2)</f>
        <v>0</v>
      </c>
      <c r="L41" s="18">
        <f t="shared" si="28"/>
        <v>0</v>
      </c>
      <c r="M41" s="22" t="s">
        <v>656</v>
      </c>
      <c r="N41" s="2"/>
      <c r="O41" s="2"/>
      <c r="P41" s="2"/>
      <c r="Q41" s="2"/>
      <c r="R41" s="2"/>
      <c r="S41" s="2"/>
      <c r="T41" s="2"/>
      <c r="U41" s="2"/>
      <c r="V41" s="2"/>
      <c r="W41" s="2"/>
      <c r="X41" s="2"/>
      <c r="Y41" s="2"/>
      <c r="Z41" s="2"/>
    </row>
    <row r="42" spans="1:26" ht="19.5" customHeight="1">
      <c r="A42" s="19" t="s">
        <v>153</v>
      </c>
      <c r="B42" s="20" t="s">
        <v>154</v>
      </c>
      <c r="C42" s="22" t="s">
        <v>155</v>
      </c>
      <c r="D42" s="22" t="s">
        <v>17</v>
      </c>
      <c r="E42" s="18">
        <v>1.2500000000000001E-2</v>
      </c>
      <c r="F42" s="18">
        <f t="shared" ref="F42:F43" si="32">5/((225+325)/2)</f>
        <v>1.8181818181818181E-2</v>
      </c>
      <c r="G42" s="18">
        <f t="shared" si="30"/>
        <v>1.9607843137254902E-2</v>
      </c>
      <c r="H42" s="18">
        <f t="shared" ref="H42:H43" si="33">0/((44+77)/2)</f>
        <v>0</v>
      </c>
      <c r="I42" s="18">
        <f>3/((36+25)/2)</f>
        <v>9.8360655737704916E-2</v>
      </c>
      <c r="J42" s="18">
        <f>190/(2300)</f>
        <v>8.2608695652173908E-2</v>
      </c>
      <c r="K42" s="18">
        <f>1/((25+30)/2)</f>
        <v>3.6363636363636362E-2</v>
      </c>
      <c r="L42" s="18">
        <f t="shared" si="28"/>
        <v>0</v>
      </c>
      <c r="M42" s="22" t="s">
        <v>156</v>
      </c>
      <c r="N42" s="2"/>
      <c r="O42" s="2"/>
      <c r="P42" s="2"/>
      <c r="Q42" s="2"/>
      <c r="R42" s="2"/>
      <c r="S42" s="2"/>
      <c r="T42" s="2"/>
      <c r="U42" s="2"/>
      <c r="V42" s="2"/>
      <c r="W42" s="2"/>
      <c r="X42" s="2"/>
      <c r="Y42" s="2"/>
      <c r="Z42" s="2"/>
    </row>
    <row r="43" spans="1:26" ht="19.5" customHeight="1">
      <c r="A43" s="19" t="s">
        <v>157</v>
      </c>
      <c r="B43" s="20" t="s">
        <v>158</v>
      </c>
      <c r="C43" s="22" t="s">
        <v>155</v>
      </c>
      <c r="D43" s="22" t="s">
        <v>17</v>
      </c>
      <c r="E43" s="18">
        <v>1.2500000000000001E-2</v>
      </c>
      <c r="F43" s="18">
        <f t="shared" si="32"/>
        <v>1.8181818181818181E-2</v>
      </c>
      <c r="G43" s="18">
        <f t="shared" si="30"/>
        <v>1.9607843137254902E-2</v>
      </c>
      <c r="H43" s="18">
        <f t="shared" si="33"/>
        <v>0</v>
      </c>
      <c r="I43" s="18">
        <f>4/((36+25)/2)</f>
        <v>0.13114754098360656</v>
      </c>
      <c r="J43" s="18">
        <f>20/(2300)</f>
        <v>8.6956521739130436E-3</v>
      </c>
      <c r="K43" s="18">
        <f>2/((25+30)/2)</f>
        <v>7.2727272727272724E-2</v>
      </c>
      <c r="L43" s="18">
        <f t="shared" si="28"/>
        <v>0</v>
      </c>
      <c r="M43" s="22" t="s">
        <v>159</v>
      </c>
      <c r="N43" s="2"/>
      <c r="O43" s="2"/>
      <c r="P43" s="2"/>
      <c r="Q43" s="2"/>
      <c r="R43" s="2"/>
      <c r="S43" s="2"/>
      <c r="T43" s="2"/>
      <c r="U43" s="2"/>
      <c r="V43" s="2"/>
      <c r="W43" s="2"/>
      <c r="X43" s="2"/>
      <c r="Y43" s="2"/>
      <c r="Z43" s="2"/>
    </row>
    <row r="44" spans="1:26" ht="19.5" customHeight="1">
      <c r="A44" s="19" t="s">
        <v>442</v>
      </c>
      <c r="B44" s="20" t="s">
        <v>443</v>
      </c>
      <c r="C44" s="21">
        <v>3</v>
      </c>
      <c r="D44" s="22" t="s">
        <v>205</v>
      </c>
      <c r="E44" s="18">
        <v>0.05</v>
      </c>
      <c r="F44" s="18">
        <f t="shared" ref="F44:F45" si="34">0/((225+325)/2)</f>
        <v>0</v>
      </c>
      <c r="G44" s="18">
        <f>21/((56+46)/2)</f>
        <v>0.41176470588235292</v>
      </c>
      <c r="H44" s="18">
        <f>2.5/((44+77)/2)</f>
        <v>4.1322314049586778E-2</v>
      </c>
      <c r="I44" s="18">
        <f t="shared" ref="I44:I45" si="35">0/((36+25)/2)</f>
        <v>0</v>
      </c>
      <c r="J44" s="18">
        <f>85/(2300)</f>
        <v>3.6956521739130437E-2</v>
      </c>
      <c r="K44" s="18">
        <f t="shared" ref="K44:K47" si="36">0/((25+30)/2)</f>
        <v>0</v>
      </c>
      <c r="L44" s="18">
        <f>20/(300)</f>
        <v>6.6666666666666666E-2</v>
      </c>
      <c r="M44" s="22" t="s">
        <v>444</v>
      </c>
      <c r="N44" s="2"/>
      <c r="O44" s="2"/>
      <c r="P44" s="2"/>
      <c r="Q44" s="2"/>
      <c r="R44" s="2"/>
      <c r="S44" s="2"/>
      <c r="T44" s="2"/>
      <c r="U44" s="2"/>
      <c r="V44" s="2"/>
      <c r="W44" s="2"/>
      <c r="X44" s="2"/>
      <c r="Y44" s="2"/>
      <c r="Z44" s="2"/>
    </row>
    <row r="45" spans="1:26" ht="19.5" customHeight="1">
      <c r="A45" s="19" t="s">
        <v>71</v>
      </c>
      <c r="B45" s="20" t="s">
        <v>72</v>
      </c>
      <c r="C45" s="22" t="s">
        <v>69</v>
      </c>
      <c r="D45" s="22" t="s">
        <v>17</v>
      </c>
      <c r="E45" s="18">
        <v>7.4999999999999997E-2</v>
      </c>
      <c r="F45" s="18">
        <f t="shared" si="34"/>
        <v>0</v>
      </c>
      <c r="G45" s="18">
        <f>16/((56+46)/2)</f>
        <v>0.31372549019607843</v>
      </c>
      <c r="H45" s="18">
        <f>9/((44+77)/2)</f>
        <v>0.1487603305785124</v>
      </c>
      <c r="I45" s="18">
        <f t="shared" si="35"/>
        <v>0</v>
      </c>
      <c r="J45" s="18">
        <f>100/(2300)</f>
        <v>4.3478260869565216E-2</v>
      </c>
      <c r="K45" s="18">
        <f t="shared" si="36"/>
        <v>0</v>
      </c>
      <c r="L45" s="18">
        <f>25/(300)</f>
        <v>8.3333333333333329E-2</v>
      </c>
      <c r="M45" s="22" t="s">
        <v>73</v>
      </c>
      <c r="N45" s="2"/>
      <c r="O45" s="2"/>
      <c r="P45" s="2"/>
      <c r="Q45" s="2"/>
      <c r="R45" s="2"/>
      <c r="S45" s="2"/>
      <c r="T45" s="2"/>
      <c r="U45" s="2"/>
      <c r="V45" s="2"/>
      <c r="W45" s="2"/>
      <c r="X45" s="2"/>
      <c r="Y45" s="2"/>
      <c r="Z45" s="2"/>
    </row>
    <row r="46" spans="1:26" ht="19.5" customHeight="1">
      <c r="A46" s="19" t="s">
        <v>657</v>
      </c>
      <c r="B46" s="20" t="s">
        <v>658</v>
      </c>
      <c r="C46" s="21">
        <v>1</v>
      </c>
      <c r="D46" s="22" t="s">
        <v>17</v>
      </c>
      <c r="E46" s="18">
        <v>0.01</v>
      </c>
      <c r="F46" s="18">
        <f>2/((225+325)/2)</f>
        <v>7.2727272727272727E-3</v>
      </c>
      <c r="G46" s="18">
        <f>1/((56+46)/2)</f>
        <v>1.9607843137254902E-2</v>
      </c>
      <c r="H46" s="18">
        <f>1/((44+77)/2)</f>
        <v>1.6528925619834711E-2</v>
      </c>
      <c r="I46" s="18">
        <f>1/((36+25)/2)</f>
        <v>3.2786885245901641E-2</v>
      </c>
      <c r="J46" s="18">
        <f>115/(2300)</f>
        <v>0.05</v>
      </c>
      <c r="K46" s="18">
        <f t="shared" si="36"/>
        <v>0</v>
      </c>
      <c r="L46" s="18">
        <f>5/(300)</f>
        <v>1.6666666666666666E-2</v>
      </c>
      <c r="M46" s="22" t="s">
        <v>659</v>
      </c>
      <c r="N46" s="2"/>
      <c r="O46" s="2"/>
      <c r="P46" s="2"/>
      <c r="Q46" s="2"/>
      <c r="R46" s="2"/>
      <c r="S46" s="2"/>
      <c r="T46" s="2"/>
      <c r="U46" s="2"/>
      <c r="V46" s="2"/>
      <c r="W46" s="2"/>
      <c r="X46" s="2"/>
      <c r="Y46" s="2"/>
      <c r="Z46" s="2"/>
    </row>
    <row r="47" spans="1:26" ht="19.5" customHeight="1">
      <c r="A47" s="19" t="s">
        <v>660</v>
      </c>
      <c r="B47" s="20" t="s">
        <v>661</v>
      </c>
      <c r="C47" s="21">
        <v>1</v>
      </c>
      <c r="D47" s="22" t="s">
        <v>205</v>
      </c>
      <c r="E47" s="18">
        <v>2.5000000000000001E-3</v>
      </c>
      <c r="F47" s="18">
        <f>1/((225+325)/2)</f>
        <v>3.6363636363636364E-3</v>
      </c>
      <c r="G47" s="18">
        <f>0/((56+46)/2)</f>
        <v>0</v>
      </c>
      <c r="H47" s="18">
        <f>0/((44+77)/2)</f>
        <v>0</v>
      </c>
      <c r="I47" s="18">
        <f>0/((36+25)/2)</f>
        <v>0</v>
      </c>
      <c r="J47" s="18">
        <f>280/(2300)</f>
        <v>0.12173913043478261</v>
      </c>
      <c r="K47" s="18">
        <f t="shared" si="36"/>
        <v>0</v>
      </c>
      <c r="L47" s="18">
        <f>0/(300)</f>
        <v>0</v>
      </c>
      <c r="M47" s="22" t="s">
        <v>662</v>
      </c>
      <c r="N47" s="2"/>
      <c r="O47" s="2"/>
      <c r="P47" s="2"/>
      <c r="Q47" s="2"/>
      <c r="R47" s="2"/>
      <c r="S47" s="2"/>
      <c r="T47" s="2"/>
      <c r="U47" s="2"/>
      <c r="V47" s="2"/>
      <c r="W47" s="2"/>
      <c r="X47" s="2"/>
      <c r="Y47" s="2"/>
      <c r="Z47" s="2"/>
    </row>
    <row r="48" spans="1:26" ht="19.5" customHeight="1">
      <c r="A48" s="19" t="s">
        <v>160</v>
      </c>
      <c r="B48" s="20" t="s">
        <v>161</v>
      </c>
      <c r="C48" s="22" t="s">
        <v>155</v>
      </c>
      <c r="D48" s="22" t="s">
        <v>17</v>
      </c>
      <c r="E48" s="18">
        <v>9.5000000000000001E-2</v>
      </c>
      <c r="F48" s="18">
        <f>30/((225+325)/2)</f>
        <v>0.10909090909090909</v>
      </c>
      <c r="G48" s="18">
        <f>14/((56+46)/2)</f>
        <v>0.27450980392156865</v>
      </c>
      <c r="H48" s="18">
        <f>2/((44+77)/2)</f>
        <v>3.3057851239669422E-2</v>
      </c>
      <c r="I48" s="18">
        <f>3/((36+25)/2)</f>
        <v>9.8360655737704916E-2</v>
      </c>
      <c r="J48" s="18">
        <f>380/(2300)</f>
        <v>0.16521739130434782</v>
      </c>
      <c r="K48" s="18">
        <f>5/((25+30)/2)</f>
        <v>0.18181818181818182</v>
      </c>
      <c r="L48" s="18">
        <f>10/(300)</f>
        <v>3.3333333333333333E-2</v>
      </c>
      <c r="M48" s="22" t="s">
        <v>162</v>
      </c>
      <c r="N48" s="2"/>
      <c r="O48" s="2"/>
      <c r="P48" s="2"/>
      <c r="Q48" s="2"/>
      <c r="R48" s="2"/>
      <c r="S48" s="2"/>
      <c r="T48" s="2"/>
      <c r="U48" s="2"/>
      <c r="V48" s="2"/>
      <c r="W48" s="2"/>
      <c r="X48" s="2"/>
      <c r="Y48" s="2"/>
      <c r="Z48" s="2"/>
    </row>
    <row r="49" spans="1:26" ht="19.5" customHeight="1">
      <c r="A49" s="19" t="s">
        <v>74</v>
      </c>
      <c r="B49" s="20" t="s">
        <v>75</v>
      </c>
      <c r="C49" s="22" t="s">
        <v>69</v>
      </c>
      <c r="D49" s="22" t="s">
        <v>76</v>
      </c>
      <c r="E49" s="18">
        <v>0</v>
      </c>
      <c r="F49" s="18">
        <f>0/((225+325)/2)</f>
        <v>0</v>
      </c>
      <c r="G49" s="18">
        <f>0/((56+46)/2)</f>
        <v>0</v>
      </c>
      <c r="H49" s="18">
        <f>0/((44+77)/2)</f>
        <v>0</v>
      </c>
      <c r="I49" s="18">
        <f>0/((36+25)/2)</f>
        <v>0</v>
      </c>
      <c r="J49" s="18">
        <f>580/(2300)</f>
        <v>0.25217391304347825</v>
      </c>
      <c r="K49" s="18">
        <f>0/((25+30)/2)</f>
        <v>0</v>
      </c>
      <c r="L49" s="18">
        <f>0/(300)</f>
        <v>0</v>
      </c>
      <c r="M49" s="22" t="s">
        <v>77</v>
      </c>
      <c r="N49" s="2"/>
      <c r="O49" s="2"/>
      <c r="P49" s="2"/>
      <c r="Q49" s="2"/>
      <c r="R49" s="2"/>
      <c r="S49" s="2"/>
      <c r="T49" s="2"/>
      <c r="U49" s="2"/>
      <c r="V49" s="2"/>
      <c r="W49" s="2"/>
      <c r="X49" s="2"/>
      <c r="Y49" s="2"/>
      <c r="Z49" s="2"/>
    </row>
    <row r="50" spans="1:26" ht="19.5" customHeight="1">
      <c r="A50" s="19" t="s">
        <v>216</v>
      </c>
      <c r="B50" s="20" t="s">
        <v>217</v>
      </c>
      <c r="C50" s="22" t="s">
        <v>218</v>
      </c>
      <c r="D50" s="22" t="s">
        <v>218</v>
      </c>
      <c r="E50" s="18" t="s">
        <v>218</v>
      </c>
      <c r="F50" s="18" t="s">
        <v>218</v>
      </c>
      <c r="G50" s="18" t="s">
        <v>218</v>
      </c>
      <c r="H50" s="18" t="s">
        <v>218</v>
      </c>
      <c r="I50" s="18" t="s">
        <v>218</v>
      </c>
      <c r="J50" s="18" t="s">
        <v>218</v>
      </c>
      <c r="K50" s="18" t="s">
        <v>218</v>
      </c>
      <c r="L50" s="18" t="s">
        <v>218</v>
      </c>
      <c r="M50" s="22" t="s">
        <v>219</v>
      </c>
      <c r="N50" s="2"/>
      <c r="O50" s="2"/>
      <c r="P50" s="2"/>
      <c r="Q50" s="2"/>
      <c r="R50" s="2"/>
      <c r="S50" s="2"/>
      <c r="T50" s="2"/>
      <c r="U50" s="2"/>
      <c r="V50" s="2"/>
      <c r="W50" s="2"/>
      <c r="X50" s="2"/>
      <c r="Y50" s="2"/>
      <c r="Z50" s="2"/>
    </row>
    <row r="51" spans="1:26" ht="19.5" customHeight="1">
      <c r="A51" s="19" t="s">
        <v>15</v>
      </c>
      <c r="B51" s="20" t="s">
        <v>16</v>
      </c>
      <c r="C51" s="22" t="s">
        <v>35</v>
      </c>
      <c r="D51" s="22" t="s">
        <v>17</v>
      </c>
      <c r="E51" s="18">
        <v>0.08</v>
      </c>
      <c r="F51" s="18">
        <f>40/((225+325)/2)</f>
        <v>0.14545454545454545</v>
      </c>
      <c r="G51" s="18">
        <f>0/((56+46)/2)</f>
        <v>0</v>
      </c>
      <c r="H51" s="18">
        <f>0/((44+77)/2)</f>
        <v>0</v>
      </c>
      <c r="I51" s="18">
        <f>36/((36+25)/2)</f>
        <v>1.180327868852459</v>
      </c>
      <c r="J51" s="18">
        <f>5/(2300)</f>
        <v>2.1739130434782609E-3</v>
      </c>
      <c r="K51" s="18">
        <f>0/((25+30)/2)</f>
        <v>0</v>
      </c>
      <c r="L51" s="18">
        <f t="shared" ref="L51:L64" si="37">0/(300)</f>
        <v>0</v>
      </c>
      <c r="M51" s="22" t="s">
        <v>19</v>
      </c>
      <c r="N51" s="2"/>
      <c r="O51" s="2"/>
      <c r="P51" s="2"/>
      <c r="Q51" s="2"/>
      <c r="R51" s="2"/>
      <c r="S51" s="2"/>
      <c r="T51" s="2"/>
      <c r="U51" s="2"/>
      <c r="V51" s="2"/>
      <c r="W51" s="2"/>
      <c r="X51" s="2"/>
      <c r="Y51" s="2"/>
      <c r="Z51" s="2"/>
    </row>
    <row r="52" spans="1:26" ht="19.5" customHeight="1">
      <c r="A52" s="19" t="s">
        <v>505</v>
      </c>
      <c r="B52" s="20" t="s">
        <v>506</v>
      </c>
      <c r="C52" s="21">
        <v>2</v>
      </c>
      <c r="D52" s="22" t="s">
        <v>31</v>
      </c>
      <c r="E52" s="18">
        <v>0.09</v>
      </c>
      <c r="F52" s="18">
        <f>7/((225+325)/2)</f>
        <v>2.5454545454545455E-2</v>
      </c>
      <c r="G52" s="18">
        <f>7/((56+46)/2)</f>
        <v>0.13725490196078433</v>
      </c>
      <c r="H52" s="18">
        <f>16/((44+77)/2)</f>
        <v>0.26446280991735538</v>
      </c>
      <c r="I52" s="18">
        <f>1/((36+25)/2)</f>
        <v>3.2786885245901641E-2</v>
      </c>
      <c r="J52" s="18">
        <f>0/(2300)</f>
        <v>0</v>
      </c>
      <c r="K52" s="18">
        <f>4/((25+30)/2)</f>
        <v>0.14545454545454545</v>
      </c>
      <c r="L52" s="18">
        <f t="shared" si="37"/>
        <v>0</v>
      </c>
      <c r="M52" s="22" t="s">
        <v>1078</v>
      </c>
      <c r="N52" s="2"/>
      <c r="O52" s="2"/>
      <c r="P52" s="2"/>
      <c r="Q52" s="2"/>
      <c r="R52" s="2"/>
      <c r="S52" s="2"/>
      <c r="T52" s="2"/>
      <c r="U52" s="2"/>
      <c r="V52" s="2"/>
      <c r="W52" s="2"/>
      <c r="X52" s="2"/>
      <c r="Y52" s="2"/>
      <c r="Z52" s="2"/>
    </row>
    <row r="53" spans="1:26" ht="19.5" customHeight="1">
      <c r="A53" s="19" t="s">
        <v>663</v>
      </c>
      <c r="B53" s="20" t="s">
        <v>664</v>
      </c>
      <c r="C53" s="21">
        <v>1</v>
      </c>
      <c r="D53" s="22" t="s">
        <v>205</v>
      </c>
      <c r="E53" s="18">
        <v>5.0000000000000001E-3</v>
      </c>
      <c r="F53" s="18">
        <f>2/((225+325)/2)</f>
        <v>7.2727272727272727E-3</v>
      </c>
      <c r="G53" s="18">
        <f>0/((56+46)/2)</f>
        <v>0</v>
      </c>
      <c r="H53" s="18">
        <f>0/((44+77)/2)</f>
        <v>0</v>
      </c>
      <c r="I53" s="18">
        <f t="shared" ref="I53:I54" si="38">0/((36+25)/2)</f>
        <v>0</v>
      </c>
      <c r="J53" s="18">
        <f>180/(2300)</f>
        <v>7.8260869565217397E-2</v>
      </c>
      <c r="K53" s="18">
        <f>0/((25+30)/2)</f>
        <v>0</v>
      </c>
      <c r="L53" s="18">
        <f t="shared" si="37"/>
        <v>0</v>
      </c>
      <c r="M53" s="22" t="s">
        <v>665</v>
      </c>
      <c r="N53" s="2"/>
      <c r="O53" s="2"/>
      <c r="P53" s="2"/>
      <c r="Q53" s="2"/>
      <c r="R53" s="2"/>
      <c r="S53" s="2"/>
      <c r="T53" s="2"/>
      <c r="U53" s="2"/>
      <c r="V53" s="2"/>
      <c r="W53" s="2"/>
      <c r="X53" s="2"/>
      <c r="Y53" s="2"/>
      <c r="Z53" s="2"/>
    </row>
    <row r="54" spans="1:26" ht="19.5" customHeight="1">
      <c r="A54" s="19" t="s">
        <v>666</v>
      </c>
      <c r="B54" s="20" t="s">
        <v>667</v>
      </c>
      <c r="C54" s="21">
        <v>1</v>
      </c>
      <c r="D54" s="22" t="s">
        <v>31</v>
      </c>
      <c r="E54" s="18">
        <v>2.5499999999999998E-2</v>
      </c>
      <c r="F54" s="18">
        <f>4/((225+325)/2)</f>
        <v>1.4545454545454545E-2</v>
      </c>
      <c r="G54" s="18">
        <f t="shared" ref="G54:G55" si="39">1/((56+46)/2)</f>
        <v>1.9607843137254902E-2</v>
      </c>
      <c r="H54" s="18">
        <f>4/((44+77)/2)</f>
        <v>6.6115702479338845E-2</v>
      </c>
      <c r="I54" s="18">
        <f t="shared" si="38"/>
        <v>0</v>
      </c>
      <c r="J54" s="18">
        <f>16/(2300)</f>
        <v>6.956521739130435E-3</v>
      </c>
      <c r="K54" s="18">
        <f t="shared" ref="K54:K55" si="40">1/((25+30)/2)</f>
        <v>3.6363636363636362E-2</v>
      </c>
      <c r="L54" s="18">
        <f t="shared" si="37"/>
        <v>0</v>
      </c>
      <c r="M54" s="22" t="s">
        <v>668</v>
      </c>
      <c r="N54" s="2"/>
      <c r="O54" s="2"/>
      <c r="P54" s="2"/>
      <c r="Q54" s="2"/>
      <c r="R54" s="2"/>
      <c r="S54" s="2"/>
      <c r="T54" s="2"/>
      <c r="U54" s="2"/>
      <c r="V54" s="2"/>
      <c r="W54" s="2"/>
      <c r="X54" s="2"/>
      <c r="Y54" s="2"/>
      <c r="Z54" s="2"/>
    </row>
    <row r="55" spans="1:26" ht="19.5" customHeight="1">
      <c r="A55" s="19" t="s">
        <v>669</v>
      </c>
      <c r="B55" s="20" t="s">
        <v>670</v>
      </c>
      <c r="C55" s="21">
        <v>1</v>
      </c>
      <c r="D55" s="22" t="s">
        <v>205</v>
      </c>
      <c r="E55" s="18">
        <v>1.4999999999999999E-2</v>
      </c>
      <c r="F55" s="18">
        <f>6/((225+325)/2)</f>
        <v>2.181818181818182E-2</v>
      </c>
      <c r="G55" s="18">
        <f t="shared" si="39"/>
        <v>1.9607843137254902E-2</v>
      </c>
      <c r="H55" s="18">
        <f t="shared" ref="H55:H57" si="41">0/((44+77)/2)</f>
        <v>0</v>
      </c>
      <c r="I55" s="18">
        <f>2/((36+25)/2)</f>
        <v>6.5573770491803282E-2</v>
      </c>
      <c r="J55" s="18">
        <f>10/(2300)</f>
        <v>4.3478260869565218E-3</v>
      </c>
      <c r="K55" s="18">
        <f t="shared" si="40"/>
        <v>3.6363636363636362E-2</v>
      </c>
      <c r="L55" s="18">
        <f t="shared" si="37"/>
        <v>0</v>
      </c>
      <c r="M55" s="22" t="s">
        <v>671</v>
      </c>
      <c r="N55" s="2"/>
      <c r="O55" s="2"/>
      <c r="P55" s="2"/>
      <c r="Q55" s="2"/>
      <c r="R55" s="2"/>
      <c r="S55" s="2"/>
      <c r="T55" s="2"/>
      <c r="U55" s="2"/>
      <c r="V55" s="2"/>
      <c r="W55" s="2"/>
      <c r="X55" s="2"/>
      <c r="Y55" s="2"/>
      <c r="Z55" s="2"/>
    </row>
    <row r="56" spans="1:26" ht="19.5" customHeight="1">
      <c r="A56" s="19" t="s">
        <v>672</v>
      </c>
      <c r="B56" s="20" t="s">
        <v>1079</v>
      </c>
      <c r="C56" s="21">
        <v>1</v>
      </c>
      <c r="D56" s="22" t="s">
        <v>17</v>
      </c>
      <c r="E56" s="18">
        <v>2.5000000000000001E-2</v>
      </c>
      <c r="F56" s="18">
        <f t="shared" ref="F56:F57" si="42">1/((225+325)/2)</f>
        <v>3.6363636363636364E-3</v>
      </c>
      <c r="G56" s="18">
        <f>2/((56+46)/2)</f>
        <v>3.9215686274509803E-2</v>
      </c>
      <c r="H56" s="18">
        <f t="shared" si="41"/>
        <v>0</v>
      </c>
      <c r="I56" s="18">
        <f t="shared" ref="I56:I57" si="43">0/((36+25)/2)</f>
        <v>0</v>
      </c>
      <c r="J56" s="18">
        <f>70/(2300)</f>
        <v>3.0434782608695653E-2</v>
      </c>
      <c r="K56" s="18">
        <f t="shared" ref="K56:K57" si="44">0/((25+30)/2)</f>
        <v>0</v>
      </c>
      <c r="L56" s="18">
        <f t="shared" si="37"/>
        <v>0</v>
      </c>
      <c r="M56" s="22" t="s">
        <v>674</v>
      </c>
      <c r="N56" s="2"/>
      <c r="O56" s="2"/>
      <c r="P56" s="2"/>
      <c r="Q56" s="2"/>
      <c r="R56" s="2"/>
      <c r="S56" s="2"/>
      <c r="T56" s="2"/>
      <c r="U56" s="2"/>
      <c r="V56" s="2"/>
      <c r="W56" s="2"/>
      <c r="X56" s="2"/>
      <c r="Y56" s="2"/>
      <c r="Z56" s="2"/>
    </row>
    <row r="57" spans="1:26" ht="19.5" customHeight="1">
      <c r="A57" s="19" t="s">
        <v>133</v>
      </c>
      <c r="B57" s="20" t="s">
        <v>134</v>
      </c>
      <c r="C57" s="22" t="s">
        <v>145</v>
      </c>
      <c r="D57" s="22" t="s">
        <v>135</v>
      </c>
      <c r="E57" s="18">
        <v>0</v>
      </c>
      <c r="F57" s="18">
        <f t="shared" si="42"/>
        <v>3.6363636363636364E-3</v>
      </c>
      <c r="G57" s="18">
        <f>0/((56+46)/2)</f>
        <v>0</v>
      </c>
      <c r="H57" s="18">
        <f t="shared" si="41"/>
        <v>0</v>
      </c>
      <c r="I57" s="18">
        <f t="shared" si="43"/>
        <v>0</v>
      </c>
      <c r="J57" s="18">
        <f>240/(2300)</f>
        <v>0.10434782608695652</v>
      </c>
      <c r="K57" s="18">
        <f t="shared" si="44"/>
        <v>0</v>
      </c>
      <c r="L57" s="18">
        <f t="shared" si="37"/>
        <v>0</v>
      </c>
      <c r="M57" s="22" t="s">
        <v>136</v>
      </c>
      <c r="N57" s="2"/>
      <c r="O57" s="2"/>
      <c r="P57" s="2"/>
      <c r="Q57" s="2"/>
      <c r="R57" s="2"/>
      <c r="S57" s="2"/>
      <c r="T57" s="2"/>
      <c r="U57" s="2"/>
      <c r="V57" s="2"/>
      <c r="W57" s="2"/>
      <c r="X57" s="2"/>
      <c r="Y57" s="2"/>
      <c r="Z57" s="2"/>
    </row>
    <row r="58" spans="1:26" ht="19.5" customHeight="1">
      <c r="A58" s="19" t="s">
        <v>675</v>
      </c>
      <c r="B58" s="20" t="s">
        <v>676</v>
      </c>
      <c r="C58" s="21">
        <v>1</v>
      </c>
      <c r="D58" s="22" t="s">
        <v>599</v>
      </c>
      <c r="E58" s="18">
        <v>0.08</v>
      </c>
      <c r="F58" s="18">
        <f>15/((225+325)/2)</f>
        <v>5.4545454545454543E-2</v>
      </c>
      <c r="G58" s="18">
        <f>6/((56+46)/2)</f>
        <v>0.11764705882352941</v>
      </c>
      <c r="H58" s="18">
        <f>13/((44+77)/2)</f>
        <v>0.21487603305785125</v>
      </c>
      <c r="I58" s="18">
        <f>2/((36+25)/2)</f>
        <v>6.5573770491803282E-2</v>
      </c>
      <c r="J58" s="18">
        <f>230/(2300)</f>
        <v>0.1</v>
      </c>
      <c r="K58" s="18">
        <f>7/((25+30)/2)</f>
        <v>0.25454545454545452</v>
      </c>
      <c r="L58" s="18">
        <f t="shared" si="37"/>
        <v>0</v>
      </c>
      <c r="M58" s="22" t="s">
        <v>677</v>
      </c>
      <c r="N58" s="2"/>
      <c r="O58" s="2"/>
      <c r="P58" s="2"/>
      <c r="Q58" s="2"/>
      <c r="R58" s="2"/>
      <c r="S58" s="2"/>
      <c r="T58" s="2"/>
      <c r="U58" s="2"/>
      <c r="V58" s="2"/>
      <c r="W58" s="2"/>
      <c r="X58" s="2"/>
      <c r="Y58" s="2"/>
      <c r="Z58" s="2"/>
    </row>
    <row r="59" spans="1:26" ht="19.5" customHeight="1">
      <c r="A59" s="19" t="s">
        <v>1080</v>
      </c>
      <c r="B59" s="20" t="s">
        <v>1081</v>
      </c>
      <c r="C59" s="21"/>
      <c r="D59" s="21"/>
      <c r="E59" s="24"/>
      <c r="F59" s="18">
        <f>0/((225+325)/2)</f>
        <v>0</v>
      </c>
      <c r="G59" s="18">
        <f>0/((56+46)/2)</f>
        <v>0</v>
      </c>
      <c r="H59" s="18">
        <f>0/((44+77)/2)</f>
        <v>0</v>
      </c>
      <c r="I59" s="18">
        <f t="shared" ref="I59:I62" si="45">0/((36+25)/2)</f>
        <v>0</v>
      </c>
      <c r="J59" s="18">
        <f>0/(2300)</f>
        <v>0</v>
      </c>
      <c r="K59" s="18">
        <f t="shared" ref="K59:K60" si="46">0/((25+30)/2)</f>
        <v>0</v>
      </c>
      <c r="L59" s="18">
        <f t="shared" si="37"/>
        <v>0</v>
      </c>
      <c r="M59" s="21"/>
      <c r="N59" s="2"/>
      <c r="O59" s="2"/>
      <c r="P59" s="2"/>
      <c r="Q59" s="2"/>
      <c r="R59" s="2"/>
      <c r="S59" s="2"/>
      <c r="T59" s="2"/>
      <c r="U59" s="2"/>
      <c r="V59" s="2"/>
      <c r="W59" s="2"/>
      <c r="X59" s="2"/>
      <c r="Y59" s="2"/>
      <c r="Z59" s="2"/>
    </row>
    <row r="60" spans="1:26" ht="19.5" customHeight="1">
      <c r="A60" s="19" t="s">
        <v>272</v>
      </c>
      <c r="B60" s="20" t="s">
        <v>273</v>
      </c>
      <c r="C60" s="21">
        <v>28</v>
      </c>
      <c r="D60" s="22" t="s">
        <v>226</v>
      </c>
      <c r="E60" s="18">
        <v>0.11</v>
      </c>
      <c r="F60" s="18">
        <f>1/((225+325)/2)</f>
        <v>3.6363636363636364E-3</v>
      </c>
      <c r="G60" s="18">
        <f>2/((56+46)/2)</f>
        <v>3.9215686274509803E-2</v>
      </c>
      <c r="H60" s="18">
        <f>23/((44+77)/2)</f>
        <v>0.38016528925619836</v>
      </c>
      <c r="I60" s="18">
        <f t="shared" si="45"/>
        <v>0</v>
      </c>
      <c r="J60" s="18">
        <f>95/(2300)</f>
        <v>4.1304347826086954E-2</v>
      </c>
      <c r="K60" s="18">
        <f t="shared" si="46"/>
        <v>0</v>
      </c>
      <c r="L60" s="18">
        <f t="shared" si="37"/>
        <v>0</v>
      </c>
      <c r="M60" s="22" t="s">
        <v>274</v>
      </c>
      <c r="N60" s="2"/>
      <c r="O60" s="2"/>
      <c r="P60" s="2"/>
      <c r="Q60" s="2"/>
      <c r="R60" s="2"/>
      <c r="S60" s="2"/>
      <c r="T60" s="2"/>
      <c r="U60" s="2"/>
      <c r="V60" s="2"/>
      <c r="W60" s="2"/>
      <c r="X60" s="2"/>
      <c r="Y60" s="2"/>
      <c r="Z60" s="2"/>
    </row>
    <row r="61" spans="1:26" ht="19.5" customHeight="1">
      <c r="A61" s="19" t="s">
        <v>508</v>
      </c>
      <c r="B61" s="20" t="s">
        <v>509</v>
      </c>
      <c r="C61" s="21">
        <v>2</v>
      </c>
      <c r="D61" s="22" t="s">
        <v>31</v>
      </c>
      <c r="E61" s="18">
        <v>1.4999999999999999E-2</v>
      </c>
      <c r="F61" s="18">
        <f>2/((225+325)/2)</f>
        <v>7.2727272727272727E-3</v>
      </c>
      <c r="G61" s="18">
        <f>1/((56+46)/2)</f>
        <v>1.9607843137254902E-2</v>
      </c>
      <c r="H61" s="18">
        <f>2/((44+77)/2)</f>
        <v>3.3057851239669422E-2</v>
      </c>
      <c r="I61" s="18">
        <f t="shared" si="45"/>
        <v>0</v>
      </c>
      <c r="J61" s="18">
        <f>200/(2300)</f>
        <v>8.6956521739130432E-2</v>
      </c>
      <c r="K61" s="18">
        <f>1/((25+30)/2)</f>
        <v>3.6363636363636362E-2</v>
      </c>
      <c r="L61" s="18">
        <f t="shared" si="37"/>
        <v>0</v>
      </c>
      <c r="M61" s="22" t="s">
        <v>1082</v>
      </c>
      <c r="N61" s="2"/>
      <c r="O61" s="2"/>
      <c r="P61" s="2"/>
      <c r="Q61" s="2"/>
      <c r="R61" s="2"/>
      <c r="S61" s="2"/>
      <c r="T61" s="2"/>
      <c r="U61" s="2"/>
      <c r="V61" s="2"/>
      <c r="W61" s="2"/>
      <c r="X61" s="2"/>
      <c r="Y61" s="2"/>
      <c r="Z61" s="2"/>
    </row>
    <row r="62" spans="1:26" ht="19.5" customHeight="1">
      <c r="A62" s="19" t="s">
        <v>340</v>
      </c>
      <c r="B62" s="20" t="s">
        <v>341</v>
      </c>
      <c r="C62" s="21">
        <v>10</v>
      </c>
      <c r="D62" s="22" t="s">
        <v>316</v>
      </c>
      <c r="E62" s="18">
        <v>7.0000000000000007E-2</v>
      </c>
      <c r="F62" s="18">
        <f>14/((225+325)/2)</f>
        <v>5.0909090909090911E-2</v>
      </c>
      <c r="G62" s="18">
        <f>2/((56+46)/2)</f>
        <v>3.9215686274509803E-2</v>
      </c>
      <c r="H62" s="18">
        <f>10/((44+77)/2)</f>
        <v>0.16528925619834711</v>
      </c>
      <c r="I62" s="18">
        <f t="shared" si="45"/>
        <v>0</v>
      </c>
      <c r="J62" s="18">
        <f>110/(2300)</f>
        <v>4.7826086956521741E-2</v>
      </c>
      <c r="K62" s="18">
        <f>3/((25+30)/2)</f>
        <v>0.10909090909090909</v>
      </c>
      <c r="L62" s="18">
        <f t="shared" si="37"/>
        <v>0</v>
      </c>
      <c r="M62" s="22" t="s">
        <v>342</v>
      </c>
      <c r="N62" s="2"/>
      <c r="O62" s="2"/>
      <c r="P62" s="2"/>
      <c r="Q62" s="2"/>
      <c r="R62" s="2"/>
      <c r="S62" s="2"/>
      <c r="T62" s="2"/>
      <c r="U62" s="2"/>
      <c r="V62" s="2"/>
      <c r="W62" s="2"/>
      <c r="X62" s="2"/>
      <c r="Y62" s="2"/>
      <c r="Z62" s="2"/>
    </row>
    <row r="63" spans="1:26" ht="19.5" customHeight="1">
      <c r="A63" s="19" t="s">
        <v>678</v>
      </c>
      <c r="B63" s="20" t="s">
        <v>679</v>
      </c>
      <c r="C63" s="21">
        <v>1</v>
      </c>
      <c r="D63" s="22" t="s">
        <v>205</v>
      </c>
      <c r="E63" s="18">
        <v>7.0000000000000007E-2</v>
      </c>
      <c r="F63" s="18">
        <f>21/((225+325)/2)</f>
        <v>7.636363636363637E-2</v>
      </c>
      <c r="G63" s="18">
        <f>1/((56+46)/2)</f>
        <v>1.9607843137254902E-2</v>
      </c>
      <c r="H63" s="18">
        <f>6/((44+77)/2)</f>
        <v>9.9173553719008267E-2</v>
      </c>
      <c r="I63" s="18">
        <f t="shared" ref="I63:I64" si="47">1/((36+25)/2)</f>
        <v>3.2786885245901641E-2</v>
      </c>
      <c r="J63" s="18">
        <f>135/(2300)</f>
        <v>5.8695652173913045E-2</v>
      </c>
      <c r="K63" s="18">
        <f>0/((25+30)/2)</f>
        <v>0</v>
      </c>
      <c r="L63" s="18">
        <f t="shared" si="37"/>
        <v>0</v>
      </c>
      <c r="M63" s="22" t="s">
        <v>680</v>
      </c>
      <c r="N63" s="2"/>
      <c r="O63" s="2"/>
      <c r="P63" s="2"/>
      <c r="Q63" s="2"/>
      <c r="R63" s="2"/>
      <c r="S63" s="2"/>
      <c r="T63" s="2"/>
      <c r="U63" s="2"/>
      <c r="V63" s="2"/>
      <c r="W63" s="2"/>
      <c r="X63" s="2"/>
      <c r="Y63" s="2"/>
      <c r="Z63" s="2"/>
    </row>
    <row r="64" spans="1:26" ht="19.5" customHeight="1">
      <c r="A64" s="19" t="s">
        <v>681</v>
      </c>
      <c r="B64" s="20" t="s">
        <v>682</v>
      </c>
      <c r="C64" s="21">
        <v>1</v>
      </c>
      <c r="D64" s="22" t="s">
        <v>205</v>
      </c>
      <c r="E64" s="18">
        <v>0.09</v>
      </c>
      <c r="F64" s="18">
        <f>10/((225+325)/2)</f>
        <v>3.6363636363636362E-2</v>
      </c>
      <c r="G64" s="18">
        <f>2/((56+46)/2)</f>
        <v>3.9215686274509803E-2</v>
      </c>
      <c r="H64" s="18">
        <f>15/((44+77)/2)</f>
        <v>0.24793388429752067</v>
      </c>
      <c r="I64" s="18">
        <f t="shared" si="47"/>
        <v>3.2786885245901641E-2</v>
      </c>
      <c r="J64" s="18">
        <f>105/(2300)</f>
        <v>4.5652173913043478E-2</v>
      </c>
      <c r="K64" s="18">
        <f>5/((25+30)/2)</f>
        <v>0.18181818181818182</v>
      </c>
      <c r="L64" s="18">
        <f t="shared" si="37"/>
        <v>0</v>
      </c>
      <c r="M64" s="22" t="s">
        <v>683</v>
      </c>
      <c r="N64" s="2"/>
      <c r="O64" s="2"/>
      <c r="P64" s="2"/>
      <c r="Q64" s="2"/>
      <c r="R64" s="2"/>
      <c r="S64" s="2"/>
      <c r="T64" s="2"/>
      <c r="U64" s="2"/>
      <c r="V64" s="2"/>
      <c r="W64" s="2"/>
      <c r="X64" s="2"/>
      <c r="Y64" s="2"/>
      <c r="Z64" s="2"/>
    </row>
    <row r="65" spans="1:26" ht="19.5" customHeight="1">
      <c r="A65" s="19" t="s">
        <v>684</v>
      </c>
      <c r="B65" s="20" t="s">
        <v>685</v>
      </c>
      <c r="C65" s="21">
        <v>1</v>
      </c>
      <c r="D65" s="22" t="s">
        <v>686</v>
      </c>
      <c r="E65" s="18">
        <v>0.05</v>
      </c>
      <c r="F65" s="18">
        <f>0.5/((225+325)/2)</f>
        <v>1.8181818181818182E-3</v>
      </c>
      <c r="G65" s="18">
        <f>10/((56+46)/2)</f>
        <v>0.19607843137254902</v>
      </c>
      <c r="H65" s="18">
        <f>2.5/((44+77)/2)</f>
        <v>4.1322314049586778E-2</v>
      </c>
      <c r="I65" s="18">
        <f t="shared" ref="I65:I66" si="48">0/((36+25)/2)</f>
        <v>0</v>
      </c>
      <c r="J65" s="18">
        <f>290/(2300)</f>
        <v>0.12608695652173912</v>
      </c>
      <c r="K65" s="18">
        <f>0/((25+30)/2)</f>
        <v>0</v>
      </c>
      <c r="L65" s="18">
        <f>22/(300)</f>
        <v>7.3333333333333334E-2</v>
      </c>
      <c r="M65" s="22" t="s">
        <v>1083</v>
      </c>
      <c r="N65" s="2"/>
      <c r="O65" s="2"/>
      <c r="P65" s="2"/>
      <c r="Q65" s="2"/>
      <c r="R65" s="2"/>
      <c r="S65" s="2"/>
      <c r="T65" s="2"/>
      <c r="U65" s="2"/>
      <c r="V65" s="2"/>
      <c r="W65" s="2"/>
      <c r="X65" s="2"/>
      <c r="Y65" s="2"/>
      <c r="Z65" s="2"/>
    </row>
    <row r="66" spans="1:26" ht="19.5" customHeight="1">
      <c r="A66" s="19" t="s">
        <v>275</v>
      </c>
      <c r="B66" s="20" t="s">
        <v>276</v>
      </c>
      <c r="C66" s="21">
        <v>28</v>
      </c>
      <c r="D66" s="22" t="s">
        <v>226</v>
      </c>
      <c r="E66" s="18">
        <v>6.9000000000000006E-2</v>
      </c>
      <c r="F66" s="18">
        <f>15/((225+325)/2)</f>
        <v>5.4545454545454543E-2</v>
      </c>
      <c r="G66" s="18">
        <f>4/((56+46)/2)</f>
        <v>7.8431372549019607E-2</v>
      </c>
      <c r="H66" s="18">
        <f>7/((44+77)/2)</f>
        <v>0.11570247933884298</v>
      </c>
      <c r="I66" s="18">
        <f t="shared" si="48"/>
        <v>0</v>
      </c>
      <c r="J66" s="18">
        <f>194/(2300)</f>
        <v>8.4347826086956526E-2</v>
      </c>
      <c r="K66" s="18">
        <f>4/((25+30)/2)</f>
        <v>0.14545454545454545</v>
      </c>
      <c r="L66" s="18">
        <f t="shared" ref="L66:L67" si="49">0/(300)</f>
        <v>0</v>
      </c>
      <c r="M66" s="22" t="s">
        <v>277</v>
      </c>
      <c r="N66" s="2"/>
      <c r="O66" s="2"/>
      <c r="P66" s="2"/>
      <c r="Q66" s="2"/>
      <c r="R66" s="2"/>
      <c r="S66" s="2"/>
      <c r="T66" s="2"/>
      <c r="U66" s="2"/>
      <c r="V66" s="2"/>
      <c r="W66" s="2"/>
      <c r="X66" s="2"/>
      <c r="Y66" s="2"/>
      <c r="Z66" s="2"/>
    </row>
    <row r="67" spans="1:26" ht="19.5" customHeight="1">
      <c r="A67" s="19" t="s">
        <v>591</v>
      </c>
      <c r="B67" s="20" t="s">
        <v>592</v>
      </c>
      <c r="C67" s="21">
        <v>1.75</v>
      </c>
      <c r="D67" s="22" t="s">
        <v>62</v>
      </c>
      <c r="E67" s="18">
        <v>7.0000000000000007E-2</v>
      </c>
      <c r="F67" s="18">
        <f>17/((225+325)/2)</f>
        <v>6.1818181818181821E-2</v>
      </c>
      <c r="G67" s="18">
        <f>3/((56+46)/2)</f>
        <v>5.8823529411764705E-2</v>
      </c>
      <c r="H67" s="18">
        <f>8/((44+77)/2)</f>
        <v>0.13223140495867769</v>
      </c>
      <c r="I67" s="18">
        <f>1/((36+25)/2)</f>
        <v>3.2786885245901641E-2</v>
      </c>
      <c r="J67" s="18">
        <f>160/(2300)</f>
        <v>6.9565217391304349E-2</v>
      </c>
      <c r="K67" s="18">
        <f>2/((25+30)/2)</f>
        <v>7.2727272727272724E-2</v>
      </c>
      <c r="L67" s="18">
        <f t="shared" si="49"/>
        <v>0</v>
      </c>
      <c r="M67" s="22" t="s">
        <v>593</v>
      </c>
      <c r="N67" s="2"/>
      <c r="O67" s="2"/>
      <c r="P67" s="2"/>
      <c r="Q67" s="2"/>
      <c r="R67" s="2"/>
      <c r="S67" s="2"/>
      <c r="T67" s="2"/>
      <c r="U67" s="2"/>
      <c r="V67" s="2"/>
      <c r="W67" s="2"/>
      <c r="X67" s="2"/>
      <c r="Y67" s="2"/>
      <c r="Z67" s="2"/>
    </row>
    <row r="68" spans="1:26" ht="19.5" customHeight="1">
      <c r="A68" s="19" t="s">
        <v>511</v>
      </c>
      <c r="B68" s="20" t="s">
        <v>512</v>
      </c>
      <c r="C68" s="21">
        <v>2</v>
      </c>
      <c r="D68" s="22" t="s">
        <v>31</v>
      </c>
      <c r="E68" s="18">
        <v>0.03</v>
      </c>
      <c r="F68" s="18">
        <f>2/((225+325)/2)</f>
        <v>7.2727272727272727E-3</v>
      </c>
      <c r="G68" s="18">
        <f>1/((56+46)/2)</f>
        <v>1.9607843137254902E-2</v>
      </c>
      <c r="H68" s="18">
        <f>5/((44+77)/2)</f>
        <v>8.2644628099173556E-2</v>
      </c>
      <c r="I68" s="18">
        <f>2/((36+25)/2)</f>
        <v>6.5573770491803282E-2</v>
      </c>
      <c r="J68" s="18">
        <f>95/(2300)</f>
        <v>4.1304347826086954E-2</v>
      </c>
      <c r="K68" s="18">
        <f>0/((25+30)/2)</f>
        <v>0</v>
      </c>
      <c r="L68" s="18">
        <f>20/(300)</f>
        <v>6.6666666666666666E-2</v>
      </c>
      <c r="M68" s="22" t="s">
        <v>513</v>
      </c>
      <c r="N68" s="2"/>
      <c r="O68" s="2"/>
      <c r="P68" s="2"/>
      <c r="Q68" s="2"/>
      <c r="R68" s="2"/>
      <c r="S68" s="2"/>
      <c r="T68" s="2"/>
      <c r="U68" s="2"/>
      <c r="V68" s="2"/>
      <c r="W68" s="2"/>
      <c r="X68" s="2"/>
      <c r="Y68" s="2"/>
      <c r="Z68" s="2"/>
    </row>
    <row r="69" spans="1:26" ht="19.5" customHeight="1">
      <c r="A69" s="19" t="s">
        <v>322</v>
      </c>
      <c r="B69" s="20" t="s">
        <v>323</v>
      </c>
      <c r="C69" s="21">
        <v>12</v>
      </c>
      <c r="D69" s="22" t="s">
        <v>299</v>
      </c>
      <c r="E69" s="18">
        <v>7.0000000000000007E-2</v>
      </c>
      <c r="F69" s="18">
        <f>10/((225+325)/2)</f>
        <v>3.6363636363636362E-2</v>
      </c>
      <c r="G69" s="18">
        <f>5/((56+46)/2)</f>
        <v>9.8039215686274508E-2</v>
      </c>
      <c r="H69" s="18">
        <f>10/((44+77)/2)</f>
        <v>0.16528925619834711</v>
      </c>
      <c r="I69" s="18">
        <f>1/((36+25)/2)</f>
        <v>3.2786885245901641E-2</v>
      </c>
      <c r="J69" s="18">
        <f>470/(2300)</f>
        <v>0.20434782608695654</v>
      </c>
      <c r="K69" s="18">
        <f>2/((25+30)/2)</f>
        <v>7.2727272727272724E-2</v>
      </c>
      <c r="L69" s="18">
        <f>0/(300)</f>
        <v>0</v>
      </c>
      <c r="M69" s="22" t="s">
        <v>324</v>
      </c>
      <c r="N69" s="2"/>
      <c r="O69" s="2"/>
      <c r="P69" s="2"/>
      <c r="Q69" s="2"/>
      <c r="R69" s="2"/>
      <c r="S69" s="2"/>
      <c r="T69" s="2"/>
      <c r="U69" s="2"/>
      <c r="V69" s="2"/>
      <c r="W69" s="2"/>
      <c r="X69" s="2"/>
      <c r="Y69" s="2"/>
      <c r="Z69" s="2"/>
    </row>
    <row r="70" spans="1:26" ht="19.5" customHeight="1">
      <c r="A70" s="19" t="s">
        <v>409</v>
      </c>
      <c r="B70" s="20" t="s">
        <v>410</v>
      </c>
      <c r="C70" s="21">
        <v>6</v>
      </c>
      <c r="D70" s="22" t="s">
        <v>236</v>
      </c>
      <c r="E70" s="18">
        <v>0.04</v>
      </c>
      <c r="F70" s="18">
        <f>4/((225+325)/2)</f>
        <v>1.4545454545454545E-2</v>
      </c>
      <c r="G70" s="18">
        <f t="shared" ref="G70:G71" si="50">7/((56+46)/2)</f>
        <v>0.13725490196078433</v>
      </c>
      <c r="H70" s="18">
        <f>4.5/((44+77)/2)</f>
        <v>7.43801652892562E-2</v>
      </c>
      <c r="I70" s="18">
        <f>3/((36+25)/2)</f>
        <v>9.8360655737704916E-2</v>
      </c>
      <c r="J70" s="18">
        <f>220/(2300)</f>
        <v>9.5652173913043481E-2</v>
      </c>
      <c r="K70" s="18">
        <f t="shared" ref="K70:K71" si="51">0/((25+30)/2)</f>
        <v>0</v>
      </c>
      <c r="L70" s="18">
        <f>20/(300)</f>
        <v>6.6666666666666666E-2</v>
      </c>
      <c r="M70" s="22" t="s">
        <v>411</v>
      </c>
      <c r="N70" s="2"/>
      <c r="O70" s="2"/>
      <c r="P70" s="2"/>
      <c r="Q70" s="2"/>
      <c r="R70" s="2"/>
      <c r="S70" s="2"/>
      <c r="T70" s="2"/>
      <c r="U70" s="2"/>
      <c r="V70" s="2"/>
      <c r="W70" s="2"/>
      <c r="X70" s="2"/>
      <c r="Y70" s="2"/>
      <c r="Z70" s="2"/>
    </row>
    <row r="71" spans="1:26" ht="19.5" customHeight="1">
      <c r="A71" s="19" t="s">
        <v>514</v>
      </c>
      <c r="B71" s="20" t="s">
        <v>515</v>
      </c>
      <c r="C71" s="21">
        <v>2</v>
      </c>
      <c r="D71" s="22" t="s">
        <v>440</v>
      </c>
      <c r="E71" s="18">
        <v>6.5000000000000002E-2</v>
      </c>
      <c r="F71" s="18">
        <f>1/((225+325)/2)</f>
        <v>3.6363636363636364E-3</v>
      </c>
      <c r="G71" s="18">
        <f t="shared" si="50"/>
        <v>0.13725490196078433</v>
      </c>
      <c r="H71" s="18">
        <f>11/((44+77)/2)</f>
        <v>0.18181818181818182</v>
      </c>
      <c r="I71" s="18">
        <f>1/((36+25)/2)</f>
        <v>3.2786885245901641E-2</v>
      </c>
      <c r="J71" s="18">
        <f>410/(2300)</f>
        <v>0.17826086956521739</v>
      </c>
      <c r="K71" s="18">
        <f t="shared" si="51"/>
        <v>0</v>
      </c>
      <c r="L71" s="18">
        <f>25/(300)</f>
        <v>8.3333333333333329E-2</v>
      </c>
      <c r="M71" s="22" t="s">
        <v>516</v>
      </c>
      <c r="N71" s="2"/>
      <c r="O71" s="2"/>
      <c r="P71" s="2"/>
      <c r="Q71" s="2"/>
      <c r="R71" s="2"/>
      <c r="S71" s="2"/>
      <c r="T71" s="2"/>
      <c r="U71" s="2"/>
      <c r="V71" s="2"/>
      <c r="W71" s="2"/>
      <c r="X71" s="2"/>
      <c r="Y71" s="2"/>
      <c r="Z71" s="2"/>
    </row>
    <row r="72" spans="1:26" ht="19.5" customHeight="1">
      <c r="A72" s="19" t="s">
        <v>688</v>
      </c>
      <c r="B72" s="20" t="s">
        <v>689</v>
      </c>
      <c r="C72" s="21">
        <v>1</v>
      </c>
      <c r="D72" s="22" t="s">
        <v>690</v>
      </c>
      <c r="E72" s="18">
        <v>0.14499999999999999</v>
      </c>
      <c r="F72" s="18">
        <f>35/((225+325)/2)</f>
        <v>0.12727272727272726</v>
      </c>
      <c r="G72" s="18">
        <f>19/((56+46)/2)</f>
        <v>0.37254901960784315</v>
      </c>
      <c r="H72" s="18">
        <f>8/((44+77)/2)</f>
        <v>0.13223140495867769</v>
      </c>
      <c r="I72" s="18">
        <f>6/((36+25)/2)</f>
        <v>0.19672131147540983</v>
      </c>
      <c r="J72" s="18">
        <f>660/(2300)</f>
        <v>0.28695652173913044</v>
      </c>
      <c r="K72" s="18">
        <f>7/((25+30)/2)</f>
        <v>0.25454545454545452</v>
      </c>
      <c r="L72" s="18">
        <f>55/(300)</f>
        <v>0.18333333333333332</v>
      </c>
      <c r="M72" s="22" t="s">
        <v>691</v>
      </c>
      <c r="N72" s="2"/>
      <c r="O72" s="2"/>
      <c r="P72" s="2"/>
      <c r="Q72" s="2"/>
      <c r="R72" s="2"/>
      <c r="S72" s="2"/>
      <c r="T72" s="2"/>
      <c r="U72" s="2"/>
      <c r="V72" s="2"/>
      <c r="W72" s="2"/>
      <c r="X72" s="2"/>
      <c r="Y72" s="2"/>
      <c r="Z72" s="2"/>
    </row>
    <row r="73" spans="1:26" ht="19.5" customHeight="1">
      <c r="A73" s="19" t="s">
        <v>1057</v>
      </c>
      <c r="B73" s="20" t="s">
        <v>1058</v>
      </c>
      <c r="C73" s="21">
        <v>0.5</v>
      </c>
      <c r="D73" s="22" t="s">
        <v>17</v>
      </c>
      <c r="E73" s="18">
        <v>0.04</v>
      </c>
      <c r="F73" s="18">
        <f>1/((225+325)/2)</f>
        <v>3.6363636363636364E-3</v>
      </c>
      <c r="G73" s="18">
        <f>13/((56+46)/2)</f>
        <v>0.25490196078431371</v>
      </c>
      <c r="H73" s="18">
        <f>3/((44+77)/2)</f>
        <v>4.9586776859504134E-2</v>
      </c>
      <c r="I73" s="18">
        <f>0/((36+25)/2)</f>
        <v>0</v>
      </c>
      <c r="J73" s="18">
        <f>280/(2300)</f>
        <v>0.12173913043478261</v>
      </c>
      <c r="K73" s="18">
        <f>1/((25+30)/2)</f>
        <v>3.6363636363636362E-2</v>
      </c>
      <c r="L73" s="18">
        <f t="shared" ref="L73:L77" si="52">0/(300)</f>
        <v>0</v>
      </c>
      <c r="M73" s="22" t="s">
        <v>1059</v>
      </c>
      <c r="N73" s="2"/>
      <c r="O73" s="2"/>
      <c r="P73" s="2"/>
      <c r="Q73" s="2"/>
      <c r="R73" s="2"/>
      <c r="S73" s="2"/>
      <c r="T73" s="2"/>
      <c r="U73" s="2"/>
      <c r="V73" s="2"/>
      <c r="W73" s="2"/>
      <c r="X73" s="2"/>
      <c r="Y73" s="2"/>
      <c r="Z73" s="2"/>
    </row>
    <row r="74" spans="1:26" ht="19.5" customHeight="1">
      <c r="A74" s="19" t="s">
        <v>692</v>
      </c>
      <c r="B74" s="20" t="s">
        <v>693</v>
      </c>
      <c r="C74" s="21">
        <v>1</v>
      </c>
      <c r="D74" s="22" t="s">
        <v>599</v>
      </c>
      <c r="E74" s="18">
        <v>0.105</v>
      </c>
      <c r="F74" s="18">
        <f t="shared" ref="F74:F77" si="53">11/((225+325)/2)</f>
        <v>0.04</v>
      </c>
      <c r="G74" s="18">
        <f t="shared" ref="G74:G77" si="54">9/((56+46)/2)</f>
        <v>0.17647058823529413</v>
      </c>
      <c r="H74" s="18">
        <f t="shared" ref="H74:H75" si="55">15/((44+77)/2)</f>
        <v>0.24793388429752067</v>
      </c>
      <c r="I74" s="18">
        <f t="shared" ref="I74:I75" si="56">3/((36+25)/2)</f>
        <v>9.8360655737704916E-2</v>
      </c>
      <c r="J74" s="18">
        <f>55/(2300)</f>
        <v>2.391304347826087E-2</v>
      </c>
      <c r="K74" s="18">
        <f t="shared" ref="K74:K77" si="57">6/((25+30)/2)</f>
        <v>0.21818181818181817</v>
      </c>
      <c r="L74" s="18">
        <f t="shared" si="52"/>
        <v>0</v>
      </c>
      <c r="M74" s="22" t="s">
        <v>694</v>
      </c>
      <c r="N74" s="2"/>
      <c r="O74" s="2"/>
      <c r="P74" s="2"/>
      <c r="Q74" s="2"/>
      <c r="R74" s="2"/>
      <c r="S74" s="2"/>
      <c r="T74" s="2"/>
      <c r="U74" s="2"/>
      <c r="V74" s="2"/>
      <c r="W74" s="2"/>
      <c r="X74" s="2"/>
      <c r="Y74" s="2"/>
      <c r="Z74" s="2"/>
    </row>
    <row r="75" spans="1:26" ht="19.5" customHeight="1">
      <c r="A75" s="19" t="s">
        <v>695</v>
      </c>
      <c r="B75" s="20" t="s">
        <v>696</v>
      </c>
      <c r="C75" s="21">
        <v>1</v>
      </c>
      <c r="D75" s="22" t="s">
        <v>599</v>
      </c>
      <c r="E75" s="18">
        <v>0.105</v>
      </c>
      <c r="F75" s="18">
        <f t="shared" si="53"/>
        <v>0.04</v>
      </c>
      <c r="G75" s="18">
        <f t="shared" si="54"/>
        <v>0.17647058823529413</v>
      </c>
      <c r="H75" s="18">
        <f t="shared" si="55"/>
        <v>0.24793388429752067</v>
      </c>
      <c r="I75" s="18">
        <f t="shared" si="56"/>
        <v>9.8360655737704916E-2</v>
      </c>
      <c r="J75" s="18">
        <f>40/(2300)</f>
        <v>1.7391304347826087E-2</v>
      </c>
      <c r="K75" s="18">
        <f t="shared" si="57"/>
        <v>0.21818181818181817</v>
      </c>
      <c r="L75" s="18">
        <f t="shared" si="52"/>
        <v>0</v>
      </c>
      <c r="M75" s="22" t="s">
        <v>697</v>
      </c>
      <c r="N75" s="2"/>
      <c r="O75" s="2"/>
      <c r="P75" s="2"/>
      <c r="Q75" s="2"/>
      <c r="R75" s="2"/>
      <c r="S75" s="2"/>
      <c r="T75" s="2"/>
      <c r="U75" s="2"/>
      <c r="V75" s="2"/>
      <c r="W75" s="2"/>
      <c r="X75" s="2"/>
      <c r="Y75" s="2"/>
      <c r="Z75" s="2"/>
    </row>
    <row r="76" spans="1:26" ht="19.5" customHeight="1">
      <c r="A76" s="19" t="s">
        <v>698</v>
      </c>
      <c r="B76" s="20" t="s">
        <v>699</v>
      </c>
      <c r="C76" s="21">
        <v>1</v>
      </c>
      <c r="D76" s="22" t="s">
        <v>599</v>
      </c>
      <c r="E76" s="18">
        <v>0.105</v>
      </c>
      <c r="F76" s="18">
        <f t="shared" si="53"/>
        <v>0.04</v>
      </c>
      <c r="G76" s="18">
        <f t="shared" si="54"/>
        <v>0.17647058823529413</v>
      </c>
      <c r="H76" s="18">
        <f t="shared" ref="H76:H77" si="58">16/((44+77)/2)</f>
        <v>0.26446280991735538</v>
      </c>
      <c r="I76" s="18">
        <f>2/((36+25)/2)</f>
        <v>6.5573770491803282E-2</v>
      </c>
      <c r="J76" s="18">
        <f>110/(2300)</f>
        <v>4.7826086956521741E-2</v>
      </c>
      <c r="K76" s="18">
        <f t="shared" si="57"/>
        <v>0.21818181818181817</v>
      </c>
      <c r="L76" s="18">
        <f t="shared" si="52"/>
        <v>0</v>
      </c>
      <c r="M76" s="22" t="s">
        <v>700</v>
      </c>
      <c r="N76" s="2"/>
      <c r="O76" s="2"/>
      <c r="P76" s="2"/>
      <c r="Q76" s="2"/>
      <c r="R76" s="2"/>
      <c r="S76" s="2"/>
      <c r="T76" s="2"/>
      <c r="U76" s="2"/>
      <c r="V76" s="2"/>
      <c r="W76" s="2"/>
      <c r="X76" s="2"/>
      <c r="Y76" s="2"/>
      <c r="Z76" s="2"/>
    </row>
    <row r="77" spans="1:26" ht="19.5" customHeight="1">
      <c r="A77" s="19" t="s">
        <v>701</v>
      </c>
      <c r="B77" s="20" t="s">
        <v>702</v>
      </c>
      <c r="C77" s="21">
        <v>1</v>
      </c>
      <c r="D77" s="22" t="s">
        <v>599</v>
      </c>
      <c r="E77" s="18">
        <v>0.105</v>
      </c>
      <c r="F77" s="18">
        <f t="shared" si="53"/>
        <v>0.04</v>
      </c>
      <c r="G77" s="18">
        <f t="shared" si="54"/>
        <v>0.17647058823529413</v>
      </c>
      <c r="H77" s="18">
        <f t="shared" si="58"/>
        <v>0.26446280991735538</v>
      </c>
      <c r="I77" s="18">
        <f t="shared" ref="I77:I78" si="59">1/((36+25)/2)</f>
        <v>3.2786885245901641E-2</v>
      </c>
      <c r="J77" s="18">
        <f>50/(2300)</f>
        <v>2.1739130434782608E-2</v>
      </c>
      <c r="K77" s="18">
        <f t="shared" si="57"/>
        <v>0.21818181818181817</v>
      </c>
      <c r="L77" s="18">
        <f t="shared" si="52"/>
        <v>0</v>
      </c>
      <c r="M77" s="22" t="s">
        <v>703</v>
      </c>
      <c r="N77" s="2"/>
      <c r="O77" s="2"/>
      <c r="P77" s="2"/>
      <c r="Q77" s="2"/>
      <c r="R77" s="2"/>
      <c r="S77" s="2"/>
      <c r="T77" s="2"/>
      <c r="U77" s="2"/>
      <c r="V77" s="2"/>
      <c r="W77" s="2"/>
      <c r="X77" s="2"/>
      <c r="Y77" s="2"/>
      <c r="Z77" s="2"/>
    </row>
    <row r="78" spans="1:26" ht="19.5" customHeight="1">
      <c r="A78" s="19" t="s">
        <v>704</v>
      </c>
      <c r="B78" s="20" t="s">
        <v>705</v>
      </c>
      <c r="C78" s="21">
        <v>1</v>
      </c>
      <c r="D78" s="22" t="s">
        <v>624</v>
      </c>
      <c r="E78" s="18">
        <v>0.09</v>
      </c>
      <c r="F78" s="18">
        <f>17/((225+325)/2)</f>
        <v>6.1818181818181821E-2</v>
      </c>
      <c r="G78" s="18">
        <f>5/((56+46)/2)</f>
        <v>9.8039215686274508E-2</v>
      </c>
      <c r="H78" s="18">
        <f>14/((44+77)/2)</f>
        <v>0.23140495867768596</v>
      </c>
      <c r="I78" s="18">
        <f t="shared" si="59"/>
        <v>3.2786885245901641E-2</v>
      </c>
      <c r="J78" s="18">
        <f>290/(2300)</f>
        <v>0.12608695652173912</v>
      </c>
      <c r="K78" s="18">
        <f>4/((25+30)/2)</f>
        <v>0.14545454545454545</v>
      </c>
      <c r="L78" s="18">
        <f>65/(300)</f>
        <v>0.21666666666666667</v>
      </c>
      <c r="M78" s="22" t="s">
        <v>706</v>
      </c>
      <c r="N78" s="2"/>
      <c r="O78" s="2"/>
      <c r="P78" s="2"/>
      <c r="Q78" s="2"/>
      <c r="R78" s="2"/>
      <c r="S78" s="2"/>
      <c r="T78" s="2"/>
      <c r="U78" s="2"/>
      <c r="V78" s="2"/>
      <c r="W78" s="2"/>
      <c r="X78" s="2"/>
      <c r="Y78" s="2"/>
      <c r="Z78" s="2"/>
    </row>
    <row r="79" spans="1:26" ht="19.5" customHeight="1">
      <c r="A79" s="19" t="s">
        <v>343</v>
      </c>
      <c r="B79" s="20" t="s">
        <v>344</v>
      </c>
      <c r="C79" s="21">
        <v>10</v>
      </c>
      <c r="D79" s="22" t="s">
        <v>316</v>
      </c>
      <c r="E79" s="18">
        <v>7.0000000000000007E-2</v>
      </c>
      <c r="F79" s="18">
        <f>16/((225+325)/2)</f>
        <v>5.8181818181818182E-2</v>
      </c>
      <c r="G79" s="18">
        <f>2/((56+46)/2)</f>
        <v>3.9215686274509803E-2</v>
      </c>
      <c r="H79" s="18">
        <f>7/((44+77)/2)</f>
        <v>0.11570247933884298</v>
      </c>
      <c r="I79" s="18">
        <f>0/((36+25)/2)</f>
        <v>0</v>
      </c>
      <c r="J79" s="18">
        <f>65/(2300)</f>
        <v>2.8260869565217391E-2</v>
      </c>
      <c r="K79" s="18">
        <f>2/((25+30)/2)</f>
        <v>7.2727272727272724E-2</v>
      </c>
      <c r="L79" s="18">
        <f>0/(300)</f>
        <v>0</v>
      </c>
      <c r="M79" s="22" t="s">
        <v>345</v>
      </c>
      <c r="N79" s="2"/>
      <c r="O79" s="2"/>
      <c r="P79" s="2"/>
      <c r="Q79" s="2"/>
      <c r="R79" s="2"/>
      <c r="S79" s="2"/>
      <c r="T79" s="2"/>
      <c r="U79" s="2"/>
      <c r="V79" s="2"/>
      <c r="W79" s="2"/>
      <c r="X79" s="2"/>
      <c r="Y79" s="2"/>
      <c r="Z79" s="2"/>
    </row>
    <row r="80" spans="1:26" ht="19.5" customHeight="1">
      <c r="A80" s="19" t="s">
        <v>334</v>
      </c>
      <c r="B80" s="20" t="s">
        <v>335</v>
      </c>
      <c r="C80" s="21">
        <v>11</v>
      </c>
      <c r="D80" s="22" t="s">
        <v>316</v>
      </c>
      <c r="E80" s="18">
        <v>8.5000000000000006E-2</v>
      </c>
      <c r="F80" s="18">
        <f t="shared" ref="F80:F81" si="60">10/((225+325)/2)</f>
        <v>3.6363636363636362E-2</v>
      </c>
      <c r="G80" s="18">
        <f>7/((56+46)/2)</f>
        <v>0.13725490196078433</v>
      </c>
      <c r="H80" s="18">
        <f>11/((44+77)/2)</f>
        <v>0.18181818181818182</v>
      </c>
      <c r="I80" s="18">
        <f>1/((36+25)/2)</f>
        <v>3.2786885245901641E-2</v>
      </c>
      <c r="J80" s="18">
        <f>150/(2300)</f>
        <v>6.5217391304347824E-2</v>
      </c>
      <c r="K80" s="18">
        <f>0/((25+30)/2)</f>
        <v>0</v>
      </c>
      <c r="L80" s="18">
        <f>30/(300)</f>
        <v>0.1</v>
      </c>
      <c r="M80" s="22" t="s">
        <v>336</v>
      </c>
      <c r="N80" s="2"/>
      <c r="O80" s="2"/>
      <c r="P80" s="2"/>
      <c r="Q80" s="2"/>
      <c r="R80" s="2"/>
      <c r="S80" s="2"/>
      <c r="T80" s="2"/>
      <c r="U80" s="2"/>
      <c r="V80" s="2"/>
      <c r="W80" s="2"/>
      <c r="X80" s="2"/>
      <c r="Y80" s="2"/>
      <c r="Z80" s="2"/>
    </row>
    <row r="81" spans="1:26" ht="19.5" customHeight="1">
      <c r="A81" s="19" t="s">
        <v>707</v>
      </c>
      <c r="B81" s="20" t="s">
        <v>708</v>
      </c>
      <c r="C81" s="21">
        <v>1</v>
      </c>
      <c r="D81" s="22" t="s">
        <v>205</v>
      </c>
      <c r="E81" s="18">
        <v>0.06</v>
      </c>
      <c r="F81" s="18">
        <f t="shared" si="60"/>
        <v>3.6363636363636362E-2</v>
      </c>
      <c r="G81" s="18">
        <f>4/((56+46)/2)</f>
        <v>7.8431372549019607E-2</v>
      </c>
      <c r="H81" s="18">
        <f>8/((44+77)/2)</f>
        <v>0.13223140495867769</v>
      </c>
      <c r="I81" s="18">
        <f>9/((36+25)/2)</f>
        <v>0.29508196721311475</v>
      </c>
      <c r="J81" s="18">
        <f>40/(2300)</f>
        <v>1.7391304347826087E-2</v>
      </c>
      <c r="K81" s="18">
        <f>1/((25+30)/2)</f>
        <v>3.6363636363636362E-2</v>
      </c>
      <c r="L81" s="18">
        <f>0/(300)</f>
        <v>0</v>
      </c>
      <c r="M81" s="22" t="s">
        <v>709</v>
      </c>
      <c r="N81" s="2"/>
      <c r="O81" s="2"/>
      <c r="P81" s="2"/>
      <c r="Q81" s="2"/>
      <c r="R81" s="2"/>
      <c r="S81" s="2"/>
      <c r="T81" s="2"/>
      <c r="U81" s="2"/>
      <c r="V81" s="2"/>
      <c r="W81" s="2"/>
      <c r="X81" s="2"/>
      <c r="Y81" s="2"/>
      <c r="Z81" s="2"/>
    </row>
    <row r="82" spans="1:26" ht="19.5" customHeight="1">
      <c r="A82" s="19" t="s">
        <v>710</v>
      </c>
      <c r="B82" s="20" t="s">
        <v>711</v>
      </c>
      <c r="C82" s="21">
        <v>1</v>
      </c>
      <c r="D82" s="22" t="s">
        <v>212</v>
      </c>
      <c r="E82" s="18">
        <v>0.08</v>
      </c>
      <c r="F82" s="18">
        <f>1/((225+325)/2)</f>
        <v>3.6363636363636364E-3</v>
      </c>
      <c r="G82" s="18">
        <f>32/((56+46)/2)</f>
        <v>0.62745098039215685</v>
      </c>
      <c r="H82" s="18">
        <f>4/((44+77)/2)</f>
        <v>6.6115702479338845E-2</v>
      </c>
      <c r="I82" s="18">
        <f t="shared" ref="I82:I83" si="61">0/((36+25)/2)</f>
        <v>0</v>
      </c>
      <c r="J82" s="18">
        <f>460/(2300)</f>
        <v>0.2</v>
      </c>
      <c r="K82" s="18">
        <f>0/((25+30)/2)</f>
        <v>0</v>
      </c>
      <c r="L82" s="18">
        <f>80/(300)</f>
        <v>0.26666666666666666</v>
      </c>
      <c r="M82" s="22" t="s">
        <v>712</v>
      </c>
      <c r="N82" s="2"/>
      <c r="O82" s="2"/>
      <c r="P82" s="2"/>
      <c r="Q82" s="2"/>
      <c r="R82" s="2"/>
      <c r="S82" s="2"/>
      <c r="T82" s="2"/>
      <c r="U82" s="2"/>
      <c r="V82" s="2"/>
      <c r="W82" s="2"/>
      <c r="X82" s="2"/>
      <c r="Y82" s="2"/>
      <c r="Z82" s="2"/>
    </row>
    <row r="83" spans="1:26" ht="19.5" customHeight="1">
      <c r="A83" s="19" t="s">
        <v>281</v>
      </c>
      <c r="B83" s="20" t="s">
        <v>282</v>
      </c>
      <c r="C83" s="21">
        <v>25</v>
      </c>
      <c r="D83" s="22" t="s">
        <v>236</v>
      </c>
      <c r="E83" s="18">
        <v>6.5000000000000002E-2</v>
      </c>
      <c r="F83" s="18">
        <f>18/((225+325)/2)</f>
        <v>6.545454545454546E-2</v>
      </c>
      <c r="G83" s="18">
        <f>1/((56+46)/2)</f>
        <v>1.9607843137254902E-2</v>
      </c>
      <c r="H83" s="18">
        <f>6/((44+77)/2)</f>
        <v>9.9173553719008267E-2</v>
      </c>
      <c r="I83" s="18">
        <f t="shared" si="61"/>
        <v>0</v>
      </c>
      <c r="J83" s="18">
        <f>190/(2300)</f>
        <v>8.2608695652173908E-2</v>
      </c>
      <c r="K83" s="18">
        <f>1/((25+30)/2)</f>
        <v>3.6363636363636362E-2</v>
      </c>
      <c r="L83" s="18">
        <f>0/(300)</f>
        <v>0</v>
      </c>
      <c r="M83" s="22" t="s">
        <v>283</v>
      </c>
      <c r="N83" s="2"/>
      <c r="O83" s="2"/>
      <c r="P83" s="2"/>
      <c r="Q83" s="2"/>
      <c r="R83" s="2"/>
      <c r="S83" s="2"/>
      <c r="T83" s="2"/>
      <c r="U83" s="2"/>
      <c r="V83" s="2"/>
      <c r="W83" s="2"/>
      <c r="X83" s="2"/>
      <c r="Y83" s="2"/>
      <c r="Z83" s="2"/>
    </row>
    <row r="84" spans="1:26" ht="19.5" customHeight="1">
      <c r="A84" s="19" t="s">
        <v>224</v>
      </c>
      <c r="B84" s="20" t="s">
        <v>225</v>
      </c>
      <c r="C84" s="21">
        <v>100</v>
      </c>
      <c r="D84" s="22" t="s">
        <v>226</v>
      </c>
      <c r="E84" s="18">
        <v>0.34949999999999998</v>
      </c>
      <c r="F84" s="18">
        <f>13.3/((225+325)/2)</f>
        <v>4.8363636363636366E-2</v>
      </c>
      <c r="G84" s="18">
        <f>20.5/((56+46)/2)</f>
        <v>0.40196078431372551</v>
      </c>
      <c r="H84" s="18">
        <f>62.8/((44+77)/2)</f>
        <v>1.0380165289256198</v>
      </c>
      <c r="I84" s="18" t="s">
        <v>218</v>
      </c>
      <c r="J84" s="18">
        <f>235/(2300)</f>
        <v>0.10217391304347827</v>
      </c>
      <c r="K84" s="18" t="s">
        <v>218</v>
      </c>
      <c r="L84" s="18" t="s">
        <v>218</v>
      </c>
      <c r="M84" s="22" t="s">
        <v>227</v>
      </c>
      <c r="N84" s="2"/>
      <c r="O84" s="2"/>
      <c r="P84" s="2"/>
      <c r="Q84" s="2"/>
      <c r="R84" s="2"/>
      <c r="S84" s="2"/>
      <c r="T84" s="2"/>
      <c r="U84" s="2"/>
      <c r="V84" s="2"/>
      <c r="W84" s="2"/>
      <c r="X84" s="2"/>
      <c r="Y84" s="2"/>
      <c r="Z84" s="2"/>
    </row>
    <row r="85" spans="1:26" ht="19.5" customHeight="1">
      <c r="A85" s="19" t="s">
        <v>517</v>
      </c>
      <c r="B85" s="20" t="s">
        <v>518</v>
      </c>
      <c r="C85" s="21">
        <v>2</v>
      </c>
      <c r="D85" s="22" t="s">
        <v>31</v>
      </c>
      <c r="E85" s="18">
        <v>0.1075</v>
      </c>
      <c r="F85" s="18">
        <f>4/((225+325)/2)</f>
        <v>1.4545454545454545E-2</v>
      </c>
      <c r="G85" s="18">
        <f>8/((56+46)/2)</f>
        <v>0.15686274509803921</v>
      </c>
      <c r="H85" s="18">
        <f>19/((44+77)/2)</f>
        <v>0.31404958677685951</v>
      </c>
      <c r="I85" s="18">
        <f>0/((36+25)/2)</f>
        <v>0</v>
      </c>
      <c r="J85" s="18">
        <f>45/(2300)</f>
        <v>1.9565217391304349E-2</v>
      </c>
      <c r="K85" s="18">
        <f>4/((25+30)/2)</f>
        <v>0.14545454545454545</v>
      </c>
      <c r="L85" s="18">
        <f>0/(300)</f>
        <v>0</v>
      </c>
      <c r="M85" s="22" t="s">
        <v>519</v>
      </c>
      <c r="N85" s="2"/>
      <c r="O85" s="2"/>
      <c r="P85" s="2"/>
      <c r="Q85" s="2"/>
      <c r="R85" s="2"/>
      <c r="S85" s="2"/>
      <c r="T85" s="2"/>
      <c r="U85" s="2"/>
      <c r="V85" s="2"/>
      <c r="W85" s="2"/>
      <c r="X85" s="2"/>
      <c r="Y85" s="2"/>
      <c r="Z85" s="2"/>
    </row>
    <row r="86" spans="1:26" ht="19.5" customHeight="1">
      <c r="A86" s="19" t="s">
        <v>713</v>
      </c>
      <c r="B86" s="20" t="s">
        <v>1084</v>
      </c>
      <c r="C86" s="21">
        <v>1</v>
      </c>
      <c r="D86" s="22" t="s">
        <v>17</v>
      </c>
      <c r="E86" s="18">
        <v>0.02</v>
      </c>
      <c r="F86" s="18">
        <f>7/((225+325)/2)</f>
        <v>2.5454545454545455E-2</v>
      </c>
      <c r="G86" s="18">
        <f>2/((56+46)/2)</f>
        <v>3.9215686274509803E-2</v>
      </c>
      <c r="H86" s="18">
        <f t="shared" ref="H86:H88" si="62">0/((44+77)/2)</f>
        <v>0</v>
      </c>
      <c r="I86" s="18" t="s">
        <v>218</v>
      </c>
      <c r="J86" s="18">
        <f>55/(2300)</f>
        <v>2.391304347826087E-2</v>
      </c>
      <c r="K86" s="18" t="s">
        <v>218</v>
      </c>
      <c r="L86" s="18" t="s">
        <v>218</v>
      </c>
      <c r="M86" s="22" t="s">
        <v>715</v>
      </c>
      <c r="N86" s="2"/>
      <c r="O86" s="2"/>
      <c r="P86" s="2"/>
      <c r="Q86" s="2"/>
      <c r="R86" s="2"/>
      <c r="S86" s="2"/>
      <c r="T86" s="2"/>
      <c r="U86" s="2"/>
      <c r="V86" s="2"/>
      <c r="W86" s="2"/>
      <c r="X86" s="2"/>
      <c r="Y86" s="2"/>
      <c r="Z86" s="2"/>
    </row>
    <row r="87" spans="1:26" ht="19.5" customHeight="1">
      <c r="A87" s="19" t="s">
        <v>163</v>
      </c>
      <c r="B87" s="20" t="s">
        <v>164</v>
      </c>
      <c r="C87" s="22" t="s">
        <v>155</v>
      </c>
      <c r="D87" s="22" t="s">
        <v>17</v>
      </c>
      <c r="E87" s="18">
        <v>1.5E-3</v>
      </c>
      <c r="F87" s="18">
        <f>0/((225+325)/2)</f>
        <v>0</v>
      </c>
      <c r="G87" s="18">
        <f t="shared" ref="G87:G88" si="63">0/((56+46)/2)</f>
        <v>0</v>
      </c>
      <c r="H87" s="18">
        <f t="shared" si="62"/>
        <v>0</v>
      </c>
      <c r="I87" s="18">
        <f>0/((36+25)/2)</f>
        <v>0</v>
      </c>
      <c r="J87" s="18">
        <f>155/(2300)</f>
        <v>6.7391304347826086E-2</v>
      </c>
      <c r="K87" s="18">
        <f t="shared" ref="K87:K89" si="64">0/((25+30)/2)</f>
        <v>0</v>
      </c>
      <c r="L87" s="18">
        <f t="shared" ref="L87:L88" si="65">0/(300)</f>
        <v>0</v>
      </c>
      <c r="M87" s="22" t="s">
        <v>165</v>
      </c>
      <c r="N87" s="2"/>
      <c r="O87" s="2"/>
      <c r="P87" s="2"/>
      <c r="Q87" s="2"/>
      <c r="R87" s="2"/>
      <c r="S87" s="2"/>
      <c r="T87" s="2"/>
      <c r="U87" s="2"/>
      <c r="V87" s="2"/>
      <c r="W87" s="2"/>
      <c r="X87" s="2"/>
      <c r="Y87" s="2"/>
      <c r="Z87" s="2"/>
    </row>
    <row r="88" spans="1:26" ht="19.5" customHeight="1">
      <c r="A88" s="19" t="s">
        <v>716</v>
      </c>
      <c r="B88" s="20" t="s">
        <v>717</v>
      </c>
      <c r="C88" s="21">
        <v>1</v>
      </c>
      <c r="D88" s="22" t="s">
        <v>17</v>
      </c>
      <c r="E88" s="18">
        <v>1.2500000000000001E-2</v>
      </c>
      <c r="F88" s="18">
        <f>6/((225+325)/2)</f>
        <v>2.181818181818182E-2</v>
      </c>
      <c r="G88" s="18">
        <f t="shared" si="63"/>
        <v>0</v>
      </c>
      <c r="H88" s="18">
        <f t="shared" si="62"/>
        <v>0</v>
      </c>
      <c r="I88" s="18">
        <f>4/((36+25)/2)</f>
        <v>0.13114754098360656</v>
      </c>
      <c r="J88" s="18">
        <f>210/(2300)</f>
        <v>9.1304347826086957E-2</v>
      </c>
      <c r="K88" s="18">
        <f t="shared" si="64"/>
        <v>0</v>
      </c>
      <c r="L88" s="18">
        <f t="shared" si="65"/>
        <v>0</v>
      </c>
      <c r="M88" s="22" t="s">
        <v>718</v>
      </c>
      <c r="N88" s="2"/>
      <c r="O88" s="2"/>
      <c r="P88" s="2"/>
      <c r="Q88" s="2"/>
      <c r="R88" s="2"/>
      <c r="S88" s="2"/>
      <c r="T88" s="2"/>
      <c r="U88" s="2"/>
      <c r="V88" s="2"/>
      <c r="W88" s="2"/>
      <c r="X88" s="2"/>
      <c r="Y88" s="2"/>
      <c r="Z88" s="2"/>
    </row>
    <row r="89" spans="1:26" ht="19.5" customHeight="1">
      <c r="A89" s="19" t="s">
        <v>719</v>
      </c>
      <c r="B89" s="20" t="s">
        <v>720</v>
      </c>
      <c r="C89" s="21">
        <v>1</v>
      </c>
      <c r="D89" s="22" t="s">
        <v>212</v>
      </c>
      <c r="E89" s="18">
        <v>0.09</v>
      </c>
      <c r="F89" s="18">
        <f>1/((225+325)/2)</f>
        <v>3.6363636363636364E-3</v>
      </c>
      <c r="G89" s="18">
        <f>3/((56+46)/2)</f>
        <v>5.8823529411764705E-2</v>
      </c>
      <c r="H89" s="18">
        <f>5/((44+77)/2)</f>
        <v>8.2644628099173556E-2</v>
      </c>
      <c r="I89" s="18">
        <f t="shared" ref="I89:I91" si="66">0/((36+25)/2)</f>
        <v>0</v>
      </c>
      <c r="J89" s="18">
        <f>700/(2300)</f>
        <v>0.30434782608695654</v>
      </c>
      <c r="K89" s="18">
        <f t="shared" si="64"/>
        <v>0</v>
      </c>
      <c r="L89" s="18">
        <f>80/(300)</f>
        <v>0.26666666666666666</v>
      </c>
      <c r="M89" s="22" t="s">
        <v>721</v>
      </c>
      <c r="N89" s="2"/>
      <c r="O89" s="2"/>
      <c r="P89" s="2"/>
      <c r="Q89" s="2"/>
      <c r="R89" s="2"/>
      <c r="S89" s="2"/>
      <c r="T89" s="2"/>
      <c r="U89" s="2"/>
      <c r="V89" s="2"/>
      <c r="W89" s="2"/>
      <c r="X89" s="2"/>
      <c r="Y89" s="2"/>
      <c r="Z89" s="2"/>
    </row>
    <row r="90" spans="1:26" ht="19.5" customHeight="1">
      <c r="A90" s="19" t="s">
        <v>418</v>
      </c>
      <c r="B90" s="20" t="s">
        <v>419</v>
      </c>
      <c r="C90" s="21">
        <v>5</v>
      </c>
      <c r="D90" s="22" t="s">
        <v>320</v>
      </c>
      <c r="E90" s="18">
        <v>5.5E-2</v>
      </c>
      <c r="F90" s="18">
        <f>20/((225+325)/2)</f>
        <v>7.2727272727272724E-2</v>
      </c>
      <c r="G90" s="18">
        <f>5/((56+46)/2)</f>
        <v>9.8039215686274508E-2</v>
      </c>
      <c r="H90" s="18">
        <f>2/((44+77)/2)</f>
        <v>3.3057851239669422E-2</v>
      </c>
      <c r="I90" s="18">
        <f t="shared" si="66"/>
        <v>0</v>
      </c>
      <c r="J90" s="18">
        <f>223/(2300)</f>
        <v>9.6956521739130441E-2</v>
      </c>
      <c r="K90" s="18">
        <f>4/((25+30)/2)</f>
        <v>0.14545454545454545</v>
      </c>
      <c r="L90" s="18">
        <f t="shared" ref="L90:L96" si="67">0/(300)</f>
        <v>0</v>
      </c>
      <c r="M90" s="22" t="s">
        <v>420</v>
      </c>
      <c r="N90" s="2"/>
      <c r="O90" s="2"/>
      <c r="P90" s="2"/>
      <c r="Q90" s="2"/>
      <c r="R90" s="2"/>
      <c r="S90" s="2"/>
      <c r="T90" s="2"/>
      <c r="U90" s="2"/>
      <c r="V90" s="2"/>
      <c r="W90" s="2"/>
      <c r="X90" s="2"/>
      <c r="Y90" s="2"/>
      <c r="Z90" s="2"/>
    </row>
    <row r="91" spans="1:26" ht="19.5" customHeight="1">
      <c r="A91" s="19" t="s">
        <v>722</v>
      </c>
      <c r="B91" s="20" t="s">
        <v>723</v>
      </c>
      <c r="C91" s="21">
        <v>1</v>
      </c>
      <c r="D91" s="22" t="s">
        <v>606</v>
      </c>
      <c r="E91" s="18">
        <v>0</v>
      </c>
      <c r="F91" s="18">
        <f>0/((225+325)/2)</f>
        <v>0</v>
      </c>
      <c r="G91" s="18">
        <f t="shared" ref="G91:G95" si="68">0/((56+46)/2)</f>
        <v>0</v>
      </c>
      <c r="H91" s="18">
        <f t="shared" ref="H91:H97" si="69">0/((44+77)/2)</f>
        <v>0</v>
      </c>
      <c r="I91" s="18">
        <f t="shared" si="66"/>
        <v>0</v>
      </c>
      <c r="J91" s="18">
        <f>25/(2300)</f>
        <v>1.0869565217391304E-2</v>
      </c>
      <c r="K91" s="18">
        <f t="shared" ref="K91:K94" si="70">0/((25+30)/2)</f>
        <v>0</v>
      </c>
      <c r="L91" s="18">
        <f t="shared" si="67"/>
        <v>0</v>
      </c>
      <c r="M91" s="22" t="s">
        <v>724</v>
      </c>
      <c r="N91" s="2"/>
      <c r="O91" s="2"/>
      <c r="P91" s="2"/>
      <c r="Q91" s="2"/>
      <c r="R91" s="2"/>
      <c r="S91" s="2"/>
      <c r="T91" s="2"/>
      <c r="U91" s="2"/>
      <c r="V91" s="2"/>
      <c r="W91" s="2"/>
      <c r="X91" s="2"/>
      <c r="Y91" s="2"/>
      <c r="Z91" s="2"/>
    </row>
    <row r="92" spans="1:26" ht="19.5" customHeight="1">
      <c r="A92" s="19" t="s">
        <v>359</v>
      </c>
      <c r="B92" s="20" t="s">
        <v>360</v>
      </c>
      <c r="C92" s="21">
        <v>8</v>
      </c>
      <c r="D92" s="22" t="s">
        <v>306</v>
      </c>
      <c r="E92" s="18">
        <v>2.5000000000000001E-2</v>
      </c>
      <c r="F92" s="18">
        <f>13/((225+325)/2)</f>
        <v>4.7272727272727272E-2</v>
      </c>
      <c r="G92" s="18">
        <f t="shared" si="68"/>
        <v>0</v>
      </c>
      <c r="H92" s="18">
        <f t="shared" si="69"/>
        <v>0</v>
      </c>
      <c r="I92" s="18">
        <f>11/((36+25)/2)</f>
        <v>0.36065573770491804</v>
      </c>
      <c r="J92" s="18">
        <f>60/(2300)</f>
        <v>2.6086956521739129E-2</v>
      </c>
      <c r="K92" s="18">
        <f t="shared" si="70"/>
        <v>0</v>
      </c>
      <c r="L92" s="18">
        <f t="shared" si="67"/>
        <v>0</v>
      </c>
      <c r="M92" s="22" t="s">
        <v>361</v>
      </c>
      <c r="N92" s="2"/>
      <c r="O92" s="2"/>
      <c r="P92" s="2"/>
      <c r="Q92" s="2"/>
      <c r="R92" s="2"/>
      <c r="S92" s="2"/>
      <c r="T92" s="2"/>
      <c r="U92" s="2"/>
      <c r="V92" s="2"/>
      <c r="W92" s="2"/>
      <c r="X92" s="2"/>
      <c r="Y92" s="2"/>
      <c r="Z92" s="2"/>
    </row>
    <row r="93" spans="1:26" ht="19.5" customHeight="1">
      <c r="A93" s="19" t="s">
        <v>725</v>
      </c>
      <c r="B93" s="20" t="s">
        <v>726</v>
      </c>
      <c r="C93" s="21">
        <v>1</v>
      </c>
      <c r="D93" s="22" t="s">
        <v>727</v>
      </c>
      <c r="E93" s="18">
        <v>0</v>
      </c>
      <c r="F93" s="18">
        <f t="shared" ref="F93:F94" si="71">0/((225+325)/2)</f>
        <v>0</v>
      </c>
      <c r="G93" s="18">
        <f t="shared" si="68"/>
        <v>0</v>
      </c>
      <c r="H93" s="18">
        <f t="shared" si="69"/>
        <v>0</v>
      </c>
      <c r="I93" s="18">
        <f t="shared" ref="I93:I96" si="72">0/((36+25)/2)</f>
        <v>0</v>
      </c>
      <c r="J93" s="18">
        <f t="shared" ref="J93:J95" si="73">0/(2300)</f>
        <v>0</v>
      </c>
      <c r="K93" s="18">
        <f t="shared" si="70"/>
        <v>0</v>
      </c>
      <c r="L93" s="18">
        <f t="shared" si="67"/>
        <v>0</v>
      </c>
      <c r="M93" s="22" t="s">
        <v>728</v>
      </c>
      <c r="N93" s="2"/>
      <c r="O93" s="2"/>
      <c r="P93" s="2"/>
      <c r="Q93" s="2"/>
      <c r="R93" s="2"/>
      <c r="S93" s="2"/>
      <c r="T93" s="2"/>
      <c r="U93" s="2"/>
      <c r="V93" s="2"/>
      <c r="W93" s="2"/>
      <c r="X93" s="2"/>
      <c r="Y93" s="2"/>
      <c r="Z93" s="2"/>
    </row>
    <row r="94" spans="1:26" ht="19.5" customHeight="1">
      <c r="A94" s="19" t="s">
        <v>729</v>
      </c>
      <c r="B94" s="20" t="s">
        <v>730</v>
      </c>
      <c r="C94" s="21">
        <v>1</v>
      </c>
      <c r="D94" s="22" t="s">
        <v>606</v>
      </c>
      <c r="E94" s="18">
        <v>0</v>
      </c>
      <c r="F94" s="18">
        <f t="shared" si="71"/>
        <v>0</v>
      </c>
      <c r="G94" s="18">
        <f t="shared" si="68"/>
        <v>0</v>
      </c>
      <c r="H94" s="18">
        <f t="shared" si="69"/>
        <v>0</v>
      </c>
      <c r="I94" s="18">
        <f t="shared" si="72"/>
        <v>0</v>
      </c>
      <c r="J94" s="18">
        <f t="shared" si="73"/>
        <v>0</v>
      </c>
      <c r="K94" s="18">
        <f t="shared" si="70"/>
        <v>0</v>
      </c>
      <c r="L94" s="18">
        <f t="shared" si="67"/>
        <v>0</v>
      </c>
      <c r="M94" s="22" t="s">
        <v>731</v>
      </c>
      <c r="N94" s="2"/>
      <c r="O94" s="2"/>
      <c r="P94" s="2"/>
      <c r="Q94" s="2"/>
      <c r="R94" s="2"/>
      <c r="S94" s="2"/>
      <c r="T94" s="2"/>
      <c r="U94" s="2"/>
      <c r="V94" s="2"/>
      <c r="W94" s="2"/>
      <c r="X94" s="2"/>
      <c r="Y94" s="2"/>
      <c r="Z94" s="2"/>
    </row>
    <row r="95" spans="1:26" ht="19.5" customHeight="1">
      <c r="A95" s="19" t="s">
        <v>445</v>
      </c>
      <c r="B95" s="20" t="s">
        <v>446</v>
      </c>
      <c r="C95" s="21">
        <v>3</v>
      </c>
      <c r="D95" s="22" t="s">
        <v>205</v>
      </c>
      <c r="E95" s="18">
        <v>0</v>
      </c>
      <c r="F95" s="18">
        <f>1/((225+325)/2)</f>
        <v>3.6363636363636364E-3</v>
      </c>
      <c r="G95" s="18">
        <f t="shared" si="68"/>
        <v>0</v>
      </c>
      <c r="H95" s="18">
        <f t="shared" si="69"/>
        <v>0</v>
      </c>
      <c r="I95" s="18">
        <f t="shared" si="72"/>
        <v>0</v>
      </c>
      <c r="J95" s="18">
        <f t="shared" si="73"/>
        <v>0</v>
      </c>
      <c r="K95" s="18">
        <f>2/((25+30)/2)</f>
        <v>7.2727272727272724E-2</v>
      </c>
      <c r="L95" s="18">
        <f t="shared" si="67"/>
        <v>0</v>
      </c>
      <c r="M95" s="22" t="s">
        <v>447</v>
      </c>
      <c r="N95" s="2"/>
      <c r="O95" s="2"/>
      <c r="P95" s="2"/>
      <c r="Q95" s="2"/>
      <c r="R95" s="2"/>
      <c r="S95" s="2"/>
      <c r="T95" s="2"/>
      <c r="U95" s="2"/>
      <c r="V95" s="2"/>
      <c r="W95" s="2"/>
      <c r="X95" s="2"/>
      <c r="Y95" s="2"/>
      <c r="Z95" s="2"/>
    </row>
    <row r="96" spans="1:26" ht="19.5" customHeight="1">
      <c r="A96" s="19" t="s">
        <v>732</v>
      </c>
      <c r="B96" s="20" t="s">
        <v>733</v>
      </c>
      <c r="C96" s="21">
        <v>1</v>
      </c>
      <c r="D96" s="22" t="s">
        <v>17</v>
      </c>
      <c r="E96" s="18">
        <v>1.7500000000000002E-2</v>
      </c>
      <c r="F96" s="18">
        <f>0/((225+325)/2)</f>
        <v>0</v>
      </c>
      <c r="G96" s="18">
        <f>9/((56+46)/2)</f>
        <v>0.17647058823529413</v>
      </c>
      <c r="H96" s="18">
        <f t="shared" si="69"/>
        <v>0</v>
      </c>
      <c r="I96" s="18">
        <f t="shared" si="72"/>
        <v>0</v>
      </c>
      <c r="J96" s="18">
        <f>85/(2300)</f>
        <v>3.6956521739130437E-2</v>
      </c>
      <c r="K96" s="18">
        <f>0/((25+30)/2)</f>
        <v>0</v>
      </c>
      <c r="L96" s="18">
        <f t="shared" si="67"/>
        <v>0</v>
      </c>
      <c r="M96" s="22" t="s">
        <v>734</v>
      </c>
      <c r="N96" s="2"/>
      <c r="O96" s="2"/>
      <c r="P96" s="2"/>
      <c r="Q96" s="2"/>
      <c r="R96" s="2"/>
      <c r="S96" s="2"/>
      <c r="T96" s="2"/>
      <c r="U96" s="2"/>
      <c r="V96" s="2"/>
      <c r="W96" s="2"/>
      <c r="X96" s="2"/>
      <c r="Y96" s="2"/>
      <c r="Z96" s="2"/>
    </row>
    <row r="97" spans="1:26" ht="19.5" customHeight="1">
      <c r="A97" s="19" t="s">
        <v>735</v>
      </c>
      <c r="B97" s="20" t="s">
        <v>736</v>
      </c>
      <c r="C97" s="21">
        <v>1</v>
      </c>
      <c r="D97" s="22" t="s">
        <v>17</v>
      </c>
      <c r="E97" s="18">
        <v>2.5000000000000001E-2</v>
      </c>
      <c r="F97" s="18">
        <f>2/((225+325)/2)</f>
        <v>7.2727272727272727E-3</v>
      </c>
      <c r="G97" s="18">
        <f>11/((56+46)/2)</f>
        <v>0.21568627450980393</v>
      </c>
      <c r="H97" s="18">
        <f t="shared" si="69"/>
        <v>0</v>
      </c>
      <c r="I97" s="18">
        <f>1/((36+25)/2)</f>
        <v>3.2786885245901641E-2</v>
      </c>
      <c r="J97" s="18">
        <f>220/(2300)</f>
        <v>9.5652173913043481E-2</v>
      </c>
      <c r="K97" s="18">
        <f>1/((25+30)/2)</f>
        <v>3.6363636363636362E-2</v>
      </c>
      <c r="L97" s="18">
        <f>5/(300)</f>
        <v>1.6666666666666666E-2</v>
      </c>
      <c r="M97" s="22" t="s">
        <v>737</v>
      </c>
      <c r="N97" s="2"/>
      <c r="O97" s="2"/>
      <c r="P97" s="2"/>
      <c r="Q97" s="2"/>
      <c r="R97" s="2"/>
      <c r="S97" s="2"/>
      <c r="T97" s="2"/>
      <c r="U97" s="2"/>
      <c r="V97" s="2"/>
      <c r="W97" s="2"/>
      <c r="X97" s="2"/>
      <c r="Y97" s="2"/>
      <c r="Z97" s="2"/>
    </row>
    <row r="98" spans="1:26" ht="19.5" customHeight="1">
      <c r="A98" s="19" t="s">
        <v>520</v>
      </c>
      <c r="B98" s="20" t="s">
        <v>521</v>
      </c>
      <c r="C98" s="21">
        <v>2</v>
      </c>
      <c r="D98" s="22" t="s">
        <v>31</v>
      </c>
      <c r="E98" s="18">
        <v>8.5000000000000006E-2</v>
      </c>
      <c r="F98" s="18">
        <f>15/((225+325)/2)</f>
        <v>5.4545454545454543E-2</v>
      </c>
      <c r="G98" s="18">
        <f>5/((56+46)/2)</f>
        <v>9.8039215686274508E-2</v>
      </c>
      <c r="H98" s="18">
        <f>11/((44+77)/2)</f>
        <v>0.18181818181818182</v>
      </c>
      <c r="I98" s="18">
        <f>10/((36+25)/2)</f>
        <v>0.32786885245901637</v>
      </c>
      <c r="J98" s="18">
        <f t="shared" ref="J98:J100" si="74">0/(2300)</f>
        <v>0</v>
      </c>
      <c r="K98" s="18">
        <f>3/((25+30)/2)</f>
        <v>0.10909090909090909</v>
      </c>
      <c r="L98" s="18">
        <f t="shared" ref="L98:L102" si="75">0/(300)</f>
        <v>0</v>
      </c>
      <c r="M98" s="22" t="s">
        <v>522</v>
      </c>
      <c r="N98" s="2"/>
      <c r="O98" s="2"/>
      <c r="P98" s="2"/>
      <c r="Q98" s="2"/>
      <c r="R98" s="2"/>
      <c r="S98" s="2"/>
      <c r="T98" s="2"/>
      <c r="U98" s="2"/>
      <c r="V98" s="2"/>
      <c r="W98" s="2"/>
      <c r="X98" s="2"/>
      <c r="Y98" s="2"/>
      <c r="Z98" s="2"/>
    </row>
    <row r="99" spans="1:26" ht="19.5" customHeight="1">
      <c r="A99" s="19" t="s">
        <v>523</v>
      </c>
      <c r="B99" s="20" t="s">
        <v>524</v>
      </c>
      <c r="C99" s="21">
        <v>2</v>
      </c>
      <c r="D99" s="22" t="s">
        <v>31</v>
      </c>
      <c r="E99" s="18">
        <v>9.5000000000000001E-2</v>
      </c>
      <c r="F99" s="18">
        <f>3/((225+325)/2)</f>
        <v>1.090909090909091E-2</v>
      </c>
      <c r="G99" s="18">
        <f>6/((56+46)/2)</f>
        <v>0.11764705882352941</v>
      </c>
      <c r="H99" s="18">
        <f>17/((44+77)/2)</f>
        <v>0.28099173553719009</v>
      </c>
      <c r="I99" s="18">
        <f>0/((36+25)/2)</f>
        <v>0</v>
      </c>
      <c r="J99" s="18">
        <f t="shared" si="74"/>
        <v>0</v>
      </c>
      <c r="K99" s="18">
        <f t="shared" ref="K99:K100" si="76">1/((25+30)/2)</f>
        <v>3.6363636363636362E-2</v>
      </c>
      <c r="L99" s="18">
        <f t="shared" si="75"/>
        <v>0</v>
      </c>
      <c r="M99" s="22" t="s">
        <v>525</v>
      </c>
      <c r="N99" s="2"/>
      <c r="O99" s="2"/>
      <c r="P99" s="2"/>
      <c r="Q99" s="2"/>
      <c r="R99" s="2"/>
      <c r="S99" s="2"/>
      <c r="T99" s="2"/>
      <c r="U99" s="2"/>
      <c r="V99" s="2"/>
      <c r="W99" s="2"/>
      <c r="X99" s="2"/>
      <c r="Y99" s="2"/>
      <c r="Z99" s="2"/>
    </row>
    <row r="100" spans="1:26" ht="19.5" customHeight="1">
      <c r="A100" s="19" t="s">
        <v>738</v>
      </c>
      <c r="B100" s="20" t="s">
        <v>739</v>
      </c>
      <c r="C100" s="21">
        <v>1</v>
      </c>
      <c r="D100" s="22" t="s">
        <v>599</v>
      </c>
      <c r="E100" s="18">
        <v>0.125</v>
      </c>
      <c r="F100" s="18">
        <f>34/((225+325)/2)</f>
        <v>0.12363636363636364</v>
      </c>
      <c r="G100" s="18">
        <f>5/((56+46)/2)</f>
        <v>9.8039215686274508E-2</v>
      </c>
      <c r="H100" s="18">
        <f>11/((44+77)/2)</f>
        <v>0.18181818181818182</v>
      </c>
      <c r="I100" s="18">
        <f>9/((36+25)/2)</f>
        <v>0.29508196721311475</v>
      </c>
      <c r="J100" s="18">
        <f t="shared" si="74"/>
        <v>0</v>
      </c>
      <c r="K100" s="18">
        <f t="shared" si="76"/>
        <v>3.6363636363636362E-2</v>
      </c>
      <c r="L100" s="18">
        <f t="shared" si="75"/>
        <v>0</v>
      </c>
      <c r="M100" s="22" t="s">
        <v>740</v>
      </c>
      <c r="N100" s="2"/>
      <c r="O100" s="2"/>
      <c r="P100" s="2"/>
      <c r="Q100" s="2"/>
      <c r="R100" s="2"/>
      <c r="S100" s="2"/>
      <c r="T100" s="2"/>
      <c r="U100" s="2"/>
      <c r="V100" s="2"/>
      <c r="W100" s="2"/>
      <c r="X100" s="2"/>
      <c r="Y100" s="2"/>
      <c r="Z100" s="2"/>
    </row>
    <row r="101" spans="1:26" ht="19.5" customHeight="1">
      <c r="A101" s="19" t="s">
        <v>741</v>
      </c>
      <c r="B101" s="20" t="s">
        <v>742</v>
      </c>
      <c r="C101" s="21">
        <v>1</v>
      </c>
      <c r="D101" s="22" t="s">
        <v>599</v>
      </c>
      <c r="E101" s="18">
        <v>0.13500000000000001</v>
      </c>
      <c r="F101" s="18">
        <f>38/((225+325)/2)</f>
        <v>0.13818181818181818</v>
      </c>
      <c r="G101" s="18">
        <f>10/((56+46)/2)</f>
        <v>0.19607843137254902</v>
      </c>
      <c r="H101" s="18">
        <f>9/((44+77)/2)</f>
        <v>0.1487603305785124</v>
      </c>
      <c r="I101" s="18">
        <f>11/((36+25)/2)</f>
        <v>0.36065573770491804</v>
      </c>
      <c r="J101" s="18">
        <f>25/(2300)</f>
        <v>1.0869565217391304E-2</v>
      </c>
      <c r="K101" s="18">
        <f>3/((25+30)/2)</f>
        <v>0.10909090909090909</v>
      </c>
      <c r="L101" s="18">
        <f t="shared" si="75"/>
        <v>0</v>
      </c>
      <c r="M101" s="22" t="s">
        <v>743</v>
      </c>
      <c r="N101" s="2"/>
      <c r="O101" s="2"/>
      <c r="P101" s="2"/>
      <c r="Q101" s="2"/>
      <c r="R101" s="2"/>
      <c r="S101" s="2"/>
      <c r="T101" s="2"/>
      <c r="U101" s="2"/>
      <c r="V101" s="2"/>
      <c r="W101" s="2"/>
      <c r="X101" s="2"/>
      <c r="Y101" s="2"/>
      <c r="Z101" s="2"/>
    </row>
    <row r="102" spans="1:26" ht="19.5" customHeight="1">
      <c r="A102" s="19" t="s">
        <v>337</v>
      </c>
      <c r="B102" s="20" t="s">
        <v>338</v>
      </c>
      <c r="C102" s="21">
        <v>11</v>
      </c>
      <c r="D102" s="22" t="s">
        <v>316</v>
      </c>
      <c r="E102" s="18">
        <v>6.5000000000000002E-2</v>
      </c>
      <c r="F102" s="18">
        <f>16/((225+325)/2)</f>
        <v>5.8181818181818182E-2</v>
      </c>
      <c r="G102" s="18">
        <f>4/((56+46)/2)</f>
        <v>7.8431372549019607E-2</v>
      </c>
      <c r="H102" s="18">
        <f>6/((44+77)/2)</f>
        <v>9.9173553719008267E-2</v>
      </c>
      <c r="I102" s="18">
        <f>1/((36+25)/2)</f>
        <v>3.2786885245901641E-2</v>
      </c>
      <c r="J102" s="18">
        <f>180/(2300)</f>
        <v>7.8260869565217397E-2</v>
      </c>
      <c r="K102" s="18">
        <f>4/((25+30)/2)</f>
        <v>0.14545454545454545</v>
      </c>
      <c r="L102" s="18">
        <f t="shared" si="75"/>
        <v>0</v>
      </c>
      <c r="M102" s="22" t="s">
        <v>1085</v>
      </c>
      <c r="N102" s="2"/>
      <c r="O102" s="2"/>
      <c r="P102" s="2"/>
      <c r="Q102" s="2"/>
      <c r="R102" s="2"/>
      <c r="S102" s="2"/>
      <c r="T102" s="2"/>
      <c r="U102" s="2"/>
      <c r="V102" s="2"/>
      <c r="W102" s="2"/>
      <c r="X102" s="2"/>
      <c r="Y102" s="2"/>
      <c r="Z102" s="2"/>
    </row>
    <row r="103" spans="1:26" ht="19.5" customHeight="1">
      <c r="A103" s="19" t="s">
        <v>20</v>
      </c>
      <c r="B103" s="20" t="s">
        <v>21</v>
      </c>
      <c r="C103" s="22" t="s">
        <v>35</v>
      </c>
      <c r="D103" s="22" t="s">
        <v>17</v>
      </c>
      <c r="E103" s="18">
        <v>7.0000000000000007E-2</v>
      </c>
      <c r="F103" s="18">
        <f>12/((225+325)/2)</f>
        <v>4.363636363636364E-2</v>
      </c>
      <c r="G103" s="18">
        <f>6/((56+46)/2)</f>
        <v>0.11764705882352941</v>
      </c>
      <c r="H103" s="18">
        <f>8/((44+77)/2)</f>
        <v>0.13223140495867769</v>
      </c>
      <c r="I103" s="18">
        <f t="shared" ref="I103:I104" si="77">8/((36+25)/2)</f>
        <v>0.26229508196721313</v>
      </c>
      <c r="J103" s="18">
        <f>80/(2300)</f>
        <v>3.4782608695652174E-2</v>
      </c>
      <c r="K103" s="18">
        <f t="shared" ref="K103:K108" si="78">0/((25+30)/2)</f>
        <v>0</v>
      </c>
      <c r="L103" s="18">
        <f>25/(300)</f>
        <v>8.3333333333333329E-2</v>
      </c>
      <c r="M103" s="22" t="s">
        <v>22</v>
      </c>
      <c r="N103" s="2"/>
      <c r="O103" s="2"/>
      <c r="P103" s="2"/>
      <c r="Q103" s="2"/>
      <c r="R103" s="2"/>
      <c r="S103" s="2"/>
      <c r="T103" s="2"/>
      <c r="U103" s="2"/>
      <c r="V103" s="2"/>
      <c r="W103" s="2"/>
      <c r="X103" s="2"/>
      <c r="Y103" s="2"/>
      <c r="Z103" s="2"/>
    </row>
    <row r="104" spans="1:26" ht="19.5" customHeight="1">
      <c r="A104" s="19" t="s">
        <v>23</v>
      </c>
      <c r="B104" s="20" t="s">
        <v>24</v>
      </c>
      <c r="C104" s="22" t="s">
        <v>35</v>
      </c>
      <c r="D104" s="22" t="s">
        <v>17</v>
      </c>
      <c r="E104" s="18">
        <v>7.4999999999999997E-2</v>
      </c>
      <c r="F104" s="18">
        <f>9/((225+325)/2)</f>
        <v>3.272727272727273E-2</v>
      </c>
      <c r="G104" s="18">
        <f>15/((56+46)/2)</f>
        <v>0.29411764705882354</v>
      </c>
      <c r="H104" s="18">
        <f>7/((44+77)/2)</f>
        <v>0.11570247933884298</v>
      </c>
      <c r="I104" s="18">
        <f t="shared" si="77"/>
        <v>0.26229508196721313</v>
      </c>
      <c r="J104" s="18">
        <f t="shared" ref="J104:J106" si="79">65/(2300)</f>
        <v>2.8260869565217391E-2</v>
      </c>
      <c r="K104" s="18">
        <f t="shared" si="78"/>
        <v>0</v>
      </c>
      <c r="L104" s="18">
        <f>30/(300)</f>
        <v>0.1</v>
      </c>
      <c r="M104" s="22" t="s">
        <v>25</v>
      </c>
      <c r="N104" s="2"/>
      <c r="O104" s="2"/>
      <c r="P104" s="2"/>
      <c r="Q104" s="2"/>
      <c r="R104" s="2"/>
      <c r="S104" s="2"/>
      <c r="T104" s="2"/>
      <c r="U104" s="2"/>
      <c r="V104" s="2"/>
      <c r="W104" s="2"/>
      <c r="X104" s="2"/>
      <c r="Y104" s="2"/>
      <c r="Z104" s="2"/>
    </row>
    <row r="105" spans="1:26" ht="19.5" customHeight="1">
      <c r="A105" s="19" t="s">
        <v>26</v>
      </c>
      <c r="B105" s="20" t="s">
        <v>27</v>
      </c>
      <c r="C105" s="22" t="s">
        <v>35</v>
      </c>
      <c r="D105" s="22" t="s">
        <v>17</v>
      </c>
      <c r="E105" s="18">
        <v>7.0000000000000007E-2</v>
      </c>
      <c r="F105" s="18">
        <f t="shared" ref="F105:F106" si="80">7/((225+325)/2)</f>
        <v>2.5454545454545455E-2</v>
      </c>
      <c r="G105" s="18">
        <f>16/((56+46)/2)</f>
        <v>0.31372549019607843</v>
      </c>
      <c r="H105" s="18">
        <f>6/((44+77)/2)</f>
        <v>9.9173553719008267E-2</v>
      </c>
      <c r="I105" s="18">
        <f t="shared" ref="I105:I106" si="81">5/((36+25)/2)</f>
        <v>0.16393442622950818</v>
      </c>
      <c r="J105" s="18">
        <f t="shared" si="79"/>
        <v>2.8260869565217391E-2</v>
      </c>
      <c r="K105" s="18">
        <f t="shared" si="78"/>
        <v>0</v>
      </c>
      <c r="L105" s="18">
        <f>25/(300)</f>
        <v>8.3333333333333329E-2</v>
      </c>
      <c r="M105" s="22" t="s">
        <v>28</v>
      </c>
      <c r="N105" s="2"/>
      <c r="O105" s="2"/>
      <c r="P105" s="2"/>
      <c r="Q105" s="2"/>
      <c r="R105" s="2"/>
      <c r="S105" s="2"/>
      <c r="T105" s="2"/>
      <c r="U105" s="2"/>
      <c r="V105" s="2"/>
      <c r="W105" s="2"/>
      <c r="X105" s="2"/>
      <c r="Y105" s="2"/>
      <c r="Z105" s="2"/>
    </row>
    <row r="106" spans="1:26" ht="19.5" customHeight="1">
      <c r="A106" s="19" t="s">
        <v>52</v>
      </c>
      <c r="B106" s="20" t="s">
        <v>53</v>
      </c>
      <c r="C106" s="22" t="s">
        <v>54</v>
      </c>
      <c r="D106" s="22" t="s">
        <v>17</v>
      </c>
      <c r="E106" s="18">
        <v>0.05</v>
      </c>
      <c r="F106" s="18">
        <f t="shared" si="80"/>
        <v>2.5454545454545455E-2</v>
      </c>
      <c r="G106" s="18">
        <f>19/((56+46)/2)</f>
        <v>0.37254901960784315</v>
      </c>
      <c r="H106" s="18">
        <f t="shared" ref="H106:H108" si="82">0/((44+77)/2)</f>
        <v>0</v>
      </c>
      <c r="I106" s="18">
        <f t="shared" si="81"/>
        <v>0.16393442622950818</v>
      </c>
      <c r="J106" s="18">
        <f t="shared" si="79"/>
        <v>2.8260869565217391E-2</v>
      </c>
      <c r="K106" s="18">
        <f t="shared" si="78"/>
        <v>0</v>
      </c>
      <c r="L106" s="18">
        <f>10/(300)</f>
        <v>3.3333333333333333E-2</v>
      </c>
      <c r="M106" s="22" t="s">
        <v>55</v>
      </c>
      <c r="N106" s="2"/>
      <c r="O106" s="2"/>
      <c r="P106" s="2"/>
      <c r="Q106" s="2"/>
      <c r="R106" s="2"/>
      <c r="S106" s="2"/>
      <c r="T106" s="2"/>
      <c r="U106" s="2"/>
      <c r="V106" s="2"/>
      <c r="W106" s="2"/>
      <c r="X106" s="2"/>
      <c r="Y106" s="2"/>
      <c r="Z106" s="2"/>
    </row>
    <row r="107" spans="1:26" ht="19.5" customHeight="1">
      <c r="A107" s="19" t="s">
        <v>744</v>
      </c>
      <c r="B107" s="20" t="s">
        <v>745</v>
      </c>
      <c r="C107" s="21">
        <v>1</v>
      </c>
      <c r="D107" s="22" t="s">
        <v>606</v>
      </c>
      <c r="E107" s="18">
        <v>2.5000000000000001E-3</v>
      </c>
      <c r="F107" s="18">
        <f>1/((225+325)/2)</f>
        <v>3.6363636363636364E-3</v>
      </c>
      <c r="G107" s="18">
        <f>0/((56+46)/2)</f>
        <v>0</v>
      </c>
      <c r="H107" s="18">
        <f t="shared" si="82"/>
        <v>0</v>
      </c>
      <c r="I107" s="18">
        <f t="shared" ref="I107:I108" si="83">0/((36+25)/2)</f>
        <v>0</v>
      </c>
      <c r="J107" s="18">
        <f>0/(2300)</f>
        <v>0</v>
      </c>
      <c r="K107" s="18">
        <f t="shared" si="78"/>
        <v>0</v>
      </c>
      <c r="L107" s="18">
        <f t="shared" ref="L107:L119" si="84">0/(300)</f>
        <v>0</v>
      </c>
      <c r="M107" s="22" t="s">
        <v>746</v>
      </c>
      <c r="N107" s="2"/>
      <c r="O107" s="2"/>
      <c r="P107" s="2"/>
      <c r="Q107" s="2"/>
      <c r="R107" s="2"/>
      <c r="S107" s="2"/>
      <c r="T107" s="2"/>
      <c r="U107" s="2"/>
      <c r="V107" s="2"/>
      <c r="W107" s="2"/>
      <c r="X107" s="2"/>
      <c r="Y107" s="2"/>
      <c r="Z107" s="2"/>
    </row>
    <row r="108" spans="1:26" ht="19.5" customHeight="1">
      <c r="A108" s="19" t="s">
        <v>747</v>
      </c>
      <c r="B108" s="20" t="s">
        <v>748</v>
      </c>
      <c r="C108" s="21">
        <v>1</v>
      </c>
      <c r="D108" s="22" t="s">
        <v>31</v>
      </c>
      <c r="E108" s="18">
        <v>7.4999999999999997E-3</v>
      </c>
      <c r="F108" s="18">
        <f>0/((225+325)/2)</f>
        <v>0</v>
      </c>
      <c r="G108" s="18">
        <f>4/((56+46)/2)</f>
        <v>7.8431372549019607E-2</v>
      </c>
      <c r="H108" s="18">
        <f t="shared" si="82"/>
        <v>0</v>
      </c>
      <c r="I108" s="18">
        <f t="shared" si="83"/>
        <v>0</v>
      </c>
      <c r="J108" s="18">
        <f>1440/(2300)</f>
        <v>0.62608695652173918</v>
      </c>
      <c r="K108" s="18">
        <f t="shared" si="78"/>
        <v>0</v>
      </c>
      <c r="L108" s="18">
        <f t="shared" si="84"/>
        <v>0</v>
      </c>
      <c r="M108" s="22" t="s">
        <v>749</v>
      </c>
      <c r="N108" s="2"/>
      <c r="O108" s="2"/>
      <c r="P108" s="2"/>
      <c r="Q108" s="2"/>
      <c r="R108" s="2"/>
      <c r="S108" s="2"/>
      <c r="T108" s="2"/>
      <c r="U108" s="2"/>
      <c r="V108" s="2"/>
      <c r="W108" s="2"/>
      <c r="X108" s="2"/>
      <c r="Y108" s="2"/>
      <c r="Z108" s="2"/>
    </row>
    <row r="109" spans="1:26" ht="19.5" customHeight="1">
      <c r="A109" s="19" t="s">
        <v>750</v>
      </c>
      <c r="B109" s="20" t="s">
        <v>751</v>
      </c>
      <c r="C109" s="21">
        <v>1</v>
      </c>
      <c r="D109" s="22" t="s">
        <v>599</v>
      </c>
      <c r="E109" s="18">
        <v>0.105</v>
      </c>
      <c r="F109" s="18">
        <f>11/((225+325)/2)</f>
        <v>0.04</v>
      </c>
      <c r="G109" s="18">
        <f t="shared" ref="G109:G110" si="85">9/((56+46)/2)</f>
        <v>0.17647058823529413</v>
      </c>
      <c r="H109" s="18">
        <f>15/((44+77)/2)</f>
        <v>0.24793388429752067</v>
      </c>
      <c r="I109" s="18">
        <f>3/((36+25)/2)</f>
        <v>9.8360655737704916E-2</v>
      </c>
      <c r="J109" s="18">
        <f>80/(2300)</f>
        <v>3.4782608695652174E-2</v>
      </c>
      <c r="K109" s="18">
        <f t="shared" ref="K109:K110" si="86">6/((25+30)/2)</f>
        <v>0.21818181818181817</v>
      </c>
      <c r="L109" s="18">
        <f t="shared" si="84"/>
        <v>0</v>
      </c>
      <c r="M109" s="22" t="s">
        <v>752</v>
      </c>
      <c r="N109" s="2"/>
      <c r="O109" s="2"/>
      <c r="P109" s="2"/>
      <c r="Q109" s="2"/>
      <c r="R109" s="2"/>
      <c r="S109" s="2"/>
      <c r="T109" s="2"/>
      <c r="U109" s="2"/>
      <c r="V109" s="2"/>
      <c r="W109" s="2"/>
      <c r="X109" s="2"/>
      <c r="Y109" s="2"/>
      <c r="Z109" s="2"/>
    </row>
    <row r="110" spans="1:26" ht="19.5" customHeight="1">
      <c r="A110" s="19" t="s">
        <v>753</v>
      </c>
      <c r="B110" s="20" t="s">
        <v>754</v>
      </c>
      <c r="C110" s="21">
        <v>1</v>
      </c>
      <c r="D110" s="22" t="s">
        <v>599</v>
      </c>
      <c r="E110" s="18">
        <v>0.105</v>
      </c>
      <c r="F110" s="18">
        <f>10/((225+325)/2)</f>
        <v>3.6363636363636362E-2</v>
      </c>
      <c r="G110" s="18">
        <f t="shared" si="85"/>
        <v>0.17647058823529413</v>
      </c>
      <c r="H110" s="18">
        <f>16/((44+77)/2)</f>
        <v>0.26446280991735538</v>
      </c>
      <c r="I110" s="18">
        <f>2/((36+25)/2)</f>
        <v>6.5573770491803282E-2</v>
      </c>
      <c r="J110" s="18">
        <f>110/(2300)</f>
        <v>4.7826086956521741E-2</v>
      </c>
      <c r="K110" s="18">
        <f t="shared" si="86"/>
        <v>0.21818181818181817</v>
      </c>
      <c r="L110" s="18">
        <f t="shared" si="84"/>
        <v>0</v>
      </c>
      <c r="M110" s="22" t="s">
        <v>755</v>
      </c>
      <c r="N110" s="2"/>
      <c r="O110" s="2"/>
      <c r="P110" s="2"/>
      <c r="Q110" s="2"/>
      <c r="R110" s="2"/>
      <c r="S110" s="2"/>
      <c r="T110" s="2"/>
      <c r="U110" s="2"/>
      <c r="V110" s="2"/>
      <c r="W110" s="2"/>
      <c r="X110" s="2"/>
      <c r="Y110" s="2"/>
      <c r="Z110" s="2"/>
    </row>
    <row r="111" spans="1:26" ht="19.5" customHeight="1">
      <c r="A111" s="19" t="s">
        <v>429</v>
      </c>
      <c r="B111" s="20" t="s">
        <v>430</v>
      </c>
      <c r="C111" s="21">
        <v>4</v>
      </c>
      <c r="D111" s="22" t="s">
        <v>205</v>
      </c>
      <c r="E111" s="18">
        <v>0.12</v>
      </c>
      <c r="F111" s="18">
        <f>9/((225+325)/2)</f>
        <v>3.272727272727273E-2</v>
      </c>
      <c r="G111" s="18">
        <f>19/((56+46)/2)</f>
        <v>0.37254901960784315</v>
      </c>
      <c r="H111" s="18">
        <f>14/((44+77)/2)</f>
        <v>0.23140495867768596</v>
      </c>
      <c r="I111" s="18">
        <f>1/((36+25)/2)</f>
        <v>3.2786885245901641E-2</v>
      </c>
      <c r="J111" s="18">
        <f>370/(2300)</f>
        <v>0.16086956521739129</v>
      </c>
      <c r="K111" s="18">
        <f>3/((25+30)/2)</f>
        <v>0.10909090909090909</v>
      </c>
      <c r="L111" s="18">
        <f t="shared" si="84"/>
        <v>0</v>
      </c>
      <c r="M111" s="22" t="s">
        <v>431</v>
      </c>
      <c r="N111" s="2"/>
      <c r="O111" s="2"/>
      <c r="P111" s="2"/>
      <c r="Q111" s="2"/>
      <c r="R111" s="2"/>
      <c r="S111" s="2"/>
      <c r="T111" s="2"/>
      <c r="U111" s="2"/>
      <c r="V111" s="2"/>
      <c r="W111" s="2"/>
      <c r="X111" s="2"/>
      <c r="Y111" s="2"/>
      <c r="Z111" s="2"/>
    </row>
    <row r="112" spans="1:26" ht="19.5" customHeight="1">
      <c r="A112" s="19" t="s">
        <v>756</v>
      </c>
      <c r="B112" s="20" t="s">
        <v>757</v>
      </c>
      <c r="C112" s="21">
        <v>1</v>
      </c>
      <c r="D112" s="22" t="s">
        <v>599</v>
      </c>
      <c r="E112" s="18">
        <v>0.14499999999999999</v>
      </c>
      <c r="F112" s="18">
        <f>39/((225+325)/2)</f>
        <v>0.14181818181818182</v>
      </c>
      <c r="G112" s="18">
        <f>11/((56+46)/2)</f>
        <v>0.21568627450980393</v>
      </c>
      <c r="H112" s="18">
        <f>11/((44+77)/2)</f>
        <v>0.18181818181818182</v>
      </c>
      <c r="I112" s="18">
        <f>14/((36+25)/2)</f>
        <v>0.45901639344262296</v>
      </c>
      <c r="J112" s="18">
        <f>10/(2300)</f>
        <v>4.3478260869565218E-3</v>
      </c>
      <c r="K112" s="18">
        <f>2/((25+30)/2)</f>
        <v>7.2727272727272724E-2</v>
      </c>
      <c r="L112" s="18">
        <f t="shared" si="84"/>
        <v>0</v>
      </c>
      <c r="M112" s="22" t="s">
        <v>758</v>
      </c>
      <c r="N112" s="2"/>
      <c r="O112" s="2"/>
      <c r="P112" s="2"/>
      <c r="Q112" s="2"/>
      <c r="R112" s="2"/>
      <c r="S112" s="2"/>
      <c r="T112" s="2"/>
      <c r="U112" s="2"/>
      <c r="V112" s="2"/>
      <c r="W112" s="2"/>
      <c r="X112" s="2"/>
      <c r="Y112" s="2"/>
      <c r="Z112" s="2"/>
    </row>
    <row r="113" spans="1:26" ht="19.5" customHeight="1">
      <c r="A113" s="19" t="s">
        <v>311</v>
      </c>
      <c r="B113" s="20" t="s">
        <v>312</v>
      </c>
      <c r="C113" s="21">
        <v>15</v>
      </c>
      <c r="D113" s="22" t="s">
        <v>222</v>
      </c>
      <c r="E113" s="18">
        <v>5.0000000000000001E-3</v>
      </c>
      <c r="F113" s="18">
        <f>1/((225+325)/2)</f>
        <v>3.6363636363636364E-3</v>
      </c>
      <c r="G113" s="18">
        <f>2/((56+46)/2)</f>
        <v>3.9215686274509803E-2</v>
      </c>
      <c r="H113" s="18">
        <f t="shared" ref="H113:H117" si="87">0/((44+77)/2)</f>
        <v>0</v>
      </c>
      <c r="I113" s="18">
        <f>1/((36+25)/2)</f>
        <v>3.2786885245901641E-2</v>
      </c>
      <c r="J113" s="18">
        <f>1460/(2300)</f>
        <v>0.63478260869565217</v>
      </c>
      <c r="K113" s="18">
        <f t="shared" ref="K113:K117" si="88">0/((25+30)/2)</f>
        <v>0</v>
      </c>
      <c r="L113" s="18">
        <f t="shared" si="84"/>
        <v>0</v>
      </c>
      <c r="M113" s="22" t="s">
        <v>313</v>
      </c>
      <c r="N113" s="2"/>
      <c r="O113" s="2"/>
      <c r="P113" s="2"/>
      <c r="Q113" s="2"/>
      <c r="R113" s="2"/>
      <c r="S113" s="2"/>
      <c r="T113" s="2"/>
      <c r="U113" s="2"/>
      <c r="V113" s="2"/>
      <c r="W113" s="2"/>
      <c r="X113" s="2"/>
      <c r="Y113" s="2"/>
      <c r="Z113" s="2"/>
    </row>
    <row r="114" spans="1:26" ht="19.5" customHeight="1">
      <c r="A114" s="19" t="s">
        <v>759</v>
      </c>
      <c r="B114" s="20" t="s">
        <v>760</v>
      </c>
      <c r="C114" s="21">
        <v>1</v>
      </c>
      <c r="D114" s="22" t="s">
        <v>76</v>
      </c>
      <c r="E114" s="18">
        <v>7.4999999999999997E-3</v>
      </c>
      <c r="F114" s="18">
        <f t="shared" ref="F114:F115" si="89">0/((225+325)/2)</f>
        <v>0</v>
      </c>
      <c r="G114" s="18">
        <f>3/((56+46)/2)</f>
        <v>5.8823529411764705E-2</v>
      </c>
      <c r="H114" s="18">
        <f t="shared" si="87"/>
        <v>0</v>
      </c>
      <c r="I114" s="18">
        <f t="shared" ref="I114:I115" si="90">0/((36+25)/2)</f>
        <v>0</v>
      </c>
      <c r="J114" s="18">
        <f>1570/(2300)</f>
        <v>0.68260869565217386</v>
      </c>
      <c r="K114" s="18">
        <f t="shared" si="88"/>
        <v>0</v>
      </c>
      <c r="L114" s="18">
        <f t="shared" si="84"/>
        <v>0</v>
      </c>
      <c r="M114" s="22" t="s">
        <v>761</v>
      </c>
      <c r="N114" s="2"/>
      <c r="O114" s="2"/>
      <c r="P114" s="2"/>
      <c r="Q114" s="2"/>
      <c r="R114" s="2"/>
      <c r="S114" s="2"/>
      <c r="T114" s="2"/>
      <c r="U114" s="2"/>
      <c r="V114" s="2"/>
      <c r="W114" s="2"/>
      <c r="X114" s="2"/>
      <c r="Y114" s="2"/>
      <c r="Z114" s="2"/>
    </row>
    <row r="115" spans="1:26" ht="19.5" customHeight="1">
      <c r="A115" s="19" t="s">
        <v>762</v>
      </c>
      <c r="B115" s="20" t="s">
        <v>763</v>
      </c>
      <c r="C115" s="21">
        <v>1</v>
      </c>
      <c r="D115" s="22" t="s">
        <v>76</v>
      </c>
      <c r="E115" s="18">
        <v>0</v>
      </c>
      <c r="F115" s="18">
        <f t="shared" si="89"/>
        <v>0</v>
      </c>
      <c r="G115" s="18">
        <f>0.5/((56+46)/2)</f>
        <v>9.8039215686274508E-3</v>
      </c>
      <c r="H115" s="18">
        <f t="shared" si="87"/>
        <v>0</v>
      </c>
      <c r="I115" s="18">
        <f t="shared" si="90"/>
        <v>0</v>
      </c>
      <c r="J115" s="18">
        <f>490/(2300)</f>
        <v>0.21304347826086956</v>
      </c>
      <c r="K115" s="18">
        <f t="shared" si="88"/>
        <v>0</v>
      </c>
      <c r="L115" s="18">
        <f t="shared" si="84"/>
        <v>0</v>
      </c>
      <c r="M115" s="22" t="s">
        <v>764</v>
      </c>
      <c r="N115" s="2"/>
      <c r="O115" s="2"/>
      <c r="P115" s="2"/>
      <c r="Q115" s="2"/>
      <c r="R115" s="2"/>
      <c r="S115" s="2"/>
      <c r="T115" s="2"/>
      <c r="U115" s="2"/>
      <c r="V115" s="2"/>
      <c r="W115" s="2"/>
      <c r="X115" s="2"/>
      <c r="Y115" s="2"/>
      <c r="Z115" s="2"/>
    </row>
    <row r="116" spans="1:26" ht="19.5" customHeight="1">
      <c r="A116" s="19" t="s">
        <v>765</v>
      </c>
      <c r="B116" s="20" t="s">
        <v>766</v>
      </c>
      <c r="C116" s="21">
        <v>1</v>
      </c>
      <c r="D116" s="22" t="s">
        <v>31</v>
      </c>
      <c r="E116" s="18">
        <v>7.4999999999999997E-3</v>
      </c>
      <c r="F116" s="18">
        <f t="shared" ref="F116:F117" si="91">1/((225+325)/2)</f>
        <v>3.6363636363636364E-3</v>
      </c>
      <c r="G116" s="18">
        <f>3/((56+46)/2)</f>
        <v>5.8823529411764705E-2</v>
      </c>
      <c r="H116" s="18">
        <f t="shared" si="87"/>
        <v>0</v>
      </c>
      <c r="I116" s="18">
        <f t="shared" ref="I116:I117" si="92">1/((36+25)/2)</f>
        <v>3.2786885245901641E-2</v>
      </c>
      <c r="J116" s="18">
        <f>1520/(2300)</f>
        <v>0.66086956521739126</v>
      </c>
      <c r="K116" s="18">
        <f t="shared" si="88"/>
        <v>0</v>
      </c>
      <c r="L116" s="18">
        <f t="shared" si="84"/>
        <v>0</v>
      </c>
      <c r="M116" s="22" t="s">
        <v>767</v>
      </c>
      <c r="N116" s="2"/>
      <c r="O116" s="2"/>
      <c r="P116" s="2"/>
      <c r="Q116" s="2"/>
      <c r="R116" s="2"/>
      <c r="S116" s="2"/>
      <c r="T116" s="2"/>
      <c r="U116" s="2"/>
      <c r="V116" s="2"/>
      <c r="W116" s="2"/>
      <c r="X116" s="2"/>
      <c r="Y116" s="2"/>
      <c r="Z116" s="2"/>
    </row>
    <row r="117" spans="1:26" ht="19.5" customHeight="1">
      <c r="A117" s="19" t="s">
        <v>768</v>
      </c>
      <c r="B117" s="20" t="s">
        <v>769</v>
      </c>
      <c r="C117" s="21">
        <v>1</v>
      </c>
      <c r="D117" s="22" t="s">
        <v>31</v>
      </c>
      <c r="E117" s="18">
        <v>5.0000000000000001E-3</v>
      </c>
      <c r="F117" s="18">
        <f t="shared" si="91"/>
        <v>3.6363636363636364E-3</v>
      </c>
      <c r="G117" s="18">
        <f>2/((56+46)/2)</f>
        <v>3.9215686274509803E-2</v>
      </c>
      <c r="H117" s="18">
        <f t="shared" si="87"/>
        <v>0</v>
      </c>
      <c r="I117" s="18">
        <f t="shared" si="92"/>
        <v>3.2786885245901641E-2</v>
      </c>
      <c r="J117" s="18">
        <f>1370/(2300)</f>
        <v>0.59565217391304348</v>
      </c>
      <c r="K117" s="18">
        <f t="shared" si="88"/>
        <v>0</v>
      </c>
      <c r="L117" s="18">
        <f t="shared" si="84"/>
        <v>0</v>
      </c>
      <c r="M117" s="22" t="s">
        <v>770</v>
      </c>
      <c r="N117" s="2"/>
      <c r="O117" s="2"/>
      <c r="P117" s="2"/>
      <c r="Q117" s="2"/>
      <c r="R117" s="2"/>
      <c r="S117" s="2"/>
      <c r="T117" s="2"/>
      <c r="U117" s="2"/>
      <c r="V117" s="2"/>
      <c r="W117" s="2"/>
      <c r="X117" s="2"/>
      <c r="Y117" s="2"/>
      <c r="Z117" s="2"/>
    </row>
    <row r="118" spans="1:26" ht="19.5" customHeight="1">
      <c r="A118" s="19" t="s">
        <v>526</v>
      </c>
      <c r="B118" s="20" t="s">
        <v>527</v>
      </c>
      <c r="C118" s="21">
        <v>2</v>
      </c>
      <c r="D118" s="22" t="s">
        <v>31</v>
      </c>
      <c r="E118" s="18">
        <v>0.1075</v>
      </c>
      <c r="F118" s="18">
        <f>15/((225+325)/2)</f>
        <v>5.4545454545454543E-2</v>
      </c>
      <c r="G118" s="18">
        <f>4/((56+46)/2)</f>
        <v>7.8431372549019607E-2</v>
      </c>
      <c r="H118" s="18">
        <f>12/((44+77)/2)</f>
        <v>0.19834710743801653</v>
      </c>
      <c r="I118" s="18">
        <f>3/((36+25)/2)</f>
        <v>9.8360655737704916E-2</v>
      </c>
      <c r="J118" s="18">
        <f>20/(2300)</f>
        <v>8.6956521739130436E-3</v>
      </c>
      <c r="K118" s="18">
        <f>4/((25+30)/2)</f>
        <v>0.14545454545454545</v>
      </c>
      <c r="L118" s="18">
        <f t="shared" si="84"/>
        <v>0</v>
      </c>
      <c r="M118" s="22" t="s">
        <v>528</v>
      </c>
      <c r="N118" s="2"/>
      <c r="O118" s="2"/>
      <c r="P118" s="2"/>
      <c r="Q118" s="2"/>
      <c r="R118" s="2"/>
      <c r="S118" s="2"/>
      <c r="T118" s="2"/>
      <c r="U118" s="2"/>
      <c r="V118" s="2"/>
      <c r="W118" s="2"/>
      <c r="X118" s="2"/>
      <c r="Y118" s="2"/>
      <c r="Z118" s="2"/>
    </row>
    <row r="119" spans="1:26" ht="19.5" customHeight="1">
      <c r="A119" s="19" t="s">
        <v>771</v>
      </c>
      <c r="B119" s="20" t="s">
        <v>772</v>
      </c>
      <c r="C119" s="21">
        <v>1</v>
      </c>
      <c r="D119" s="22" t="s">
        <v>31</v>
      </c>
      <c r="E119" s="18">
        <v>3.4000000000000002E-2</v>
      </c>
      <c r="F119" s="18">
        <f>9/((225+325)/2)</f>
        <v>3.272727272727273E-2</v>
      </c>
      <c r="G119" s="18">
        <f>1/((56+46)/2)</f>
        <v>1.9607843137254902E-2</v>
      </c>
      <c r="H119" s="18">
        <f>3/((44+77)/2)</f>
        <v>4.9586776859504134E-2</v>
      </c>
      <c r="I119" s="18">
        <f>9/((36+25)/2)</f>
        <v>0.29508196721311475</v>
      </c>
      <c r="J119" s="18">
        <f>10/(2300)</f>
        <v>4.3478260869565218E-3</v>
      </c>
      <c r="K119" s="18">
        <f>0/((25+30)/2)</f>
        <v>0</v>
      </c>
      <c r="L119" s="18">
        <f t="shared" si="84"/>
        <v>0</v>
      </c>
      <c r="M119" s="22" t="s">
        <v>773</v>
      </c>
      <c r="N119" s="2"/>
      <c r="O119" s="2"/>
      <c r="P119" s="2"/>
      <c r="Q119" s="2"/>
      <c r="R119" s="2"/>
      <c r="S119" s="2"/>
      <c r="T119" s="2"/>
      <c r="U119" s="2"/>
      <c r="V119" s="2"/>
      <c r="W119" s="2"/>
      <c r="X119" s="2"/>
      <c r="Y119" s="2"/>
      <c r="Z119" s="2"/>
    </row>
    <row r="120" spans="1:26" ht="19.5" customHeight="1">
      <c r="A120" s="19" t="s">
        <v>1086</v>
      </c>
      <c r="B120" s="20" t="s">
        <v>1087</v>
      </c>
      <c r="C120" s="22" t="s">
        <v>218</v>
      </c>
      <c r="D120" s="22" t="s">
        <v>218</v>
      </c>
      <c r="E120" s="18" t="s">
        <v>218</v>
      </c>
      <c r="F120" s="18" t="s">
        <v>218</v>
      </c>
      <c r="G120" s="18" t="s">
        <v>218</v>
      </c>
      <c r="H120" s="18" t="s">
        <v>218</v>
      </c>
      <c r="I120" s="18" t="s">
        <v>218</v>
      </c>
      <c r="J120" s="18" t="s">
        <v>218</v>
      </c>
      <c r="K120" s="18" t="s">
        <v>218</v>
      </c>
      <c r="L120" s="18" t="s">
        <v>218</v>
      </c>
      <c r="M120" s="21"/>
      <c r="N120" s="2"/>
      <c r="O120" s="2"/>
      <c r="P120" s="2"/>
      <c r="Q120" s="2"/>
      <c r="R120" s="2"/>
      <c r="S120" s="2"/>
      <c r="T120" s="2"/>
      <c r="U120" s="2"/>
      <c r="V120" s="2"/>
      <c r="W120" s="2"/>
      <c r="X120" s="2"/>
      <c r="Y120" s="2"/>
      <c r="Z120" s="2"/>
    </row>
    <row r="121" spans="1:26" ht="19.5" customHeight="1">
      <c r="A121" s="19" t="s">
        <v>1088</v>
      </c>
      <c r="B121" s="20" t="s">
        <v>1089</v>
      </c>
      <c r="C121" s="22" t="s">
        <v>218</v>
      </c>
      <c r="D121" s="22" t="s">
        <v>218</v>
      </c>
      <c r="E121" s="18" t="s">
        <v>218</v>
      </c>
      <c r="F121" s="18" t="s">
        <v>218</v>
      </c>
      <c r="G121" s="18" t="s">
        <v>218</v>
      </c>
      <c r="H121" s="18" t="s">
        <v>218</v>
      </c>
      <c r="I121" s="18" t="s">
        <v>218</v>
      </c>
      <c r="J121" s="18" t="s">
        <v>218</v>
      </c>
      <c r="K121" s="18" t="s">
        <v>218</v>
      </c>
      <c r="L121" s="18" t="s">
        <v>218</v>
      </c>
      <c r="M121" s="21"/>
      <c r="N121" s="2"/>
      <c r="O121" s="2"/>
      <c r="P121" s="2"/>
      <c r="Q121" s="2"/>
      <c r="R121" s="2"/>
      <c r="S121" s="2"/>
      <c r="T121" s="2"/>
      <c r="U121" s="2"/>
      <c r="V121" s="2"/>
      <c r="W121" s="2"/>
      <c r="X121" s="2"/>
      <c r="Y121" s="2"/>
      <c r="Z121" s="2"/>
    </row>
    <row r="122" spans="1:26" ht="19.5" customHeight="1">
      <c r="A122" s="19" t="s">
        <v>774</v>
      </c>
      <c r="B122" s="20" t="s">
        <v>775</v>
      </c>
      <c r="C122" s="21">
        <v>1</v>
      </c>
      <c r="D122" s="22" t="s">
        <v>599</v>
      </c>
      <c r="E122" s="18">
        <v>0.08</v>
      </c>
      <c r="F122" s="18">
        <f>15/((225+325)/2)</f>
        <v>5.4545454545454543E-2</v>
      </c>
      <c r="G122" s="18">
        <f>6/((56+46)/2)</f>
        <v>0.11764705882352941</v>
      </c>
      <c r="H122" s="18">
        <f>13/((44+77)/2)</f>
        <v>0.21487603305785125</v>
      </c>
      <c r="I122" s="18">
        <f>2/((36+25)/2)</f>
        <v>6.5573770491803282E-2</v>
      </c>
      <c r="J122" s="18">
        <f>230/(2300)</f>
        <v>0.1</v>
      </c>
      <c r="K122" s="18">
        <f>7/((25+30)/2)</f>
        <v>0.25454545454545452</v>
      </c>
      <c r="L122" s="18">
        <f>0/(300)</f>
        <v>0</v>
      </c>
      <c r="M122" s="22" t="s">
        <v>677</v>
      </c>
      <c r="N122" s="2"/>
      <c r="O122" s="2"/>
      <c r="P122" s="2"/>
      <c r="Q122" s="2"/>
      <c r="R122" s="2"/>
      <c r="S122" s="2"/>
      <c r="T122" s="2"/>
      <c r="U122" s="2"/>
      <c r="V122" s="2"/>
      <c r="W122" s="2"/>
      <c r="X122" s="2"/>
      <c r="Y122" s="2"/>
      <c r="Z122" s="2"/>
    </row>
    <row r="123" spans="1:26" ht="19.5" customHeight="1">
      <c r="A123" s="19" t="s">
        <v>776</v>
      </c>
      <c r="B123" s="20" t="s">
        <v>1090</v>
      </c>
      <c r="C123" s="21">
        <v>1</v>
      </c>
      <c r="D123" s="22" t="s">
        <v>778</v>
      </c>
      <c r="E123" s="18">
        <v>0.13500000000000001</v>
      </c>
      <c r="F123" s="18">
        <f>40/((225+325)/2)</f>
        <v>0.14545454545454545</v>
      </c>
      <c r="G123" s="18">
        <f>15/((56+46)/2)</f>
        <v>0.29411764705882354</v>
      </c>
      <c r="H123" s="18">
        <f>6/((44+77)/2)</f>
        <v>9.9173553719008267E-2</v>
      </c>
      <c r="I123" s="18">
        <f>4/((36+25)/2)</f>
        <v>0.13114754098360656</v>
      </c>
      <c r="J123" s="18">
        <f>540/(2300)</f>
        <v>0.23478260869565218</v>
      </c>
      <c r="K123" s="18">
        <f t="shared" ref="K123:K124" si="93">1/((25+30)/2)</f>
        <v>3.6363636363636362E-2</v>
      </c>
      <c r="L123" s="18">
        <f>20/(300)</f>
        <v>6.6666666666666666E-2</v>
      </c>
      <c r="M123" s="22" t="s">
        <v>779</v>
      </c>
      <c r="N123" s="2"/>
      <c r="O123" s="2"/>
      <c r="P123" s="2"/>
      <c r="Q123" s="2"/>
      <c r="R123" s="2"/>
      <c r="S123" s="2"/>
      <c r="T123" s="2"/>
      <c r="U123" s="2"/>
      <c r="V123" s="2"/>
      <c r="W123" s="2"/>
      <c r="X123" s="2"/>
      <c r="Y123" s="2"/>
      <c r="Z123" s="2"/>
    </row>
    <row r="124" spans="1:26" ht="19.5" customHeight="1">
      <c r="A124" s="19" t="s">
        <v>529</v>
      </c>
      <c r="B124" s="20" t="s">
        <v>530</v>
      </c>
      <c r="C124" s="21">
        <v>2</v>
      </c>
      <c r="D124" s="22" t="s">
        <v>236</v>
      </c>
      <c r="E124" s="18">
        <v>0.06</v>
      </c>
      <c r="F124" s="18">
        <f>12/((225+325)/2)</f>
        <v>4.363636363636364E-2</v>
      </c>
      <c r="G124" s="18">
        <f>16/((56+46)/2)</f>
        <v>0.31372549019607843</v>
      </c>
      <c r="H124" s="18">
        <f>1.5/((44+77)/2)</f>
        <v>2.4793388429752067E-2</v>
      </c>
      <c r="I124" s="18">
        <f t="shared" ref="I124:I126" si="94">0/((36+25)/2)</f>
        <v>0</v>
      </c>
      <c r="J124" s="18">
        <f>390/(2300)</f>
        <v>0.16956521739130434</v>
      </c>
      <c r="K124" s="18">
        <f t="shared" si="93"/>
        <v>3.6363636363636362E-2</v>
      </c>
      <c r="L124" s="18">
        <f>40/(300)</f>
        <v>0.13333333333333333</v>
      </c>
      <c r="M124" s="22" t="s">
        <v>531</v>
      </c>
      <c r="N124" s="2"/>
      <c r="O124" s="2"/>
      <c r="P124" s="2"/>
      <c r="Q124" s="2"/>
      <c r="R124" s="2"/>
      <c r="S124" s="2"/>
      <c r="T124" s="2"/>
      <c r="U124" s="2"/>
      <c r="V124" s="2"/>
      <c r="W124" s="2"/>
      <c r="X124" s="2"/>
      <c r="Y124" s="2"/>
      <c r="Z124" s="2"/>
    </row>
    <row r="125" spans="1:26" ht="19.5" customHeight="1">
      <c r="A125" s="19" t="s">
        <v>421</v>
      </c>
      <c r="B125" s="20" t="s">
        <v>422</v>
      </c>
      <c r="C125" s="21">
        <v>5</v>
      </c>
      <c r="D125" s="22" t="s">
        <v>423</v>
      </c>
      <c r="E125" s="18">
        <v>6.5000000000000002E-2</v>
      </c>
      <c r="F125" s="18">
        <f>13/((225+325)/2)</f>
        <v>4.7272727272727272E-2</v>
      </c>
      <c r="G125" s="18">
        <f>12/((56+46)/2)</f>
        <v>0.23529411764705882</v>
      </c>
      <c r="H125" s="18">
        <f>4/((44+77)/2)</f>
        <v>6.6115702479338845E-2</v>
      </c>
      <c r="I125" s="18">
        <f t="shared" si="94"/>
        <v>0</v>
      </c>
      <c r="J125" s="18">
        <f>250/(2300)</f>
        <v>0.10869565217391304</v>
      </c>
      <c r="K125" s="18">
        <f t="shared" ref="K125:K126" si="95">2/((25+30)/2)</f>
        <v>7.2727272727272724E-2</v>
      </c>
      <c r="L125" s="18">
        <f>30/(300)</f>
        <v>0.1</v>
      </c>
      <c r="M125" s="22" t="s">
        <v>425</v>
      </c>
      <c r="N125" s="2"/>
      <c r="O125" s="2"/>
      <c r="P125" s="2"/>
      <c r="Q125" s="2"/>
      <c r="R125" s="2"/>
      <c r="S125" s="2"/>
      <c r="T125" s="2"/>
      <c r="U125" s="2"/>
      <c r="V125" s="2"/>
      <c r="W125" s="2"/>
      <c r="X125" s="2"/>
      <c r="Y125" s="2"/>
      <c r="Z125" s="2"/>
    </row>
    <row r="126" spans="1:26" ht="19.5" customHeight="1">
      <c r="A126" s="19" t="s">
        <v>78</v>
      </c>
      <c r="B126" s="20" t="s">
        <v>79</v>
      </c>
      <c r="C126" s="22" t="s">
        <v>69</v>
      </c>
      <c r="D126" s="22" t="s">
        <v>17</v>
      </c>
      <c r="E126" s="18">
        <v>0.08</v>
      </c>
      <c r="F126" s="18">
        <f>3/((225+325)/2)</f>
        <v>1.090909090909091E-2</v>
      </c>
      <c r="G126" s="18">
        <f>9/((56+46)/2)</f>
        <v>0.17647058823529413</v>
      </c>
      <c r="H126" s="18">
        <f>14/((44+77)/2)</f>
        <v>0.23140495867768596</v>
      </c>
      <c r="I126" s="18">
        <f t="shared" si="94"/>
        <v>0</v>
      </c>
      <c r="J126" s="18">
        <f>170/(2300)</f>
        <v>7.3913043478260873E-2</v>
      </c>
      <c r="K126" s="18">
        <f t="shared" si="95"/>
        <v>7.2727272727272724E-2</v>
      </c>
      <c r="L126" s="18">
        <f>0/(300)</f>
        <v>0</v>
      </c>
      <c r="M126" s="22" t="s">
        <v>80</v>
      </c>
      <c r="N126" s="2"/>
      <c r="O126" s="2"/>
      <c r="P126" s="2"/>
      <c r="Q126" s="2"/>
      <c r="R126" s="2"/>
      <c r="S126" s="2"/>
      <c r="T126" s="2"/>
      <c r="U126" s="2"/>
      <c r="V126" s="2"/>
      <c r="W126" s="2"/>
      <c r="X126" s="2"/>
      <c r="Y126" s="2"/>
      <c r="Z126" s="2"/>
    </row>
    <row r="127" spans="1:26" ht="19.5" customHeight="1">
      <c r="A127" s="19" t="s">
        <v>780</v>
      </c>
      <c r="B127" s="20" t="s">
        <v>781</v>
      </c>
      <c r="C127" s="21">
        <v>1</v>
      </c>
      <c r="D127" s="22" t="s">
        <v>1091</v>
      </c>
      <c r="E127" s="18">
        <v>3.5000000000000003E-2</v>
      </c>
      <c r="F127" s="18">
        <f>10/((225+325)/2)</f>
        <v>3.6363636363636362E-2</v>
      </c>
      <c r="G127" s="18">
        <f t="shared" ref="G127:G128" si="96">2/((56+46)/2)</f>
        <v>3.9215686274509803E-2</v>
      </c>
      <c r="H127" s="18">
        <f>2/((44+77)/2)</f>
        <v>3.3057851239669422E-2</v>
      </c>
      <c r="I127" s="18">
        <f>7/((36+25)/2)</f>
        <v>0.22950819672131148</v>
      </c>
      <c r="J127" s="18">
        <f>10/(2300)</f>
        <v>4.3478260869565218E-3</v>
      </c>
      <c r="K127" s="18">
        <f>4/((25+30)/2)</f>
        <v>0.14545454545454545</v>
      </c>
      <c r="L127" s="18" t="s">
        <v>218</v>
      </c>
      <c r="M127" s="22" t="s">
        <v>782</v>
      </c>
      <c r="N127" s="2"/>
      <c r="O127" s="2"/>
      <c r="P127" s="2"/>
      <c r="Q127" s="2"/>
      <c r="R127" s="2"/>
      <c r="S127" s="2"/>
      <c r="T127" s="2"/>
      <c r="U127" s="2"/>
      <c r="V127" s="2"/>
      <c r="W127" s="2"/>
      <c r="X127" s="2"/>
      <c r="Y127" s="2"/>
      <c r="Z127" s="2"/>
    </row>
    <row r="128" spans="1:26" ht="19.5" customHeight="1">
      <c r="A128" s="19" t="s">
        <v>314</v>
      </c>
      <c r="B128" s="20" t="s">
        <v>315</v>
      </c>
      <c r="C128" s="21">
        <v>14</v>
      </c>
      <c r="D128" s="22" t="s">
        <v>316</v>
      </c>
      <c r="E128" s="18">
        <v>7.0000000000000007E-2</v>
      </c>
      <c r="F128" s="18">
        <f>19/((225+325)/2)</f>
        <v>6.9090909090909092E-2</v>
      </c>
      <c r="G128" s="18">
        <f t="shared" si="96"/>
        <v>3.9215686274509803E-2</v>
      </c>
      <c r="H128" s="18">
        <f>6/((44+77)/2)</f>
        <v>9.9173553719008267E-2</v>
      </c>
      <c r="I128" s="18">
        <f>0/((36+25)/2)</f>
        <v>0</v>
      </c>
      <c r="J128" s="18">
        <f>120/(2300)</f>
        <v>5.2173913043478258E-2</v>
      </c>
      <c r="K128" s="18">
        <f>2/((25+30)/2)</f>
        <v>7.2727272727272724E-2</v>
      </c>
      <c r="L128" s="18">
        <f t="shared" ref="L128:L137" si="97">0/(300)</f>
        <v>0</v>
      </c>
      <c r="M128" s="22" t="s">
        <v>317</v>
      </c>
      <c r="N128" s="2"/>
      <c r="O128" s="2"/>
      <c r="P128" s="2"/>
      <c r="Q128" s="2"/>
      <c r="R128" s="2"/>
      <c r="S128" s="2"/>
      <c r="T128" s="2"/>
      <c r="U128" s="2"/>
      <c r="V128" s="2"/>
      <c r="W128" s="2"/>
      <c r="X128" s="2"/>
      <c r="Y128" s="2"/>
      <c r="Z128" s="2"/>
    </row>
    <row r="129" spans="1:26" ht="19.5" customHeight="1">
      <c r="A129" s="19" t="s">
        <v>783</v>
      </c>
      <c r="B129" s="20" t="s">
        <v>784</v>
      </c>
      <c r="C129" s="21">
        <v>1</v>
      </c>
      <c r="D129" s="22" t="s">
        <v>599</v>
      </c>
      <c r="E129" s="18">
        <v>0.05</v>
      </c>
      <c r="F129" s="18">
        <f>18/((225+325)/2)</f>
        <v>6.545454545454546E-2</v>
      </c>
      <c r="G129" s="18">
        <f t="shared" ref="G129:G131" si="98">1/((56+46)/2)</f>
        <v>1.9607843137254902E-2</v>
      </c>
      <c r="H129" s="18">
        <f>3/((44+77)/2)</f>
        <v>4.9586776859504134E-2</v>
      </c>
      <c r="I129" s="18">
        <f>10/((36+25)/2)</f>
        <v>0.32786885245901637</v>
      </c>
      <c r="J129" s="18">
        <f>80/(2300)</f>
        <v>3.4782608695652174E-2</v>
      </c>
      <c r="K129" s="18">
        <f>0/((25+30)/2)</f>
        <v>0</v>
      </c>
      <c r="L129" s="18">
        <f t="shared" si="97"/>
        <v>0</v>
      </c>
      <c r="M129" s="22" t="s">
        <v>785</v>
      </c>
      <c r="N129" s="2"/>
      <c r="O129" s="2"/>
      <c r="P129" s="2"/>
      <c r="Q129" s="2"/>
      <c r="R129" s="2"/>
      <c r="S129" s="2"/>
      <c r="T129" s="2"/>
      <c r="U129" s="2"/>
      <c r="V129" s="2"/>
      <c r="W129" s="2"/>
      <c r="X129" s="2"/>
      <c r="Y129" s="2"/>
      <c r="Z129" s="2"/>
    </row>
    <row r="130" spans="1:26" ht="19.5" customHeight="1">
      <c r="A130" s="19" t="s">
        <v>412</v>
      </c>
      <c r="B130" s="20" t="s">
        <v>413</v>
      </c>
      <c r="C130" s="21">
        <v>6</v>
      </c>
      <c r="D130" s="22" t="s">
        <v>236</v>
      </c>
      <c r="E130" s="18">
        <v>0.05</v>
      </c>
      <c r="F130" s="18">
        <f>15/((225+325)/2)</f>
        <v>5.4545454545454543E-2</v>
      </c>
      <c r="G130" s="18">
        <f t="shared" si="98"/>
        <v>1.9607843137254902E-2</v>
      </c>
      <c r="H130" s="18">
        <f>3.5/((44+77)/2)</f>
        <v>5.7851239669421489E-2</v>
      </c>
      <c r="I130" s="18">
        <f t="shared" ref="I130:I131" si="99">12/((36+25)/2)</f>
        <v>0.39344262295081966</v>
      </c>
      <c r="J130" s="18">
        <f>20/(2300)</f>
        <v>8.6956521739130436E-3</v>
      </c>
      <c r="K130" s="18">
        <f>2/((25+30)/2)</f>
        <v>7.2727272727272724E-2</v>
      </c>
      <c r="L130" s="18">
        <f t="shared" si="97"/>
        <v>0</v>
      </c>
      <c r="M130" s="22" t="s">
        <v>414</v>
      </c>
      <c r="N130" s="2"/>
      <c r="O130" s="2"/>
      <c r="P130" s="2"/>
      <c r="Q130" s="2"/>
      <c r="R130" s="2"/>
      <c r="S130" s="2"/>
      <c r="T130" s="2"/>
      <c r="U130" s="2"/>
      <c r="V130" s="2"/>
      <c r="W130" s="2"/>
      <c r="X130" s="2"/>
      <c r="Y130" s="2"/>
      <c r="Z130" s="2"/>
    </row>
    <row r="131" spans="1:26" ht="19.5" customHeight="1">
      <c r="A131" s="19" t="s">
        <v>432</v>
      </c>
      <c r="B131" s="20" t="s">
        <v>433</v>
      </c>
      <c r="C131" s="21">
        <v>4</v>
      </c>
      <c r="D131" s="22" t="s">
        <v>236</v>
      </c>
      <c r="E131" s="18">
        <v>6.5000000000000002E-2</v>
      </c>
      <c r="F131" s="18">
        <f>16/((225+325)/2)</f>
        <v>5.8181818181818182E-2</v>
      </c>
      <c r="G131" s="18">
        <f t="shared" si="98"/>
        <v>1.9607843137254902E-2</v>
      </c>
      <c r="H131" s="18">
        <f>6/((44+77)/2)</f>
        <v>9.9173553719008267E-2</v>
      </c>
      <c r="I131" s="18">
        <f t="shared" si="99"/>
        <v>0.39344262295081966</v>
      </c>
      <c r="J131" s="18">
        <f t="shared" ref="J131:J132" si="100">0/(2300)</f>
        <v>0</v>
      </c>
      <c r="K131" s="18">
        <f>1/((25+30)/2)</f>
        <v>3.6363636363636362E-2</v>
      </c>
      <c r="L131" s="18">
        <f t="shared" si="97"/>
        <v>0</v>
      </c>
      <c r="M131" s="22" t="s">
        <v>434</v>
      </c>
      <c r="N131" s="2"/>
      <c r="O131" s="2"/>
      <c r="P131" s="2"/>
      <c r="Q131" s="2"/>
      <c r="R131" s="2"/>
      <c r="S131" s="2"/>
      <c r="T131" s="2"/>
      <c r="U131" s="2"/>
      <c r="V131" s="2"/>
      <c r="W131" s="2"/>
      <c r="X131" s="2"/>
      <c r="Y131" s="2"/>
      <c r="Z131" s="2"/>
    </row>
    <row r="132" spans="1:26" ht="19.5" customHeight="1">
      <c r="A132" s="19" t="s">
        <v>786</v>
      </c>
      <c r="B132" s="20" t="s">
        <v>787</v>
      </c>
      <c r="C132" s="21">
        <v>1</v>
      </c>
      <c r="D132" s="22" t="s">
        <v>606</v>
      </c>
      <c r="E132" s="18">
        <v>5.0000000000000001E-3</v>
      </c>
      <c r="F132" s="18">
        <f>3/((225+325)/2)</f>
        <v>1.090909090909091E-2</v>
      </c>
      <c r="G132" s="18">
        <f>0/((56+46)/2)</f>
        <v>0</v>
      </c>
      <c r="H132" s="18">
        <f>0/((44+77)/2)</f>
        <v>0</v>
      </c>
      <c r="I132" s="18">
        <f t="shared" ref="I132:I133" si="101">1/((36+25)/2)</f>
        <v>3.2786885245901641E-2</v>
      </c>
      <c r="J132" s="18">
        <f t="shared" si="100"/>
        <v>0</v>
      </c>
      <c r="K132" s="18">
        <f>0/((25+30)/2)</f>
        <v>0</v>
      </c>
      <c r="L132" s="18">
        <f t="shared" si="97"/>
        <v>0</v>
      </c>
      <c r="M132" s="22" t="s">
        <v>788</v>
      </c>
      <c r="N132" s="2"/>
      <c r="O132" s="2"/>
      <c r="P132" s="2"/>
      <c r="Q132" s="2"/>
      <c r="R132" s="2"/>
      <c r="S132" s="2"/>
      <c r="T132" s="2"/>
      <c r="U132" s="2"/>
      <c r="V132" s="2"/>
      <c r="W132" s="2"/>
      <c r="X132" s="2"/>
      <c r="Y132" s="2"/>
      <c r="Z132" s="2"/>
    </row>
    <row r="133" spans="1:26" ht="19.5" customHeight="1">
      <c r="A133" s="19" t="s">
        <v>532</v>
      </c>
      <c r="B133" s="20" t="s">
        <v>533</v>
      </c>
      <c r="C133" s="21">
        <v>2</v>
      </c>
      <c r="D133" s="22" t="s">
        <v>534</v>
      </c>
      <c r="E133" s="18">
        <v>6.5000000000000002E-2</v>
      </c>
      <c r="F133" s="18">
        <f>24/((225+325)/2)</f>
        <v>8.727272727272728E-2</v>
      </c>
      <c r="G133" s="18">
        <f>1/((56+46)/2)</f>
        <v>1.9607843137254902E-2</v>
      </c>
      <c r="H133" s="18">
        <f>3/((44+77)/2)</f>
        <v>4.9586776859504134E-2</v>
      </c>
      <c r="I133" s="18">
        <f t="shared" si="101"/>
        <v>3.2786885245901641E-2</v>
      </c>
      <c r="J133" s="18">
        <f>240/(2300)</f>
        <v>0.10434782608695652</v>
      </c>
      <c r="K133" s="18">
        <f>3/((25+30)/2)</f>
        <v>0.10909090909090909</v>
      </c>
      <c r="L133" s="18">
        <f t="shared" si="97"/>
        <v>0</v>
      </c>
      <c r="M133" s="22" t="s">
        <v>535</v>
      </c>
      <c r="N133" s="2"/>
      <c r="O133" s="2"/>
      <c r="P133" s="2"/>
      <c r="Q133" s="2"/>
      <c r="R133" s="2"/>
      <c r="S133" s="2"/>
      <c r="T133" s="2"/>
      <c r="U133" s="2"/>
      <c r="V133" s="2"/>
      <c r="W133" s="2"/>
      <c r="X133" s="2"/>
      <c r="Y133" s="2"/>
      <c r="Z133" s="2"/>
    </row>
    <row r="134" spans="1:26" ht="19.5" customHeight="1">
      <c r="A134" s="19" t="s">
        <v>789</v>
      </c>
      <c r="B134" s="20" t="s">
        <v>790</v>
      </c>
      <c r="C134" s="21">
        <v>1</v>
      </c>
      <c r="D134" s="22" t="s">
        <v>31</v>
      </c>
      <c r="E134" s="18">
        <v>2.5000000000000001E-2</v>
      </c>
      <c r="F134" s="18">
        <f>12/((225+325)/2)</f>
        <v>4.363636363636364E-2</v>
      </c>
      <c r="G134" s="18" t="s">
        <v>218</v>
      </c>
      <c r="H134" s="18">
        <f t="shared" ref="H134:H136" si="102">0/((44+77)/2)</f>
        <v>0</v>
      </c>
      <c r="I134" s="18">
        <f>12/((36+25)/2)</f>
        <v>0.39344262295081966</v>
      </c>
      <c r="J134" s="18">
        <f>40/(2300)</f>
        <v>1.7391304347826087E-2</v>
      </c>
      <c r="K134" s="18">
        <f t="shared" ref="K134:K137" si="103">0/((25+30)/2)</f>
        <v>0</v>
      </c>
      <c r="L134" s="18">
        <f t="shared" si="97"/>
        <v>0</v>
      </c>
      <c r="M134" s="22" t="s">
        <v>791</v>
      </c>
      <c r="N134" s="2"/>
      <c r="O134" s="2"/>
      <c r="P134" s="2"/>
      <c r="Q134" s="2"/>
      <c r="R134" s="2"/>
      <c r="S134" s="2"/>
      <c r="T134" s="2"/>
      <c r="U134" s="2"/>
      <c r="V134" s="2"/>
      <c r="W134" s="2"/>
      <c r="X134" s="2"/>
      <c r="Y134" s="2"/>
      <c r="Z134" s="2"/>
    </row>
    <row r="135" spans="1:26" ht="19.5" customHeight="1">
      <c r="A135" s="19" t="s">
        <v>792</v>
      </c>
      <c r="B135" s="20" t="s">
        <v>793</v>
      </c>
      <c r="C135" s="21">
        <v>1</v>
      </c>
      <c r="D135" s="22" t="s">
        <v>31</v>
      </c>
      <c r="E135" s="18">
        <v>5.0000000000000001E-3</v>
      </c>
      <c r="F135" s="18">
        <f>1/((225+325)/2)</f>
        <v>3.6363636363636364E-3</v>
      </c>
      <c r="G135" s="18">
        <f t="shared" ref="G135:G136" si="104">0/((56+46)/2)</f>
        <v>0</v>
      </c>
      <c r="H135" s="18">
        <f t="shared" si="102"/>
        <v>0</v>
      </c>
      <c r="I135" s="18">
        <f t="shared" ref="I135:I136" si="105">1/((36+25)/2)</f>
        <v>3.2786885245901641E-2</v>
      </c>
      <c r="J135" s="18">
        <f>60/(2300)</f>
        <v>2.6086956521739129E-2</v>
      </c>
      <c r="K135" s="18">
        <f t="shared" si="103"/>
        <v>0</v>
      </c>
      <c r="L135" s="18">
        <f t="shared" si="97"/>
        <v>0</v>
      </c>
      <c r="M135" s="22" t="s">
        <v>794</v>
      </c>
      <c r="N135" s="2"/>
      <c r="O135" s="2"/>
      <c r="P135" s="2"/>
      <c r="Q135" s="2"/>
      <c r="R135" s="2"/>
      <c r="S135" s="2"/>
      <c r="T135" s="2"/>
      <c r="U135" s="2"/>
      <c r="V135" s="2"/>
      <c r="W135" s="2"/>
      <c r="X135" s="2"/>
      <c r="Y135" s="2"/>
      <c r="Z135" s="2"/>
    </row>
    <row r="136" spans="1:26" ht="19.5" customHeight="1">
      <c r="A136" s="19" t="s">
        <v>795</v>
      </c>
      <c r="B136" s="20" t="s">
        <v>796</v>
      </c>
      <c r="C136" s="21">
        <v>1</v>
      </c>
      <c r="D136" s="22" t="s">
        <v>31</v>
      </c>
      <c r="E136" s="18">
        <v>5.0000000000000001E-3</v>
      </c>
      <c r="F136" s="18">
        <f>2/((225+325)/2)</f>
        <v>7.2727272727272727E-3</v>
      </c>
      <c r="G136" s="18">
        <f t="shared" si="104"/>
        <v>0</v>
      </c>
      <c r="H136" s="18">
        <f t="shared" si="102"/>
        <v>0</v>
      </c>
      <c r="I136" s="18">
        <f t="shared" si="105"/>
        <v>3.2786885245901641E-2</v>
      </c>
      <c r="J136" s="18">
        <f>480/(2300)</f>
        <v>0.20869565217391303</v>
      </c>
      <c r="K136" s="18">
        <f t="shared" si="103"/>
        <v>0</v>
      </c>
      <c r="L136" s="18">
        <f t="shared" si="97"/>
        <v>0</v>
      </c>
      <c r="M136" s="22" t="s">
        <v>797</v>
      </c>
      <c r="N136" s="2"/>
      <c r="O136" s="2"/>
      <c r="P136" s="2"/>
      <c r="Q136" s="2"/>
      <c r="R136" s="2"/>
      <c r="S136" s="2"/>
      <c r="T136" s="2"/>
      <c r="U136" s="2"/>
      <c r="V136" s="2"/>
      <c r="W136" s="2"/>
      <c r="X136" s="2"/>
      <c r="Y136" s="2"/>
      <c r="Z136" s="2"/>
    </row>
    <row r="137" spans="1:26" ht="19.5" customHeight="1">
      <c r="A137" s="19" t="s">
        <v>81</v>
      </c>
      <c r="B137" s="20" t="s">
        <v>82</v>
      </c>
      <c r="C137" s="22" t="s">
        <v>69</v>
      </c>
      <c r="D137" s="22" t="s">
        <v>17</v>
      </c>
      <c r="E137" s="18">
        <v>8.5000000000000006E-2</v>
      </c>
      <c r="F137" s="18">
        <f>5/((225+325)/2)</f>
        <v>1.8181818181818181E-2</v>
      </c>
      <c r="G137" s="18">
        <f>1/((56+46)/2)</f>
        <v>1.9607843137254902E-2</v>
      </c>
      <c r="H137" s="18">
        <f>16/((44+77)/2)</f>
        <v>0.26446280991735538</v>
      </c>
      <c r="I137" s="18">
        <f>4/((36+25)/2)</f>
        <v>0.13114754098360656</v>
      </c>
      <c r="J137" s="18">
        <f>270/(2300)</f>
        <v>0.11739130434782609</v>
      </c>
      <c r="K137" s="18">
        <f t="shared" si="103"/>
        <v>0</v>
      </c>
      <c r="L137" s="18">
        <f t="shared" si="97"/>
        <v>0</v>
      </c>
      <c r="M137" s="22" t="s">
        <v>83</v>
      </c>
      <c r="N137" s="2"/>
      <c r="O137" s="2"/>
      <c r="P137" s="2"/>
      <c r="Q137" s="2"/>
      <c r="R137" s="2"/>
      <c r="S137" s="2"/>
      <c r="T137" s="2"/>
      <c r="U137" s="2"/>
      <c r="V137" s="2"/>
      <c r="W137" s="2"/>
      <c r="X137" s="2"/>
      <c r="Y137" s="2"/>
      <c r="Z137" s="2"/>
    </row>
    <row r="138" spans="1:26" ht="19.5" customHeight="1">
      <c r="A138" s="19" t="s">
        <v>798</v>
      </c>
      <c r="B138" s="20" t="s">
        <v>799</v>
      </c>
      <c r="C138" s="21">
        <v>1</v>
      </c>
      <c r="D138" s="22" t="s">
        <v>205</v>
      </c>
      <c r="E138" s="18">
        <v>8.5000000000000006E-2</v>
      </c>
      <c r="F138" s="18">
        <f t="shared" ref="F138:F139" si="106">2/((225+325)/2)</f>
        <v>7.2727272727272727E-3</v>
      </c>
      <c r="G138" s="18">
        <f t="shared" ref="G138:G139" si="107">11/((56+46)/2)</f>
        <v>0.21568627450980393</v>
      </c>
      <c r="H138" s="18">
        <f>14/((44+77)/2)</f>
        <v>0.23140495867768596</v>
      </c>
      <c r="I138" s="18">
        <f>1/((36+25)/2)</f>
        <v>3.2786885245901641E-2</v>
      </c>
      <c r="J138" s="18">
        <f>350/(2300)</f>
        <v>0.15217391304347827</v>
      </c>
      <c r="K138" s="18">
        <f>1/((25+30)/2)</f>
        <v>3.6363636363636362E-2</v>
      </c>
      <c r="L138" s="18">
        <f t="shared" ref="L138:L139" si="108">45/(300)</f>
        <v>0.15</v>
      </c>
      <c r="M138" s="22" t="s">
        <v>800</v>
      </c>
      <c r="N138" s="2"/>
      <c r="O138" s="2"/>
      <c r="P138" s="2"/>
      <c r="Q138" s="2"/>
      <c r="R138" s="2"/>
      <c r="S138" s="2"/>
      <c r="T138" s="2"/>
      <c r="U138" s="2"/>
      <c r="V138" s="2"/>
      <c r="W138" s="2"/>
      <c r="X138" s="2"/>
      <c r="Y138" s="2"/>
      <c r="Z138" s="2"/>
    </row>
    <row r="139" spans="1:26" ht="19.5" customHeight="1">
      <c r="A139" s="19" t="s">
        <v>137</v>
      </c>
      <c r="B139" s="20" t="s">
        <v>138</v>
      </c>
      <c r="C139" s="22" t="s">
        <v>145</v>
      </c>
      <c r="D139" s="22" t="s">
        <v>17</v>
      </c>
      <c r="E139" s="18">
        <v>9.5000000000000001E-2</v>
      </c>
      <c r="F139" s="18">
        <f t="shared" si="106"/>
        <v>7.2727272727272727E-3</v>
      </c>
      <c r="G139" s="18">
        <f t="shared" si="107"/>
        <v>0.21568627450980393</v>
      </c>
      <c r="H139" s="18">
        <f>15/((44+77)/2)</f>
        <v>0.24793388429752067</v>
      </c>
      <c r="I139" s="18">
        <f t="shared" ref="I139:I140" si="109">0/((36+25)/2)</f>
        <v>0</v>
      </c>
      <c r="J139" s="18">
        <f>340/(2300)</f>
        <v>0.14782608695652175</v>
      </c>
      <c r="K139" s="18">
        <f>0/((25+30)/2)</f>
        <v>0</v>
      </c>
      <c r="L139" s="18">
        <f t="shared" si="108"/>
        <v>0.15</v>
      </c>
      <c r="M139" s="22" t="s">
        <v>139</v>
      </c>
      <c r="N139" s="2"/>
      <c r="O139" s="2"/>
      <c r="P139" s="2"/>
      <c r="Q139" s="2"/>
      <c r="R139" s="2"/>
      <c r="S139" s="2"/>
      <c r="T139" s="2"/>
      <c r="U139" s="2"/>
      <c r="V139" s="2"/>
      <c r="W139" s="2"/>
      <c r="X139" s="2"/>
      <c r="Y139" s="2"/>
      <c r="Z139" s="2"/>
    </row>
    <row r="140" spans="1:26" ht="19.5" customHeight="1">
      <c r="A140" s="19" t="s">
        <v>801</v>
      </c>
      <c r="B140" s="20" t="s">
        <v>802</v>
      </c>
      <c r="C140" s="21">
        <v>1</v>
      </c>
      <c r="D140" s="22" t="s">
        <v>628</v>
      </c>
      <c r="E140" s="18">
        <v>0.13</v>
      </c>
      <c r="F140" s="18">
        <f>5/((225+325)/2)</f>
        <v>1.8181818181818181E-2</v>
      </c>
      <c r="G140" s="18">
        <f>20/((56+46)/2)</f>
        <v>0.39215686274509803</v>
      </c>
      <c r="H140" s="18">
        <f>18/((44+77)/2)</f>
        <v>0.2975206611570248</v>
      </c>
      <c r="I140" s="18">
        <f t="shared" si="109"/>
        <v>0</v>
      </c>
      <c r="J140" s="18">
        <f>350/(2300)</f>
        <v>0.15217391304347827</v>
      </c>
      <c r="K140" s="18">
        <f>2/((25+30)/2)</f>
        <v>7.2727272727272724E-2</v>
      </c>
      <c r="L140" s="18">
        <f t="shared" ref="L140:L141" si="110">0/(300)</f>
        <v>0</v>
      </c>
      <c r="M140" s="22" t="s">
        <v>803</v>
      </c>
      <c r="N140" s="2"/>
      <c r="O140" s="2"/>
      <c r="P140" s="2"/>
      <c r="Q140" s="2"/>
      <c r="R140" s="2"/>
      <c r="S140" s="2"/>
      <c r="T140" s="2"/>
      <c r="U140" s="2"/>
      <c r="V140" s="2"/>
      <c r="W140" s="2"/>
      <c r="X140" s="2"/>
      <c r="Y140" s="2"/>
      <c r="Z140" s="2"/>
    </row>
    <row r="141" spans="1:26" ht="19.5" customHeight="1">
      <c r="A141" s="19" t="s">
        <v>804</v>
      </c>
      <c r="B141" s="20" t="s">
        <v>805</v>
      </c>
      <c r="C141" s="21">
        <v>1</v>
      </c>
      <c r="D141" s="22" t="s">
        <v>599</v>
      </c>
      <c r="E141" s="18">
        <v>0.11</v>
      </c>
      <c r="F141" s="18">
        <f>14/((225+325)/2)</f>
        <v>5.0909090909090911E-2</v>
      </c>
      <c r="G141" s="18">
        <f>12/((56+46)/2)</f>
        <v>0.23529411764705882</v>
      </c>
      <c r="H141" s="18">
        <f>15/((44+77)/2)</f>
        <v>0.24793388429752067</v>
      </c>
      <c r="I141" s="18">
        <f>2/((36+25)/2)</f>
        <v>6.5573770491803282E-2</v>
      </c>
      <c r="J141" s="18">
        <f>110/(2300)</f>
        <v>4.7826086956521741E-2</v>
      </c>
      <c r="K141" s="18">
        <f>5/((25+30)/2)</f>
        <v>0.18181818181818182</v>
      </c>
      <c r="L141" s="18">
        <f t="shared" si="110"/>
        <v>0</v>
      </c>
      <c r="M141" s="22" t="s">
        <v>806</v>
      </c>
      <c r="N141" s="2"/>
      <c r="O141" s="2"/>
      <c r="P141" s="2"/>
      <c r="Q141" s="2"/>
      <c r="R141" s="2"/>
      <c r="S141" s="2"/>
      <c r="T141" s="2"/>
      <c r="U141" s="2"/>
      <c r="V141" s="2"/>
      <c r="W141" s="2"/>
      <c r="X141" s="2"/>
      <c r="Y141" s="2"/>
      <c r="Z141" s="2"/>
    </row>
    <row r="142" spans="1:26" ht="19.5" customHeight="1">
      <c r="A142" s="19" t="s">
        <v>807</v>
      </c>
      <c r="B142" s="20" t="s">
        <v>808</v>
      </c>
      <c r="C142" s="21">
        <v>1</v>
      </c>
      <c r="D142" s="22" t="s">
        <v>205</v>
      </c>
      <c r="E142" s="18">
        <v>8.5000000000000006E-2</v>
      </c>
      <c r="F142" s="18">
        <f>1/((225+325)/2)</f>
        <v>3.6363636363636364E-3</v>
      </c>
      <c r="G142" s="18">
        <f>11/((56+46)/2)</f>
        <v>0.21568627450980393</v>
      </c>
      <c r="H142" s="18">
        <f t="shared" ref="H142:H143" si="111">14/((44+77)/2)</f>
        <v>0.23140495867768596</v>
      </c>
      <c r="I142" s="18">
        <f t="shared" ref="I142:I145" si="112">0/((36+25)/2)</f>
        <v>0</v>
      </c>
      <c r="J142" s="18">
        <f>390/(2300)</f>
        <v>0.16956521739130434</v>
      </c>
      <c r="K142" s="18">
        <f t="shared" ref="K142:K145" si="113">0/((25+30)/2)</f>
        <v>0</v>
      </c>
      <c r="L142" s="18">
        <f t="shared" ref="L142:L145" si="114">40/(300)</f>
        <v>0.13333333333333333</v>
      </c>
      <c r="M142" s="22" t="s">
        <v>809</v>
      </c>
      <c r="N142" s="2"/>
      <c r="O142" s="2"/>
      <c r="P142" s="2"/>
      <c r="Q142" s="2"/>
      <c r="R142" s="2"/>
      <c r="S142" s="2"/>
      <c r="T142" s="2"/>
      <c r="U142" s="2"/>
      <c r="V142" s="2"/>
      <c r="W142" s="2"/>
      <c r="X142" s="2"/>
      <c r="Y142" s="2"/>
      <c r="Z142" s="2"/>
    </row>
    <row r="143" spans="1:26" ht="19.5" customHeight="1">
      <c r="A143" s="19" t="s">
        <v>810</v>
      </c>
      <c r="B143" s="20" t="s">
        <v>811</v>
      </c>
      <c r="C143" s="21">
        <v>1</v>
      </c>
      <c r="D143" s="22" t="s">
        <v>205</v>
      </c>
      <c r="E143" s="18">
        <v>8.5000000000000006E-2</v>
      </c>
      <c r="F143" s="18">
        <f t="shared" ref="F143:F144" si="115">2/((225+325)/2)</f>
        <v>7.2727272727272727E-3</v>
      </c>
      <c r="G143" s="18">
        <f>10/((56+46)/2)</f>
        <v>0.19607843137254902</v>
      </c>
      <c r="H143" s="18">
        <f t="shared" si="111"/>
        <v>0.23140495867768596</v>
      </c>
      <c r="I143" s="18">
        <f t="shared" si="112"/>
        <v>0</v>
      </c>
      <c r="J143" s="18">
        <f>360/(2300)</f>
        <v>0.15652173913043479</v>
      </c>
      <c r="K143" s="18">
        <f t="shared" si="113"/>
        <v>0</v>
      </c>
      <c r="L143" s="18">
        <f t="shared" si="114"/>
        <v>0.13333333333333333</v>
      </c>
      <c r="M143" s="22" t="s">
        <v>1092</v>
      </c>
      <c r="N143" s="2"/>
      <c r="O143" s="2"/>
      <c r="P143" s="2"/>
      <c r="Q143" s="2"/>
      <c r="R143" s="2"/>
      <c r="S143" s="2"/>
      <c r="T143" s="2"/>
      <c r="U143" s="2"/>
      <c r="V143" s="2"/>
      <c r="W143" s="2"/>
      <c r="X143" s="2"/>
      <c r="Y143" s="2"/>
      <c r="Z143" s="2"/>
    </row>
    <row r="144" spans="1:26" ht="19.5" customHeight="1">
      <c r="A144" s="19" t="s">
        <v>813</v>
      </c>
      <c r="B144" s="20" t="s">
        <v>814</v>
      </c>
      <c r="C144" s="21">
        <v>1</v>
      </c>
      <c r="D144" s="22" t="s">
        <v>205</v>
      </c>
      <c r="E144" s="18">
        <v>8.5000000000000006E-2</v>
      </c>
      <c r="F144" s="18">
        <f t="shared" si="115"/>
        <v>7.2727272727272727E-3</v>
      </c>
      <c r="G144" s="18">
        <f>11/((56+46)/2)</f>
        <v>0.21568627450980393</v>
      </c>
      <c r="H144" s="18">
        <f>13/((44+77)/2)</f>
        <v>0.21487603305785125</v>
      </c>
      <c r="I144" s="18">
        <f t="shared" si="112"/>
        <v>0</v>
      </c>
      <c r="J144" s="18">
        <f>390/(2300)</f>
        <v>0.16956521739130434</v>
      </c>
      <c r="K144" s="18">
        <f t="shared" si="113"/>
        <v>0</v>
      </c>
      <c r="L144" s="18">
        <f t="shared" si="114"/>
        <v>0.13333333333333333</v>
      </c>
      <c r="M144" s="22" t="s">
        <v>815</v>
      </c>
      <c r="N144" s="2"/>
      <c r="O144" s="2"/>
      <c r="P144" s="2"/>
      <c r="Q144" s="2"/>
      <c r="R144" s="2"/>
      <c r="S144" s="2"/>
      <c r="T144" s="2"/>
      <c r="U144" s="2"/>
      <c r="V144" s="2"/>
      <c r="W144" s="2"/>
      <c r="X144" s="2"/>
      <c r="Y144" s="2"/>
      <c r="Z144" s="2"/>
    </row>
    <row r="145" spans="1:26" ht="19.5" customHeight="1">
      <c r="A145" s="19" t="s">
        <v>816</v>
      </c>
      <c r="B145" s="20" t="s">
        <v>817</v>
      </c>
      <c r="C145" s="21">
        <v>1</v>
      </c>
      <c r="D145" s="22" t="s">
        <v>205</v>
      </c>
      <c r="E145" s="18">
        <v>0.08</v>
      </c>
      <c r="F145" s="18">
        <f>1/((225+325)/2)</f>
        <v>3.6363636363636364E-3</v>
      </c>
      <c r="G145" s="18">
        <f>12/((56+46)/2)</f>
        <v>0.23529411764705882</v>
      </c>
      <c r="H145" s="18">
        <f>12/((44+77)/2)</f>
        <v>0.19834710743801653</v>
      </c>
      <c r="I145" s="18">
        <f t="shared" si="112"/>
        <v>0</v>
      </c>
      <c r="J145" s="18">
        <f>310/(2300)</f>
        <v>0.13478260869565217</v>
      </c>
      <c r="K145" s="18">
        <f t="shared" si="113"/>
        <v>0</v>
      </c>
      <c r="L145" s="18">
        <f t="shared" si="114"/>
        <v>0.13333333333333333</v>
      </c>
      <c r="M145" s="22" t="s">
        <v>818</v>
      </c>
      <c r="N145" s="2"/>
      <c r="O145" s="2"/>
      <c r="P145" s="2"/>
      <c r="Q145" s="2"/>
      <c r="R145" s="2"/>
      <c r="S145" s="2"/>
      <c r="T145" s="2"/>
      <c r="U145" s="2"/>
      <c r="V145" s="2"/>
      <c r="W145" s="2"/>
      <c r="X145" s="2"/>
      <c r="Y145" s="2"/>
      <c r="Z145" s="2"/>
    </row>
    <row r="146" spans="1:26" ht="19.5" customHeight="1">
      <c r="A146" s="19" t="s">
        <v>1093</v>
      </c>
      <c r="B146" s="20" t="s">
        <v>1094</v>
      </c>
      <c r="C146" s="22" t="s">
        <v>218</v>
      </c>
      <c r="D146" s="22" t="s">
        <v>218</v>
      </c>
      <c r="E146" s="18" t="s">
        <v>218</v>
      </c>
      <c r="F146" s="18" t="s">
        <v>218</v>
      </c>
      <c r="G146" s="18" t="s">
        <v>218</v>
      </c>
      <c r="H146" s="18" t="s">
        <v>218</v>
      </c>
      <c r="I146" s="18" t="s">
        <v>218</v>
      </c>
      <c r="J146" s="18" t="s">
        <v>218</v>
      </c>
      <c r="K146" s="18" t="s">
        <v>218</v>
      </c>
      <c r="L146" s="18" t="s">
        <v>218</v>
      </c>
      <c r="M146" s="22" t="s">
        <v>1095</v>
      </c>
      <c r="N146" s="2"/>
      <c r="O146" s="2"/>
      <c r="P146" s="2"/>
      <c r="Q146" s="2"/>
      <c r="R146" s="2"/>
      <c r="S146" s="2"/>
      <c r="T146" s="2"/>
      <c r="U146" s="2"/>
      <c r="V146" s="2"/>
      <c r="W146" s="2"/>
      <c r="X146" s="2"/>
      <c r="Y146" s="2"/>
      <c r="Z146" s="2"/>
    </row>
    <row r="147" spans="1:26" ht="19.5" customHeight="1">
      <c r="A147" s="19" t="s">
        <v>819</v>
      </c>
      <c r="B147" s="20" t="s">
        <v>820</v>
      </c>
      <c r="C147" s="21">
        <v>1</v>
      </c>
      <c r="D147" s="22" t="s">
        <v>31</v>
      </c>
      <c r="E147" s="18">
        <v>0.01</v>
      </c>
      <c r="F147" s="18">
        <f>4/((225+325)/2)</f>
        <v>1.4545454545454545E-2</v>
      </c>
      <c r="G147" s="18">
        <f t="shared" ref="G147:G148" si="116">0/((56+46)/2)</f>
        <v>0</v>
      </c>
      <c r="H147" s="18">
        <f t="shared" ref="H147:H148" si="117">0/((44+77)/2)</f>
        <v>0</v>
      </c>
      <c r="I147" s="18">
        <f>3/((36+25)/2)</f>
        <v>9.8360655737704916E-2</v>
      </c>
      <c r="J147" s="18">
        <f>690/(2300)</f>
        <v>0.3</v>
      </c>
      <c r="K147" s="18">
        <f t="shared" ref="K147:K148" si="118">0/((25+30)/2)</f>
        <v>0</v>
      </c>
      <c r="L147" s="18">
        <f t="shared" ref="L147:L148" si="119">0/(300)</f>
        <v>0</v>
      </c>
      <c r="M147" s="22" t="s">
        <v>821</v>
      </c>
      <c r="N147" s="2"/>
      <c r="O147" s="2"/>
      <c r="P147" s="2"/>
      <c r="Q147" s="2"/>
      <c r="R147" s="2"/>
      <c r="S147" s="2"/>
      <c r="T147" s="2"/>
      <c r="U147" s="2"/>
      <c r="V147" s="2"/>
      <c r="W147" s="2"/>
      <c r="X147" s="2"/>
      <c r="Y147" s="2"/>
      <c r="Z147" s="2"/>
    </row>
    <row r="148" spans="1:26" ht="19.5" customHeight="1">
      <c r="A148" s="19" t="s">
        <v>822</v>
      </c>
      <c r="B148" s="20" t="s">
        <v>823</v>
      </c>
      <c r="C148" s="21">
        <v>1</v>
      </c>
      <c r="D148" s="22" t="s">
        <v>76</v>
      </c>
      <c r="E148" s="18">
        <v>0</v>
      </c>
      <c r="F148" s="18">
        <f>0/((225+325)/2)</f>
        <v>0</v>
      </c>
      <c r="G148" s="18">
        <f t="shared" si="116"/>
        <v>0</v>
      </c>
      <c r="H148" s="18">
        <f t="shared" si="117"/>
        <v>0</v>
      </c>
      <c r="I148" s="18">
        <f>0/((36+25)/2)</f>
        <v>0</v>
      </c>
      <c r="J148" s="18">
        <f>90/(2300)</f>
        <v>3.9130434782608699E-2</v>
      </c>
      <c r="K148" s="18">
        <f t="shared" si="118"/>
        <v>0</v>
      </c>
      <c r="L148" s="18">
        <f t="shared" si="119"/>
        <v>0</v>
      </c>
      <c r="M148" s="22" t="s">
        <v>824</v>
      </c>
      <c r="N148" s="2"/>
      <c r="O148" s="2"/>
      <c r="P148" s="2"/>
      <c r="Q148" s="2"/>
      <c r="R148" s="2"/>
      <c r="S148" s="2"/>
      <c r="T148" s="2"/>
      <c r="U148" s="2"/>
      <c r="V148" s="2"/>
      <c r="W148" s="2"/>
      <c r="X148" s="2"/>
      <c r="Y148" s="2"/>
      <c r="Z148" s="2"/>
    </row>
    <row r="149" spans="1:26" ht="19.5" customHeight="1">
      <c r="A149" s="19" t="s">
        <v>166</v>
      </c>
      <c r="B149" s="20" t="s">
        <v>167</v>
      </c>
      <c r="C149" s="22" t="s">
        <v>155</v>
      </c>
      <c r="D149" s="22" t="s">
        <v>17</v>
      </c>
      <c r="E149" s="18">
        <v>8.5000000000000006E-2</v>
      </c>
      <c r="F149" s="18">
        <f>11/((225+325)/2)</f>
        <v>0.04</v>
      </c>
      <c r="G149" s="18">
        <f>2/((56+46)/2)</f>
        <v>3.9215686274509803E-2</v>
      </c>
      <c r="H149" s="18">
        <f>14/((44+77)/2)</f>
        <v>0.23140495867768596</v>
      </c>
      <c r="I149" s="18">
        <f>8/((36+25)/2)</f>
        <v>0.26229508196721313</v>
      </c>
      <c r="J149" s="18">
        <f>580/(2300)</f>
        <v>0.25217391304347825</v>
      </c>
      <c r="K149" s="18">
        <f>1/((25+30)/2)</f>
        <v>3.6363636363636362E-2</v>
      </c>
      <c r="L149" s="18">
        <f>20/(300)</f>
        <v>6.6666666666666666E-2</v>
      </c>
      <c r="M149" s="22" t="s">
        <v>168</v>
      </c>
      <c r="N149" s="2"/>
      <c r="O149" s="2"/>
      <c r="P149" s="2"/>
      <c r="Q149" s="2"/>
      <c r="R149" s="2"/>
      <c r="S149" s="2"/>
      <c r="T149" s="2"/>
      <c r="U149" s="2"/>
      <c r="V149" s="2"/>
      <c r="W149" s="2"/>
      <c r="X149" s="2"/>
      <c r="Y149" s="2"/>
      <c r="Z149" s="2"/>
    </row>
    <row r="150" spans="1:26" ht="19.5" customHeight="1">
      <c r="A150" s="19" t="s">
        <v>825</v>
      </c>
      <c r="B150" s="20" t="s">
        <v>826</v>
      </c>
      <c r="C150" s="21">
        <v>1</v>
      </c>
      <c r="D150" s="22" t="s">
        <v>31</v>
      </c>
      <c r="E150" s="18">
        <v>1.2500000000000001E-2</v>
      </c>
      <c r="F150" s="18">
        <f>1/((225+325)/2)</f>
        <v>3.6363636363636364E-3</v>
      </c>
      <c r="G150" s="18">
        <f>0/((56+46)/2)</f>
        <v>0</v>
      </c>
      <c r="H150" s="18">
        <f>2/((44+77)/2)</f>
        <v>3.3057851239669422E-2</v>
      </c>
      <c r="I150" s="18">
        <f>0/((36+25)/2)</f>
        <v>0</v>
      </c>
      <c r="J150" s="18">
        <f>23/(2300)</f>
        <v>0.01</v>
      </c>
      <c r="K150" s="18">
        <f>0/((25+30)/2)</f>
        <v>0</v>
      </c>
      <c r="L150" s="18">
        <f t="shared" ref="L150:L153" si="120">0/(300)</f>
        <v>0</v>
      </c>
      <c r="M150" s="22" t="s">
        <v>827</v>
      </c>
      <c r="N150" s="2"/>
      <c r="O150" s="2"/>
      <c r="P150" s="2"/>
      <c r="Q150" s="2"/>
      <c r="R150" s="2"/>
      <c r="S150" s="2"/>
      <c r="T150" s="2"/>
      <c r="U150" s="2"/>
      <c r="V150" s="2"/>
      <c r="W150" s="2"/>
      <c r="X150" s="2"/>
      <c r="Y150" s="2"/>
      <c r="Z150" s="2"/>
    </row>
    <row r="151" spans="1:26" ht="19.5" customHeight="1">
      <c r="A151" s="19" t="s">
        <v>84</v>
      </c>
      <c r="B151" s="20" t="s">
        <v>85</v>
      </c>
      <c r="C151" s="22" t="s">
        <v>69</v>
      </c>
      <c r="D151" s="22" t="s">
        <v>17</v>
      </c>
      <c r="E151" s="18">
        <v>0.21099999999999999</v>
      </c>
      <c r="F151" s="18">
        <f>6/((225+325)/2)</f>
        <v>2.181818181818182E-2</v>
      </c>
      <c r="G151" s="18">
        <f>4/((56+46)/2)</f>
        <v>7.8431372549019607E-2</v>
      </c>
      <c r="H151" s="18">
        <f>4/((44+77)/2)</f>
        <v>6.6115702479338845E-2</v>
      </c>
      <c r="I151" s="18">
        <f>2/((36+25)/2)</f>
        <v>6.5573770491803282E-2</v>
      </c>
      <c r="J151" s="18">
        <f>550/(2300)</f>
        <v>0.2391304347826087</v>
      </c>
      <c r="K151" s="18">
        <f>5/((25+30)/2)</f>
        <v>0.18181818181818182</v>
      </c>
      <c r="L151" s="18">
        <f t="shared" si="120"/>
        <v>0</v>
      </c>
      <c r="M151" s="22" t="s">
        <v>86</v>
      </c>
      <c r="N151" s="2"/>
      <c r="O151" s="2"/>
      <c r="P151" s="2"/>
      <c r="Q151" s="2"/>
      <c r="R151" s="2"/>
      <c r="S151" s="2"/>
      <c r="T151" s="2"/>
      <c r="U151" s="2"/>
      <c r="V151" s="2"/>
      <c r="W151" s="2"/>
      <c r="X151" s="2"/>
      <c r="Y151" s="2"/>
      <c r="Z151" s="2"/>
    </row>
    <row r="152" spans="1:26" ht="19.5" customHeight="1">
      <c r="A152" s="19" t="s">
        <v>29</v>
      </c>
      <c r="B152" s="20" t="s">
        <v>30</v>
      </c>
      <c r="C152" s="22" t="s">
        <v>35</v>
      </c>
      <c r="D152" s="22" t="s">
        <v>31</v>
      </c>
      <c r="E152" s="18">
        <v>1.2500000000000001E-2</v>
      </c>
      <c r="F152" s="18">
        <f>3/((225+325)/2)</f>
        <v>1.090909090909091E-2</v>
      </c>
      <c r="G152" s="18">
        <f>2/((56+46)/2)</f>
        <v>3.9215686274509803E-2</v>
      </c>
      <c r="H152" s="18">
        <f>1/((44+77)/2)</f>
        <v>1.6528925619834711E-2</v>
      </c>
      <c r="I152" s="18">
        <f>3/((36+25)/2)</f>
        <v>9.8360655737704916E-2</v>
      </c>
      <c r="J152" s="18">
        <f>520/(2300)</f>
        <v>0.22608695652173913</v>
      </c>
      <c r="K152" s="18">
        <f>1/((25+30)/2)</f>
        <v>3.6363636363636362E-2</v>
      </c>
      <c r="L152" s="18">
        <f t="shared" si="120"/>
        <v>0</v>
      </c>
      <c r="M152" s="22" t="s">
        <v>32</v>
      </c>
      <c r="N152" s="2"/>
      <c r="O152" s="2"/>
      <c r="P152" s="2"/>
      <c r="Q152" s="2"/>
      <c r="R152" s="2"/>
      <c r="S152" s="2"/>
      <c r="T152" s="2"/>
      <c r="U152" s="2"/>
      <c r="V152" s="2"/>
      <c r="W152" s="2"/>
      <c r="X152" s="2"/>
      <c r="Y152" s="2"/>
      <c r="Z152" s="2"/>
    </row>
    <row r="153" spans="1:26" ht="19.5" customHeight="1">
      <c r="A153" s="19" t="s">
        <v>87</v>
      </c>
      <c r="B153" s="20" t="s">
        <v>88</v>
      </c>
      <c r="C153" s="22" t="s">
        <v>69</v>
      </c>
      <c r="D153" s="22" t="s">
        <v>17</v>
      </c>
      <c r="E153" s="18">
        <v>0.16300000000000001</v>
      </c>
      <c r="F153" s="18">
        <f>12/((225+325)/2)</f>
        <v>4.363636363636364E-2</v>
      </c>
      <c r="G153" s="18">
        <f>6/((56+46)/2)</f>
        <v>0.11764705882352941</v>
      </c>
      <c r="H153" s="18">
        <f>27/((44+77)/2)</f>
        <v>0.4462809917355372</v>
      </c>
      <c r="I153" s="18">
        <f>1/((36+25)/2)</f>
        <v>3.2786885245901641E-2</v>
      </c>
      <c r="J153" s="18">
        <f>710/(2300)</f>
        <v>0.30869565217391304</v>
      </c>
      <c r="K153" s="18">
        <f>5/((25+30)/2)</f>
        <v>0.18181818181818182</v>
      </c>
      <c r="L153" s="18">
        <f t="shared" si="120"/>
        <v>0</v>
      </c>
      <c r="M153" s="22" t="s">
        <v>89</v>
      </c>
      <c r="N153" s="2"/>
      <c r="O153" s="2"/>
      <c r="P153" s="2"/>
      <c r="Q153" s="2"/>
      <c r="R153" s="2"/>
      <c r="S153" s="2"/>
      <c r="T153" s="2"/>
      <c r="U153" s="2"/>
      <c r="V153" s="2"/>
      <c r="W153" s="2"/>
      <c r="X153" s="2"/>
      <c r="Y153" s="2"/>
      <c r="Z153" s="2"/>
    </row>
    <row r="154" spans="1:26" ht="19.5" customHeight="1">
      <c r="A154" s="19" t="s">
        <v>828</v>
      </c>
      <c r="B154" s="20" t="s">
        <v>829</v>
      </c>
      <c r="C154" s="21">
        <v>1</v>
      </c>
      <c r="D154" s="22" t="s">
        <v>31</v>
      </c>
      <c r="E154" s="18">
        <v>1.7000000000000001E-2</v>
      </c>
      <c r="F154" s="18">
        <f>8/((225+325)/2)</f>
        <v>2.9090909090909091E-2</v>
      </c>
      <c r="G154" s="18">
        <f t="shared" ref="G154:G155" si="121">1/((56+46)/2)</f>
        <v>1.9607843137254902E-2</v>
      </c>
      <c r="H154" s="18">
        <f t="shared" ref="H154:H155" si="122">0/((44+77)/2)</f>
        <v>0</v>
      </c>
      <c r="I154" s="18">
        <f>7.5/((36+25)/2)</f>
        <v>0.24590163934426229</v>
      </c>
      <c r="J154" s="18">
        <f>550/(2300)</f>
        <v>0.2391304347826087</v>
      </c>
      <c r="K154" s="18">
        <f t="shared" ref="K154:K155" si="123">1/((25+30)/2)</f>
        <v>3.6363636363636362E-2</v>
      </c>
      <c r="L154" s="18" t="s">
        <v>218</v>
      </c>
      <c r="M154" s="22" t="s">
        <v>830</v>
      </c>
      <c r="N154" s="2"/>
      <c r="O154" s="2"/>
      <c r="P154" s="2"/>
      <c r="Q154" s="2"/>
      <c r="R154" s="2"/>
      <c r="S154" s="2"/>
      <c r="T154" s="2"/>
      <c r="U154" s="2"/>
      <c r="V154" s="2"/>
      <c r="W154" s="2"/>
      <c r="X154" s="2"/>
      <c r="Y154" s="2"/>
      <c r="Z154" s="2"/>
    </row>
    <row r="155" spans="1:26" ht="19.5" customHeight="1">
      <c r="A155" s="19" t="s">
        <v>435</v>
      </c>
      <c r="B155" s="20" t="s">
        <v>436</v>
      </c>
      <c r="C155" s="21">
        <v>4</v>
      </c>
      <c r="D155" s="22" t="s">
        <v>76</v>
      </c>
      <c r="E155" s="18">
        <v>0.02</v>
      </c>
      <c r="F155" s="18">
        <f>9/((225+325)/2)</f>
        <v>3.272727272727273E-2</v>
      </c>
      <c r="G155" s="18">
        <f t="shared" si="121"/>
        <v>1.9607843137254902E-2</v>
      </c>
      <c r="H155" s="18">
        <f t="shared" si="122"/>
        <v>0</v>
      </c>
      <c r="I155" s="18">
        <f>5/((36+25)/2)</f>
        <v>0.16393442622950818</v>
      </c>
      <c r="J155" s="18">
        <f>490/(2300)</f>
        <v>0.21304347826086956</v>
      </c>
      <c r="K155" s="18">
        <f t="shared" si="123"/>
        <v>3.6363636363636362E-2</v>
      </c>
      <c r="L155" s="18">
        <f t="shared" ref="L155:L162" si="124">0/(300)</f>
        <v>0</v>
      </c>
      <c r="M155" s="22" t="s">
        <v>437</v>
      </c>
      <c r="N155" s="2"/>
      <c r="O155" s="2"/>
      <c r="P155" s="2"/>
      <c r="Q155" s="2"/>
      <c r="R155" s="2"/>
      <c r="S155" s="2"/>
      <c r="T155" s="2"/>
      <c r="U155" s="2"/>
      <c r="V155" s="2"/>
      <c r="W155" s="2"/>
      <c r="X155" s="2"/>
      <c r="Y155" s="2"/>
      <c r="Z155" s="2"/>
    </row>
    <row r="156" spans="1:26" ht="19.5" customHeight="1">
      <c r="A156" s="19" t="s">
        <v>536</v>
      </c>
      <c r="B156" s="20" t="s">
        <v>537</v>
      </c>
      <c r="C156" s="21">
        <v>2</v>
      </c>
      <c r="D156" s="22" t="s">
        <v>76</v>
      </c>
      <c r="E156" s="18">
        <v>0.01</v>
      </c>
      <c r="F156" s="18">
        <f>2/((225+325)/2)</f>
        <v>7.2727272727272727E-3</v>
      </c>
      <c r="G156" s="18">
        <f t="shared" ref="G156:G158" si="125">0/((56+46)/2)</f>
        <v>0</v>
      </c>
      <c r="H156" s="18">
        <f>1.5/((44+77)/2)</f>
        <v>2.4793388429752067E-2</v>
      </c>
      <c r="I156" s="18">
        <f>0/((36+25)/2)</f>
        <v>0</v>
      </c>
      <c r="J156" s="18">
        <f t="shared" ref="J156:J158" si="126">0/(2300)</f>
        <v>0</v>
      </c>
      <c r="K156" s="18">
        <f t="shared" ref="K156:K162" si="127">0/((25+30)/2)</f>
        <v>0</v>
      </c>
      <c r="L156" s="18">
        <f t="shared" si="124"/>
        <v>0</v>
      </c>
      <c r="M156" s="22" t="s">
        <v>538</v>
      </c>
      <c r="N156" s="2"/>
      <c r="O156" s="2"/>
      <c r="P156" s="2"/>
      <c r="Q156" s="2"/>
      <c r="R156" s="2"/>
      <c r="S156" s="2"/>
      <c r="T156" s="2"/>
      <c r="U156" s="2"/>
      <c r="V156" s="2"/>
      <c r="W156" s="2"/>
      <c r="X156" s="2"/>
      <c r="Y156" s="2"/>
      <c r="Z156" s="2"/>
    </row>
    <row r="157" spans="1:26" ht="19.5" customHeight="1">
      <c r="A157" s="19" t="s">
        <v>831</v>
      </c>
      <c r="B157" s="20" t="s">
        <v>832</v>
      </c>
      <c r="C157" s="21">
        <v>1</v>
      </c>
      <c r="D157" s="22" t="s">
        <v>554</v>
      </c>
      <c r="E157" s="18">
        <v>7.4999999999999997E-3</v>
      </c>
      <c r="F157" s="18">
        <f>4/((225+325)/2)</f>
        <v>1.4545454545454545E-2</v>
      </c>
      <c r="G157" s="18">
        <f t="shared" si="125"/>
        <v>0</v>
      </c>
      <c r="H157" s="18">
        <f>0/((44+77)/2)</f>
        <v>0</v>
      </c>
      <c r="I157" s="18">
        <f>4/((36+25)/2)</f>
        <v>0.13114754098360656</v>
      </c>
      <c r="J157" s="18">
        <f t="shared" si="126"/>
        <v>0</v>
      </c>
      <c r="K157" s="18">
        <f t="shared" si="127"/>
        <v>0</v>
      </c>
      <c r="L157" s="18">
        <f t="shared" si="124"/>
        <v>0</v>
      </c>
      <c r="M157" s="22" t="s">
        <v>833</v>
      </c>
      <c r="N157" s="2"/>
      <c r="O157" s="2"/>
      <c r="P157" s="2"/>
      <c r="Q157" s="2"/>
      <c r="R157" s="2"/>
      <c r="S157" s="2"/>
      <c r="T157" s="2"/>
      <c r="U157" s="2"/>
      <c r="V157" s="2"/>
      <c r="W157" s="2"/>
      <c r="X157" s="2"/>
      <c r="Y157" s="2"/>
      <c r="Z157" s="2"/>
    </row>
    <row r="158" spans="1:26" ht="19.5" customHeight="1">
      <c r="A158" s="19" t="s">
        <v>539</v>
      </c>
      <c r="B158" s="20" t="s">
        <v>540</v>
      </c>
      <c r="C158" s="21">
        <v>2</v>
      </c>
      <c r="D158" s="22" t="s">
        <v>76</v>
      </c>
      <c r="E158" s="18">
        <v>0.01</v>
      </c>
      <c r="F158" s="18">
        <f>2/((225+325)/2)</f>
        <v>7.2727272727272727E-3</v>
      </c>
      <c r="G158" s="18">
        <f t="shared" si="125"/>
        <v>0</v>
      </c>
      <c r="H158" s="18">
        <f>1.5/((44+77)/2)</f>
        <v>2.4793388429752067E-2</v>
      </c>
      <c r="I158" s="18">
        <f>0/((36+25)/2)</f>
        <v>0</v>
      </c>
      <c r="J158" s="18">
        <f t="shared" si="126"/>
        <v>0</v>
      </c>
      <c r="K158" s="18">
        <f t="shared" si="127"/>
        <v>0</v>
      </c>
      <c r="L158" s="18">
        <f t="shared" si="124"/>
        <v>0</v>
      </c>
      <c r="M158" s="22" t="s">
        <v>541</v>
      </c>
      <c r="N158" s="2"/>
      <c r="O158" s="2"/>
      <c r="P158" s="2"/>
      <c r="Q158" s="2"/>
      <c r="R158" s="2"/>
      <c r="S158" s="2"/>
      <c r="T158" s="2"/>
      <c r="U158" s="2"/>
      <c r="V158" s="2"/>
      <c r="W158" s="2"/>
      <c r="X158" s="2"/>
      <c r="Y158" s="2"/>
      <c r="Z158" s="2"/>
    </row>
    <row r="159" spans="1:26" ht="19.5" customHeight="1">
      <c r="A159" s="19" t="s">
        <v>542</v>
      </c>
      <c r="B159" s="20" t="s">
        <v>543</v>
      </c>
      <c r="C159" s="21">
        <v>2</v>
      </c>
      <c r="D159" s="22" t="s">
        <v>544</v>
      </c>
      <c r="E159" s="18">
        <v>7.0000000000000007E-2</v>
      </c>
      <c r="F159" s="18">
        <f>31/((225+325)/2)</f>
        <v>0.11272727272727273</v>
      </c>
      <c r="G159" s="18">
        <f>1/((56+46)/2)</f>
        <v>1.9607843137254902E-2</v>
      </c>
      <c r="H159" s="18">
        <f>1/((44+77)/2)</f>
        <v>1.6528925619834711E-2</v>
      </c>
      <c r="I159" s="18">
        <f>20/((36+25)/2)</f>
        <v>0.65573770491803274</v>
      </c>
      <c r="J159" s="18">
        <f>15/(2300)</f>
        <v>6.5217391304347823E-3</v>
      </c>
      <c r="K159" s="18">
        <f t="shared" si="127"/>
        <v>0</v>
      </c>
      <c r="L159" s="18">
        <f t="shared" si="124"/>
        <v>0</v>
      </c>
      <c r="M159" s="22" t="s">
        <v>545</v>
      </c>
      <c r="N159" s="2"/>
      <c r="O159" s="2"/>
      <c r="P159" s="2"/>
      <c r="Q159" s="2"/>
      <c r="R159" s="2"/>
      <c r="S159" s="2"/>
      <c r="T159" s="2"/>
      <c r="U159" s="2"/>
      <c r="V159" s="2"/>
      <c r="W159" s="2"/>
      <c r="X159" s="2"/>
      <c r="Y159" s="2"/>
      <c r="Z159" s="2"/>
    </row>
    <row r="160" spans="1:26" ht="19.5" customHeight="1">
      <c r="A160" s="19" t="s">
        <v>546</v>
      </c>
      <c r="B160" s="20" t="s">
        <v>547</v>
      </c>
      <c r="C160" s="21">
        <v>2</v>
      </c>
      <c r="D160" s="22" t="s">
        <v>76</v>
      </c>
      <c r="E160" s="18">
        <v>0.01</v>
      </c>
      <c r="F160" s="18">
        <f>2/((225+325)/2)</f>
        <v>7.2727272727272727E-3</v>
      </c>
      <c r="G160" s="18">
        <f>0/((56+46)/2)</f>
        <v>0</v>
      </c>
      <c r="H160" s="18">
        <f>1.5/((44+77)/2)</f>
        <v>2.4793388429752067E-2</v>
      </c>
      <c r="I160" s="18">
        <f>0/((36+25)/2)</f>
        <v>0</v>
      </c>
      <c r="J160" s="18">
        <f>0/(2300)</f>
        <v>0</v>
      </c>
      <c r="K160" s="18">
        <f t="shared" si="127"/>
        <v>0</v>
      </c>
      <c r="L160" s="18">
        <f t="shared" si="124"/>
        <v>0</v>
      </c>
      <c r="M160" s="22" t="s">
        <v>548</v>
      </c>
      <c r="N160" s="2"/>
      <c r="O160" s="2"/>
      <c r="P160" s="2"/>
      <c r="Q160" s="2"/>
      <c r="R160" s="2"/>
      <c r="S160" s="2"/>
      <c r="T160" s="2"/>
      <c r="U160" s="2"/>
      <c r="V160" s="2"/>
      <c r="W160" s="2"/>
      <c r="X160" s="2"/>
      <c r="Y160" s="2"/>
      <c r="Z160" s="2"/>
    </row>
    <row r="161" spans="1:26" ht="19.5" customHeight="1">
      <c r="A161" s="19" t="s">
        <v>549</v>
      </c>
      <c r="B161" s="20" t="s">
        <v>550</v>
      </c>
      <c r="C161" s="21">
        <v>2</v>
      </c>
      <c r="D161" s="22" t="s">
        <v>544</v>
      </c>
      <c r="E161" s="18">
        <v>7.0000000000000007E-2</v>
      </c>
      <c r="F161" s="18">
        <f>32/((225+325)/2)</f>
        <v>0.11636363636363636</v>
      </c>
      <c r="G161" s="18">
        <f>1/((56+46)/2)</f>
        <v>1.9607843137254902E-2</v>
      </c>
      <c r="H161" s="18">
        <f>1/((44+77)/2)</f>
        <v>1.6528925619834711E-2</v>
      </c>
      <c r="I161" s="18">
        <f>20/((36+25)/2)</f>
        <v>0.65573770491803274</v>
      </c>
      <c r="J161" s="18">
        <f>15/(2300)</f>
        <v>6.5217391304347823E-3</v>
      </c>
      <c r="K161" s="18">
        <f t="shared" si="127"/>
        <v>0</v>
      </c>
      <c r="L161" s="18">
        <f t="shared" si="124"/>
        <v>0</v>
      </c>
      <c r="M161" s="22" t="s">
        <v>551</v>
      </c>
      <c r="N161" s="2"/>
      <c r="O161" s="2"/>
      <c r="P161" s="2"/>
      <c r="Q161" s="2"/>
      <c r="R161" s="2"/>
      <c r="S161" s="2"/>
      <c r="T161" s="2"/>
      <c r="U161" s="2"/>
      <c r="V161" s="2"/>
      <c r="W161" s="2"/>
      <c r="X161" s="2"/>
      <c r="Y161" s="2"/>
      <c r="Z161" s="2"/>
    </row>
    <row r="162" spans="1:26" ht="19.5" customHeight="1">
      <c r="A162" s="19" t="s">
        <v>362</v>
      </c>
      <c r="B162" s="20" t="s">
        <v>363</v>
      </c>
      <c r="C162" s="21">
        <v>8</v>
      </c>
      <c r="D162" s="22" t="s">
        <v>205</v>
      </c>
      <c r="E162" s="18">
        <v>0.03</v>
      </c>
      <c r="F162" s="18">
        <f>16/((225+325)/2)</f>
        <v>5.8181818181818182E-2</v>
      </c>
      <c r="G162" s="18">
        <f>0/((56+46)/2)</f>
        <v>0</v>
      </c>
      <c r="H162" s="18">
        <f>0/((44+77)/2)</f>
        <v>0</v>
      </c>
      <c r="I162" s="18">
        <f>14/((36+25)/2)</f>
        <v>0.45901639344262296</v>
      </c>
      <c r="J162" s="18">
        <f>5/(2300)</f>
        <v>2.1739130434782609E-3</v>
      </c>
      <c r="K162" s="18">
        <f t="shared" si="127"/>
        <v>0</v>
      </c>
      <c r="L162" s="18">
        <f t="shared" si="124"/>
        <v>0</v>
      </c>
      <c r="M162" s="22" t="s">
        <v>364</v>
      </c>
      <c r="N162" s="2"/>
      <c r="O162" s="2"/>
      <c r="P162" s="2"/>
      <c r="Q162" s="2"/>
      <c r="R162" s="2"/>
      <c r="S162" s="2"/>
      <c r="T162" s="2"/>
      <c r="U162" s="2"/>
      <c r="V162" s="2"/>
      <c r="W162" s="2"/>
      <c r="X162" s="2"/>
      <c r="Y162" s="2"/>
      <c r="Z162" s="2"/>
    </row>
    <row r="163" spans="1:26" ht="19.5" customHeight="1">
      <c r="A163" s="19" t="s">
        <v>56</v>
      </c>
      <c r="B163" s="20" t="s">
        <v>57</v>
      </c>
      <c r="C163" s="22" t="s">
        <v>54</v>
      </c>
      <c r="D163" s="22" t="s">
        <v>58</v>
      </c>
      <c r="E163" s="18">
        <v>0.155</v>
      </c>
      <c r="F163" s="18">
        <f>37/((225+325)/2)</f>
        <v>0.13454545454545455</v>
      </c>
      <c r="G163" s="18">
        <f>5/((56+46)/2)</f>
        <v>9.8039215686274508E-2</v>
      </c>
      <c r="H163" s="18">
        <f>16/((44+77)/2)</f>
        <v>0.26446280991735538</v>
      </c>
      <c r="I163" s="18">
        <f>29/((36+25)/2)</f>
        <v>0.95081967213114749</v>
      </c>
      <c r="J163" s="18">
        <f>40/(2300)</f>
        <v>1.7391304347826087E-2</v>
      </c>
      <c r="K163" s="18">
        <f>3/((25+30)/2)</f>
        <v>0.10909090909090909</v>
      </c>
      <c r="L163" s="18">
        <f>40/(300)</f>
        <v>0.13333333333333333</v>
      </c>
      <c r="M163" s="22" t="s">
        <v>59</v>
      </c>
      <c r="N163" s="2"/>
      <c r="O163" s="2"/>
      <c r="P163" s="2"/>
      <c r="Q163" s="2"/>
      <c r="R163" s="2"/>
      <c r="S163" s="2"/>
      <c r="T163" s="2"/>
      <c r="U163" s="2"/>
      <c r="V163" s="2"/>
      <c r="W163" s="2"/>
      <c r="X163" s="2"/>
      <c r="Y163" s="2"/>
      <c r="Z163" s="2"/>
    </row>
    <row r="164" spans="1:26" ht="19.5" customHeight="1">
      <c r="A164" s="19" t="s">
        <v>415</v>
      </c>
      <c r="B164" s="20" t="s">
        <v>416</v>
      </c>
      <c r="C164" s="21">
        <v>6</v>
      </c>
      <c r="D164" s="22" t="s">
        <v>236</v>
      </c>
      <c r="E164" s="18">
        <v>7.4999999999999997E-2</v>
      </c>
      <c r="F164" s="18">
        <f>14/((225+325)/2)</f>
        <v>5.0909090909090911E-2</v>
      </c>
      <c r="G164" s="18">
        <f>4/((56+46)/2)</f>
        <v>7.8431372549019607E-2</v>
      </c>
      <c r="H164" s="18">
        <f>9/((44+77)/2)</f>
        <v>0.1487603305785124</v>
      </c>
      <c r="I164" s="18">
        <f>1/((36+25)/2)</f>
        <v>3.2786885245901641E-2</v>
      </c>
      <c r="J164" s="18">
        <f>440/(2300)</f>
        <v>0.19130434782608696</v>
      </c>
      <c r="K164" s="18">
        <f>5/((25+30)/2)</f>
        <v>0.18181818181818182</v>
      </c>
      <c r="L164" s="18">
        <f>5/(300)</f>
        <v>1.6666666666666666E-2</v>
      </c>
      <c r="M164" s="22" t="s">
        <v>417</v>
      </c>
      <c r="N164" s="2"/>
      <c r="O164" s="2"/>
      <c r="P164" s="2"/>
      <c r="Q164" s="2"/>
      <c r="R164" s="2"/>
      <c r="S164" s="2"/>
      <c r="T164" s="2"/>
      <c r="U164" s="2"/>
      <c r="V164" s="2"/>
      <c r="W164" s="2"/>
      <c r="X164" s="2"/>
      <c r="Y164" s="2"/>
      <c r="Z164" s="2"/>
    </row>
    <row r="165" spans="1:26" ht="19.5" customHeight="1">
      <c r="A165" s="19" t="s">
        <v>365</v>
      </c>
      <c r="B165" s="20" t="s">
        <v>366</v>
      </c>
      <c r="C165" s="21">
        <v>8</v>
      </c>
      <c r="D165" s="22" t="s">
        <v>205</v>
      </c>
      <c r="E165" s="18">
        <v>2.5000000000000001E-2</v>
      </c>
      <c r="F165" s="18">
        <f>13/((225+325)/2)</f>
        <v>4.7272727272727272E-2</v>
      </c>
      <c r="G165" s="18">
        <f t="shared" ref="G165:G167" si="128">0/((56+46)/2)</f>
        <v>0</v>
      </c>
      <c r="H165" s="18">
        <f t="shared" ref="H165:H167" si="129">0/((44+77)/2)</f>
        <v>0</v>
      </c>
      <c r="I165" s="18">
        <f>10/((36+25)/2)</f>
        <v>0.32786885245901637</v>
      </c>
      <c r="J165" s="18">
        <f>5/(2300)</f>
        <v>2.1739130434782609E-3</v>
      </c>
      <c r="K165" s="18">
        <f t="shared" ref="K165:K167" si="130">0/((25+30)/2)</f>
        <v>0</v>
      </c>
      <c r="L165" s="18">
        <f t="shared" ref="L165:L173" si="131">0/(300)</f>
        <v>0</v>
      </c>
      <c r="M165" s="21"/>
      <c r="N165" s="2"/>
      <c r="O165" s="2"/>
      <c r="P165" s="2"/>
      <c r="Q165" s="2"/>
      <c r="R165" s="2"/>
      <c r="S165" s="2"/>
      <c r="T165" s="2"/>
      <c r="U165" s="2"/>
      <c r="V165" s="2"/>
      <c r="W165" s="2"/>
      <c r="X165" s="2"/>
      <c r="Y165" s="2"/>
      <c r="Z165" s="2"/>
    </row>
    <row r="166" spans="1:26" ht="19.5" customHeight="1">
      <c r="A166" s="19" t="s">
        <v>368</v>
      </c>
      <c r="B166" s="20" t="s">
        <v>369</v>
      </c>
      <c r="C166" s="21">
        <v>8</v>
      </c>
      <c r="D166" s="22" t="s">
        <v>205</v>
      </c>
      <c r="E166" s="18">
        <v>3.5000000000000003E-2</v>
      </c>
      <c r="F166" s="18">
        <f>19/((225+325)/2)</f>
        <v>6.9090909090909092E-2</v>
      </c>
      <c r="G166" s="18">
        <f t="shared" si="128"/>
        <v>0</v>
      </c>
      <c r="H166" s="18">
        <f t="shared" si="129"/>
        <v>0</v>
      </c>
      <c r="I166" s="18">
        <f>18/((36+25)/2)</f>
        <v>0.5901639344262295</v>
      </c>
      <c r="J166" s="18">
        <f t="shared" ref="J166:J167" si="132">0/(2300)</f>
        <v>0</v>
      </c>
      <c r="K166" s="18">
        <f t="shared" si="130"/>
        <v>0</v>
      </c>
      <c r="L166" s="18">
        <f t="shared" si="131"/>
        <v>0</v>
      </c>
      <c r="M166" s="21"/>
      <c r="N166" s="2"/>
      <c r="O166" s="2"/>
      <c r="P166" s="2"/>
      <c r="Q166" s="2"/>
      <c r="R166" s="2"/>
      <c r="S166" s="2"/>
      <c r="T166" s="2"/>
      <c r="U166" s="2"/>
      <c r="V166" s="2"/>
      <c r="W166" s="2"/>
      <c r="X166" s="2"/>
      <c r="Y166" s="2"/>
      <c r="Z166" s="2"/>
    </row>
    <row r="167" spans="1:26" ht="19.5" customHeight="1">
      <c r="A167" s="19" t="s">
        <v>371</v>
      </c>
      <c r="B167" s="20" t="s">
        <v>372</v>
      </c>
      <c r="C167" s="21">
        <v>8</v>
      </c>
      <c r="D167" s="22" t="s">
        <v>205</v>
      </c>
      <c r="E167" s="18">
        <v>2.5000000000000001E-2</v>
      </c>
      <c r="F167" s="18">
        <f>11/((225+325)/2)</f>
        <v>0.04</v>
      </c>
      <c r="G167" s="18">
        <f t="shared" si="128"/>
        <v>0</v>
      </c>
      <c r="H167" s="18">
        <f t="shared" si="129"/>
        <v>0</v>
      </c>
      <c r="I167" s="18">
        <f>10/((36+25)/2)</f>
        <v>0.32786885245901637</v>
      </c>
      <c r="J167" s="18">
        <f t="shared" si="132"/>
        <v>0</v>
      </c>
      <c r="K167" s="18">
        <f t="shared" si="130"/>
        <v>0</v>
      </c>
      <c r="L167" s="18">
        <f t="shared" si="131"/>
        <v>0</v>
      </c>
      <c r="M167" s="22" t="s">
        <v>373</v>
      </c>
      <c r="N167" s="2"/>
      <c r="O167" s="2"/>
      <c r="P167" s="2"/>
      <c r="Q167" s="2"/>
      <c r="R167" s="2"/>
      <c r="S167" s="2"/>
      <c r="T167" s="2"/>
      <c r="U167" s="2"/>
      <c r="V167" s="2"/>
      <c r="W167" s="2"/>
      <c r="X167" s="2"/>
      <c r="Y167" s="2"/>
      <c r="Z167" s="2"/>
    </row>
    <row r="168" spans="1:26" ht="19.5" customHeight="1">
      <c r="A168" s="19" t="s">
        <v>269</v>
      </c>
      <c r="B168" s="20" t="s">
        <v>270</v>
      </c>
      <c r="C168" s="21">
        <v>32</v>
      </c>
      <c r="D168" s="22" t="s">
        <v>226</v>
      </c>
      <c r="E168" s="18">
        <v>0.105</v>
      </c>
      <c r="F168" s="18">
        <f>8/((225+325)/2)</f>
        <v>2.9090909090909091E-2</v>
      </c>
      <c r="G168" s="18">
        <f>5/((56+46)/2)</f>
        <v>9.8039215686274508E-2</v>
      </c>
      <c r="H168" s="18">
        <f>17/((44+77)/2)</f>
        <v>0.28099173553719009</v>
      </c>
      <c r="I168" s="18">
        <f>5/((36+25)/2)</f>
        <v>0.16393442622950818</v>
      </c>
      <c r="J168" s="18">
        <f>90/(2300)</f>
        <v>3.9130434782608699E-2</v>
      </c>
      <c r="K168" s="18">
        <f>2/((25+30)/2)</f>
        <v>7.2727272727272724E-2</v>
      </c>
      <c r="L168" s="18">
        <f t="shared" si="131"/>
        <v>0</v>
      </c>
      <c r="M168" s="22" t="s">
        <v>271</v>
      </c>
      <c r="N168" s="2"/>
      <c r="O168" s="2"/>
      <c r="P168" s="2"/>
      <c r="Q168" s="2"/>
      <c r="R168" s="2"/>
      <c r="S168" s="2"/>
      <c r="T168" s="2"/>
      <c r="U168" s="2"/>
      <c r="V168" s="2"/>
      <c r="W168" s="2"/>
      <c r="X168" s="2"/>
      <c r="Y168" s="2"/>
      <c r="Z168" s="2"/>
    </row>
    <row r="169" spans="1:26" ht="19.5" customHeight="1">
      <c r="A169" s="19" t="s">
        <v>374</v>
      </c>
      <c r="B169" s="20" t="s">
        <v>375</v>
      </c>
      <c r="C169" s="21">
        <v>8</v>
      </c>
      <c r="D169" s="22" t="s">
        <v>205</v>
      </c>
      <c r="E169" s="18">
        <v>0.03</v>
      </c>
      <c r="F169" s="18">
        <f>16/((225+325)/2)</f>
        <v>5.8181818181818182E-2</v>
      </c>
      <c r="G169" s="18">
        <f>0/((56+46)/2)</f>
        <v>0</v>
      </c>
      <c r="H169" s="18">
        <f>0/((44+77)/2)</f>
        <v>0</v>
      </c>
      <c r="I169" s="18">
        <f>14/((36+25)/2)</f>
        <v>0.45901639344262296</v>
      </c>
      <c r="J169" s="18">
        <f>5/(2300)</f>
        <v>2.1739130434782609E-3</v>
      </c>
      <c r="K169" s="18">
        <f>0/((25+30)/2)</f>
        <v>0</v>
      </c>
      <c r="L169" s="18">
        <f t="shared" si="131"/>
        <v>0</v>
      </c>
      <c r="M169" s="21"/>
      <c r="N169" s="2"/>
      <c r="O169" s="2"/>
      <c r="P169" s="2"/>
      <c r="Q169" s="2"/>
      <c r="R169" s="2"/>
      <c r="S169" s="2"/>
      <c r="T169" s="2"/>
      <c r="U169" s="2"/>
      <c r="V169" s="2"/>
      <c r="W169" s="2"/>
      <c r="X169" s="2"/>
      <c r="Y169" s="2"/>
      <c r="Z169" s="2"/>
    </row>
    <row r="170" spans="1:26" ht="19.5" customHeight="1">
      <c r="A170" s="19" t="s">
        <v>834</v>
      </c>
      <c r="B170" s="20" t="s">
        <v>835</v>
      </c>
      <c r="C170" s="21">
        <v>1</v>
      </c>
      <c r="D170" s="22" t="s">
        <v>599</v>
      </c>
      <c r="E170" s="18">
        <v>0.14899999999999999</v>
      </c>
      <c r="F170" s="18">
        <f>32/((225+325)/2)</f>
        <v>0.11636363636363636</v>
      </c>
      <c r="G170" s="18">
        <f>9/((56+46)/2)</f>
        <v>0.17647058823529413</v>
      </c>
      <c r="H170" s="18">
        <f>17/((44+77)/2)</f>
        <v>0.28099173553719009</v>
      </c>
      <c r="I170" s="18">
        <f>18/((36+25)/2)</f>
        <v>0.5901639344262295</v>
      </c>
      <c r="J170" s="18">
        <f t="shared" ref="J170:J171" si="133">17/(2300)</f>
        <v>7.391304347826087E-3</v>
      </c>
      <c r="K170" s="18">
        <f>6/((25+30)/2)</f>
        <v>0.21818181818181817</v>
      </c>
      <c r="L170" s="18">
        <f t="shared" si="131"/>
        <v>0</v>
      </c>
      <c r="M170" s="22" t="s">
        <v>836</v>
      </c>
      <c r="N170" s="2"/>
      <c r="O170" s="2"/>
      <c r="P170" s="2"/>
      <c r="Q170" s="2"/>
      <c r="R170" s="2"/>
      <c r="S170" s="2"/>
      <c r="T170" s="2"/>
      <c r="U170" s="2"/>
      <c r="V170" s="2"/>
      <c r="W170" s="2"/>
      <c r="X170" s="2"/>
      <c r="Y170" s="2"/>
      <c r="Z170" s="2"/>
    </row>
    <row r="171" spans="1:26" ht="19.5" customHeight="1">
      <c r="A171" s="19" t="s">
        <v>837</v>
      </c>
      <c r="B171" s="20" t="s">
        <v>838</v>
      </c>
      <c r="C171" s="21">
        <v>1</v>
      </c>
      <c r="D171" s="22" t="s">
        <v>599</v>
      </c>
      <c r="E171" s="18">
        <v>0.1245</v>
      </c>
      <c r="F171" s="18">
        <f>29/((225+325)/2)</f>
        <v>0.10545454545454545</v>
      </c>
      <c r="G171" s="18">
        <f>8/((56+46)/2)</f>
        <v>0.15686274509803921</v>
      </c>
      <c r="H171" s="18">
        <f>13/((44+77)/2)</f>
        <v>0.21487603305785125</v>
      </c>
      <c r="I171" s="18">
        <f>14/((36+25)/2)</f>
        <v>0.45901639344262296</v>
      </c>
      <c r="J171" s="18">
        <f t="shared" si="133"/>
        <v>7.391304347826087E-3</v>
      </c>
      <c r="K171" s="18">
        <f>5/((25+30)/2)</f>
        <v>0.18181818181818182</v>
      </c>
      <c r="L171" s="18">
        <f t="shared" si="131"/>
        <v>0</v>
      </c>
      <c r="M171" s="22" t="s">
        <v>839</v>
      </c>
      <c r="N171" s="2"/>
      <c r="O171" s="2"/>
      <c r="P171" s="2"/>
      <c r="Q171" s="2"/>
      <c r="R171" s="2"/>
      <c r="S171" s="2"/>
      <c r="T171" s="2"/>
      <c r="U171" s="2"/>
      <c r="V171" s="2"/>
      <c r="W171" s="2"/>
      <c r="X171" s="2"/>
      <c r="Y171" s="2"/>
      <c r="Z171" s="2"/>
    </row>
    <row r="172" spans="1:26" ht="19.5" customHeight="1">
      <c r="A172" s="19" t="s">
        <v>840</v>
      </c>
      <c r="B172" s="20" t="s">
        <v>841</v>
      </c>
      <c r="C172" s="21">
        <v>1</v>
      </c>
      <c r="D172" s="22" t="s">
        <v>842</v>
      </c>
      <c r="E172" s="18">
        <v>0.05</v>
      </c>
      <c r="F172" s="18">
        <f>12.6/((225+325)/2)</f>
        <v>4.5818181818181813E-2</v>
      </c>
      <c r="G172" s="18">
        <f>3/((56+46)/2)</f>
        <v>5.8823529411764705E-2</v>
      </c>
      <c r="H172" s="18">
        <f>4.9/((44+77)/2)</f>
        <v>8.0991735537190093E-2</v>
      </c>
      <c r="I172" s="18">
        <f>5.7/((36+25)/2)</f>
        <v>0.18688524590163935</v>
      </c>
      <c r="J172" s="18">
        <f t="shared" ref="J172:J173" si="134">6/(2300)</f>
        <v>2.6086956521739132E-3</v>
      </c>
      <c r="K172" s="18">
        <f>2.1/((25+30)/2)</f>
        <v>7.636363636363637E-2</v>
      </c>
      <c r="L172" s="18">
        <f t="shared" si="131"/>
        <v>0</v>
      </c>
      <c r="M172" s="22" t="s">
        <v>839</v>
      </c>
      <c r="N172" s="2"/>
      <c r="O172" s="2"/>
      <c r="P172" s="2"/>
      <c r="Q172" s="2"/>
      <c r="R172" s="2"/>
      <c r="S172" s="2"/>
      <c r="T172" s="2"/>
      <c r="U172" s="2"/>
      <c r="V172" s="2"/>
      <c r="W172" s="2"/>
      <c r="X172" s="2"/>
      <c r="Y172" s="2"/>
      <c r="Z172" s="2"/>
    </row>
    <row r="173" spans="1:26" ht="19.5" customHeight="1">
      <c r="A173" s="19" t="s">
        <v>843</v>
      </c>
      <c r="B173" s="20" t="s">
        <v>844</v>
      </c>
      <c r="C173" s="21">
        <v>1</v>
      </c>
      <c r="D173" s="22" t="s">
        <v>842</v>
      </c>
      <c r="E173" s="18">
        <v>0.06</v>
      </c>
      <c r="F173" s="18">
        <f>13.8/((225+325)/2)</f>
        <v>5.0181818181818182E-2</v>
      </c>
      <c r="G173" s="18">
        <f>3.2/((56+46)/2)</f>
        <v>6.2745098039215685E-2</v>
      </c>
      <c r="H173" s="18">
        <f>6.4/((44+77)/2)</f>
        <v>0.10578512396694216</v>
      </c>
      <c r="I173" s="18">
        <f>6.6/((36+25)/2)</f>
        <v>0.21639344262295082</v>
      </c>
      <c r="J173" s="18">
        <f t="shared" si="134"/>
        <v>2.6086956521739132E-3</v>
      </c>
      <c r="K173" s="18">
        <f>2.3/((25+30)/2)</f>
        <v>8.3636363636363634E-2</v>
      </c>
      <c r="L173" s="18">
        <f t="shared" si="131"/>
        <v>0</v>
      </c>
      <c r="M173" s="22" t="s">
        <v>836</v>
      </c>
      <c r="N173" s="2"/>
      <c r="O173" s="2"/>
      <c r="P173" s="2"/>
      <c r="Q173" s="2"/>
      <c r="R173" s="2"/>
      <c r="S173" s="2"/>
      <c r="T173" s="2"/>
      <c r="U173" s="2"/>
      <c r="V173" s="2"/>
      <c r="W173" s="2"/>
      <c r="X173" s="2"/>
      <c r="Y173" s="2"/>
      <c r="Z173" s="2"/>
    </row>
    <row r="174" spans="1:26" ht="19.5" customHeight="1">
      <c r="A174" s="19" t="s">
        <v>228</v>
      </c>
      <c r="B174" s="20" t="s">
        <v>229</v>
      </c>
      <c r="C174" s="21">
        <v>85</v>
      </c>
      <c r="D174" s="22" t="s">
        <v>226</v>
      </c>
      <c r="E174" s="18">
        <v>6.5000000000000002E-2</v>
      </c>
      <c r="F174" s="18">
        <f>5/((225+325)/2)</f>
        <v>1.8181818181818181E-2</v>
      </c>
      <c r="G174" s="18">
        <f>7/((56+46)/2)</f>
        <v>0.13725490196078433</v>
      </c>
      <c r="H174" s="18">
        <f>9/((44+77)/2)</f>
        <v>0.1487603305785124</v>
      </c>
      <c r="I174" s="18">
        <f>2/((36+25)/2)</f>
        <v>6.5573770491803282E-2</v>
      </c>
      <c r="J174" s="18">
        <f>440/(2300)</f>
        <v>0.19130434782608696</v>
      </c>
      <c r="K174" s="18">
        <f>1/((25+30)/2)</f>
        <v>3.6363636363636362E-2</v>
      </c>
      <c r="L174" s="18">
        <f>25/(300)</f>
        <v>8.3333333333333329E-2</v>
      </c>
      <c r="M174" s="22" t="s">
        <v>230</v>
      </c>
      <c r="N174" s="2"/>
      <c r="O174" s="2"/>
      <c r="P174" s="2"/>
      <c r="Q174" s="2"/>
      <c r="R174" s="2"/>
      <c r="S174" s="2"/>
      <c r="T174" s="2"/>
      <c r="U174" s="2"/>
      <c r="V174" s="2"/>
      <c r="W174" s="2"/>
      <c r="X174" s="2"/>
      <c r="Y174" s="2"/>
      <c r="Z174" s="2"/>
    </row>
    <row r="175" spans="1:26" ht="19.5" customHeight="1">
      <c r="A175" s="19" t="s">
        <v>349</v>
      </c>
      <c r="B175" s="20" t="s">
        <v>350</v>
      </c>
      <c r="C175" s="21">
        <v>8.6</v>
      </c>
      <c r="D175" s="22" t="s">
        <v>205</v>
      </c>
      <c r="E175" s="18">
        <v>0.115</v>
      </c>
      <c r="F175" s="18">
        <f>15/((225+325)/2)</f>
        <v>5.4545454545454543E-2</v>
      </c>
      <c r="G175" s="18">
        <f>4/((56+46)/2)</f>
        <v>7.8431372549019607E-2</v>
      </c>
      <c r="H175" s="18">
        <f>18/((44+77)/2)</f>
        <v>0.2975206611570248</v>
      </c>
      <c r="I175" s="18">
        <f>10/((36+25)/2)</f>
        <v>0.32786885245901637</v>
      </c>
      <c r="J175" s="18">
        <f>740/(2300)</f>
        <v>0.32173913043478258</v>
      </c>
      <c r="K175" s="18">
        <f>5/((25+30)/2)</f>
        <v>0.18181818181818182</v>
      </c>
      <c r="L175" s="18">
        <f>0/(300)</f>
        <v>0</v>
      </c>
      <c r="M175" s="22" t="s">
        <v>352</v>
      </c>
      <c r="N175" s="2"/>
      <c r="O175" s="2"/>
      <c r="P175" s="2"/>
      <c r="Q175" s="2"/>
      <c r="R175" s="2"/>
      <c r="S175" s="2"/>
      <c r="T175" s="2"/>
      <c r="U175" s="2"/>
      <c r="V175" s="2"/>
      <c r="W175" s="2"/>
      <c r="X175" s="2"/>
      <c r="Y175" s="2"/>
      <c r="Z175" s="2"/>
    </row>
    <row r="176" spans="1:26" ht="19.5" customHeight="1">
      <c r="A176" s="19" t="s">
        <v>169</v>
      </c>
      <c r="B176" s="20" t="s">
        <v>170</v>
      </c>
      <c r="C176" s="22" t="s">
        <v>155</v>
      </c>
      <c r="D176" s="22" t="s">
        <v>17</v>
      </c>
      <c r="E176" s="18">
        <v>7.4999999999999997E-2</v>
      </c>
      <c r="F176" s="18">
        <f>9/((225+325)/2)</f>
        <v>3.272727272727273E-2</v>
      </c>
      <c r="G176" s="18">
        <f>6/((56+46)/2)</f>
        <v>0.11764705882352941</v>
      </c>
      <c r="H176" s="18">
        <f>10/((44+77)/2)</f>
        <v>0.16528925619834711</v>
      </c>
      <c r="I176" s="18">
        <f>4/((36+25)/2)</f>
        <v>0.13114754098360656</v>
      </c>
      <c r="J176" s="18">
        <f>390/(2300)</f>
        <v>0.16956521739130434</v>
      </c>
      <c r="K176" s="18">
        <f>1/((25+30)/2)</f>
        <v>3.6363636363636362E-2</v>
      </c>
      <c r="L176" s="18">
        <f>110/(300)</f>
        <v>0.36666666666666664</v>
      </c>
      <c r="M176" s="22" t="s">
        <v>178</v>
      </c>
      <c r="N176" s="2"/>
      <c r="O176" s="2"/>
      <c r="P176" s="2"/>
      <c r="Q176" s="2"/>
      <c r="R176" s="2"/>
      <c r="S176" s="2"/>
      <c r="T176" s="2"/>
      <c r="U176" s="2"/>
      <c r="V176" s="2"/>
      <c r="W176" s="2"/>
      <c r="X176" s="2"/>
      <c r="Y176" s="2"/>
      <c r="Z176" s="2"/>
    </row>
    <row r="177" spans="1:26" ht="19.5" customHeight="1">
      <c r="A177" s="19" t="s">
        <v>353</v>
      </c>
      <c r="B177" s="20" t="s">
        <v>354</v>
      </c>
      <c r="C177" s="21">
        <v>8.6</v>
      </c>
      <c r="D177" s="22" t="s">
        <v>205</v>
      </c>
      <c r="E177" s="18">
        <v>0.115</v>
      </c>
      <c r="F177" s="18">
        <f>18/((225+325)/2)</f>
        <v>6.545454545454546E-2</v>
      </c>
      <c r="G177" s="18">
        <f>5/((56+46)/2)</f>
        <v>9.8039215686274508E-2</v>
      </c>
      <c r="H177" s="18">
        <f>17/((44+77)/2)</f>
        <v>0.28099173553719009</v>
      </c>
      <c r="I177" s="18">
        <f>12/((36+25)/2)</f>
        <v>0.39344262295081966</v>
      </c>
      <c r="J177" s="18">
        <f>760/(2300)</f>
        <v>0.33043478260869563</v>
      </c>
      <c r="K177" s="18">
        <f>5/((25+30)/2)</f>
        <v>0.18181818181818182</v>
      </c>
      <c r="L177" s="18">
        <f t="shared" ref="L177:L184" si="135">0/(300)</f>
        <v>0</v>
      </c>
      <c r="M177" s="22" t="s">
        <v>355</v>
      </c>
      <c r="N177" s="2"/>
      <c r="O177" s="2"/>
      <c r="P177" s="2"/>
      <c r="Q177" s="2"/>
      <c r="R177" s="2"/>
      <c r="S177" s="2"/>
      <c r="T177" s="2"/>
      <c r="U177" s="2"/>
      <c r="V177" s="2"/>
      <c r="W177" s="2"/>
      <c r="X177" s="2"/>
      <c r="Y177" s="2"/>
      <c r="Z177" s="2"/>
    </row>
    <row r="178" spans="1:26" ht="19.5" customHeight="1">
      <c r="A178" s="19" t="s">
        <v>845</v>
      </c>
      <c r="B178" s="20" t="s">
        <v>846</v>
      </c>
      <c r="C178" s="21">
        <v>1</v>
      </c>
      <c r="D178" s="22" t="s">
        <v>17</v>
      </c>
      <c r="E178" s="18">
        <v>0.14499999999999999</v>
      </c>
      <c r="F178" s="18">
        <f>25/((225+325)/2)</f>
        <v>9.0909090909090912E-2</v>
      </c>
      <c r="G178" s="18">
        <f>11/((56+46)/2)</f>
        <v>0.21568627450980393</v>
      </c>
      <c r="H178" s="18">
        <f t="shared" ref="H178:H179" si="136">16/((44+77)/2)</f>
        <v>0.26446280991735538</v>
      </c>
      <c r="I178" s="18">
        <f>14/((36+25)/2)</f>
        <v>0.45901639344262296</v>
      </c>
      <c r="J178" s="18">
        <f>940/(2300)</f>
        <v>0.40869565217391307</v>
      </c>
      <c r="K178" s="18">
        <f>6/((25+30)/2)</f>
        <v>0.21818181818181817</v>
      </c>
      <c r="L178" s="18">
        <f t="shared" si="135"/>
        <v>0</v>
      </c>
      <c r="M178" s="22" t="s">
        <v>847</v>
      </c>
      <c r="N178" s="2"/>
      <c r="O178" s="2"/>
      <c r="P178" s="2"/>
      <c r="Q178" s="2"/>
      <c r="R178" s="2"/>
      <c r="S178" s="2"/>
      <c r="T178" s="2"/>
      <c r="U178" s="2"/>
      <c r="V178" s="2"/>
      <c r="W178" s="2"/>
      <c r="X178" s="2"/>
      <c r="Y178" s="2"/>
      <c r="Z178" s="2"/>
    </row>
    <row r="179" spans="1:26" ht="19.5" customHeight="1">
      <c r="A179" s="19" t="s">
        <v>356</v>
      </c>
      <c r="B179" s="20" t="s">
        <v>357</v>
      </c>
      <c r="C179" s="21">
        <v>8.6</v>
      </c>
      <c r="D179" s="22" t="s">
        <v>205</v>
      </c>
      <c r="E179" s="18">
        <v>0.14499999999999999</v>
      </c>
      <c r="F179" s="18">
        <f>38/((225+325)/2)</f>
        <v>0.13818181818181818</v>
      </c>
      <c r="G179" s="18">
        <f>13/((56+46)/2)</f>
        <v>0.25490196078431371</v>
      </c>
      <c r="H179" s="18">
        <f t="shared" si="136"/>
        <v>0.26446280991735538</v>
      </c>
      <c r="I179" s="18">
        <f>4/((36+25)/2)</f>
        <v>0.13114754098360656</v>
      </c>
      <c r="J179" s="18">
        <f>470/(2300)</f>
        <v>0.20434782608695654</v>
      </c>
      <c r="K179" s="18">
        <f>15/((25+30)/2)</f>
        <v>0.54545454545454541</v>
      </c>
      <c r="L179" s="18">
        <f t="shared" si="135"/>
        <v>0</v>
      </c>
      <c r="M179" s="22" t="s">
        <v>358</v>
      </c>
      <c r="N179" s="2"/>
      <c r="O179" s="2"/>
      <c r="P179" s="2"/>
      <c r="Q179" s="2"/>
      <c r="R179" s="2"/>
      <c r="S179" s="2"/>
      <c r="T179" s="2"/>
      <c r="U179" s="2"/>
      <c r="V179" s="2"/>
      <c r="W179" s="2"/>
      <c r="X179" s="2"/>
      <c r="Y179" s="2"/>
      <c r="Z179" s="2"/>
    </row>
    <row r="180" spans="1:26" ht="19.5" customHeight="1">
      <c r="A180" s="19" t="s">
        <v>426</v>
      </c>
      <c r="B180" s="20" t="s">
        <v>427</v>
      </c>
      <c r="C180" s="21">
        <v>4.4000000000000004</v>
      </c>
      <c r="D180" s="22" t="s">
        <v>205</v>
      </c>
      <c r="E180" s="18">
        <v>0.13500000000000001</v>
      </c>
      <c r="F180" s="18">
        <f>15/((225+325)/2)</f>
        <v>5.4545454545454543E-2</v>
      </c>
      <c r="G180" s="18">
        <f>3/((56+46)/2)</f>
        <v>5.8823529411764705E-2</v>
      </c>
      <c r="H180" s="18">
        <f>23/((44+77)/2)</f>
        <v>0.38016528925619836</v>
      </c>
      <c r="I180" s="18">
        <f>9/((36+25)/2)</f>
        <v>0.29508196721311475</v>
      </c>
      <c r="J180" s="18">
        <f>450/(2300)</f>
        <v>0.19565217391304349</v>
      </c>
      <c r="K180" s="18">
        <f>4/((25+30)/2)</f>
        <v>0.14545454545454545</v>
      </c>
      <c r="L180" s="18">
        <f t="shared" si="135"/>
        <v>0</v>
      </c>
      <c r="M180" s="22" t="s">
        <v>428</v>
      </c>
      <c r="N180" s="2"/>
      <c r="O180" s="2"/>
      <c r="P180" s="2"/>
      <c r="Q180" s="2"/>
      <c r="R180" s="2"/>
      <c r="S180" s="2"/>
      <c r="T180" s="2"/>
      <c r="U180" s="2"/>
      <c r="V180" s="2"/>
      <c r="W180" s="2"/>
      <c r="X180" s="2"/>
      <c r="Y180" s="2"/>
      <c r="Z180" s="2"/>
    </row>
    <row r="181" spans="1:26" ht="19.5" customHeight="1">
      <c r="A181" s="19" t="s">
        <v>448</v>
      </c>
      <c r="B181" s="20" t="s">
        <v>449</v>
      </c>
      <c r="C181" s="21">
        <v>3</v>
      </c>
      <c r="D181" s="22" t="s">
        <v>450</v>
      </c>
      <c r="E181" s="18">
        <v>7.0000000000000007E-2</v>
      </c>
      <c r="F181" s="18">
        <f>18/((225+325)/2)</f>
        <v>6.545454545454546E-2</v>
      </c>
      <c r="G181" s="18">
        <f>2/((56+46)/2)</f>
        <v>3.9215686274509803E-2</v>
      </c>
      <c r="H181" s="18">
        <f>7/((44+77)/2)</f>
        <v>0.11570247933884298</v>
      </c>
      <c r="I181" s="18">
        <f>8/((36+25)/2)</f>
        <v>0.26229508196721313</v>
      </c>
      <c r="J181" s="18">
        <f>95/(2300)</f>
        <v>4.1304347826086954E-2</v>
      </c>
      <c r="K181" s="18">
        <f>1/((25+30)/2)</f>
        <v>3.6363636363636362E-2</v>
      </c>
      <c r="L181" s="18">
        <f t="shared" si="135"/>
        <v>0</v>
      </c>
      <c r="M181" s="22" t="s">
        <v>451</v>
      </c>
      <c r="N181" s="2"/>
      <c r="O181" s="2"/>
      <c r="P181" s="2"/>
      <c r="Q181" s="2"/>
      <c r="R181" s="2"/>
      <c r="S181" s="2"/>
      <c r="T181" s="2"/>
      <c r="U181" s="2"/>
      <c r="V181" s="2"/>
      <c r="W181" s="2"/>
      <c r="X181" s="2"/>
      <c r="Y181" s="2"/>
      <c r="Z181" s="2"/>
    </row>
    <row r="182" spans="1:26" ht="19.5" customHeight="1">
      <c r="A182" s="19" t="s">
        <v>848</v>
      </c>
      <c r="B182" s="20" t="s">
        <v>849</v>
      </c>
      <c r="C182" s="21">
        <v>1</v>
      </c>
      <c r="D182" s="22" t="s">
        <v>850</v>
      </c>
      <c r="E182" s="18">
        <v>0</v>
      </c>
      <c r="F182" s="18">
        <f>0/((225+325)/2)</f>
        <v>0</v>
      </c>
      <c r="G182" s="18">
        <f>0/((56+46)/2)</f>
        <v>0</v>
      </c>
      <c r="H182" s="18">
        <f t="shared" ref="H182:H184" si="137">0/((44+77)/2)</f>
        <v>0</v>
      </c>
      <c r="I182" s="18">
        <f t="shared" ref="I182:I183" si="138">0/((36+25)/2)</f>
        <v>0</v>
      </c>
      <c r="J182" s="18">
        <f t="shared" ref="J182:J183" si="139">0/(2300)</f>
        <v>0</v>
      </c>
      <c r="K182" s="18">
        <f>0/((25+30)/2)</f>
        <v>0</v>
      </c>
      <c r="L182" s="18">
        <f t="shared" si="135"/>
        <v>0</v>
      </c>
      <c r="M182" s="22" t="s">
        <v>851</v>
      </c>
      <c r="N182" s="2"/>
      <c r="O182" s="2"/>
      <c r="P182" s="2"/>
      <c r="Q182" s="2"/>
      <c r="R182" s="2"/>
      <c r="S182" s="2"/>
      <c r="T182" s="2"/>
      <c r="U182" s="2"/>
      <c r="V182" s="2"/>
      <c r="W182" s="2"/>
      <c r="X182" s="2"/>
      <c r="Y182" s="2"/>
      <c r="Z182" s="2"/>
    </row>
    <row r="183" spans="1:26" ht="19.5" customHeight="1">
      <c r="A183" s="19" t="s">
        <v>90</v>
      </c>
      <c r="B183" s="20" t="s">
        <v>1096</v>
      </c>
      <c r="C183" s="22" t="s">
        <v>69</v>
      </c>
      <c r="D183" s="22" t="s">
        <v>17</v>
      </c>
      <c r="E183" s="18">
        <v>0.08</v>
      </c>
      <c r="F183" s="18">
        <f>37/((225+325)/2)</f>
        <v>0.13454545454545455</v>
      </c>
      <c r="G183" s="18">
        <f>3/((56+46)/2)</f>
        <v>5.8823529411764705E-2</v>
      </c>
      <c r="H183" s="18">
        <f t="shared" si="137"/>
        <v>0</v>
      </c>
      <c r="I183" s="18">
        <f t="shared" si="138"/>
        <v>0</v>
      </c>
      <c r="J183" s="18">
        <f t="shared" si="139"/>
        <v>0</v>
      </c>
      <c r="K183" s="18">
        <f>1/((25+30)/2)</f>
        <v>3.6363636363636362E-2</v>
      </c>
      <c r="L183" s="18">
        <f t="shared" si="135"/>
        <v>0</v>
      </c>
      <c r="M183" s="22" t="s">
        <v>93</v>
      </c>
      <c r="N183" s="2"/>
      <c r="O183" s="2"/>
      <c r="P183" s="2"/>
      <c r="Q183" s="2"/>
      <c r="R183" s="2"/>
      <c r="S183" s="2"/>
      <c r="T183" s="2"/>
      <c r="U183" s="2"/>
      <c r="V183" s="2"/>
      <c r="W183" s="2"/>
      <c r="X183" s="2"/>
      <c r="Y183" s="2"/>
      <c r="Z183" s="2"/>
    </row>
    <row r="184" spans="1:26" ht="19.5" customHeight="1">
      <c r="A184" s="19" t="s">
        <v>552</v>
      </c>
      <c r="B184" s="20" t="s">
        <v>553</v>
      </c>
      <c r="C184" s="21">
        <v>2</v>
      </c>
      <c r="D184" s="22" t="s">
        <v>554</v>
      </c>
      <c r="E184" s="18">
        <v>0.02</v>
      </c>
      <c r="F184" s="18">
        <f>10/((225+325)/2)</f>
        <v>3.6363636363636362E-2</v>
      </c>
      <c r="G184" s="18">
        <f>0/((56+46)/2)</f>
        <v>0</v>
      </c>
      <c r="H184" s="18">
        <f t="shared" si="137"/>
        <v>0</v>
      </c>
      <c r="I184" s="18">
        <f>10/((36+25)/2)</f>
        <v>0.32786885245901637</v>
      </c>
      <c r="J184" s="18">
        <f>160/(2300)</f>
        <v>6.9565217391304349E-2</v>
      </c>
      <c r="K184" s="18">
        <f>0/((25+30)/2)</f>
        <v>0</v>
      </c>
      <c r="L184" s="18">
        <f t="shared" si="135"/>
        <v>0</v>
      </c>
      <c r="M184" s="22" t="s">
        <v>555</v>
      </c>
      <c r="N184" s="2"/>
      <c r="O184" s="2"/>
      <c r="P184" s="2"/>
      <c r="Q184" s="2"/>
      <c r="R184" s="2"/>
      <c r="S184" s="2"/>
      <c r="T184" s="2"/>
      <c r="U184" s="2"/>
      <c r="V184" s="2"/>
      <c r="W184" s="2"/>
      <c r="X184" s="2"/>
      <c r="Y184" s="2"/>
      <c r="Z184" s="2"/>
    </row>
    <row r="185" spans="1:26" ht="19.5" customHeight="1">
      <c r="A185" s="19" t="s">
        <v>452</v>
      </c>
      <c r="B185" s="20" t="s">
        <v>453</v>
      </c>
      <c r="C185" s="21">
        <v>3</v>
      </c>
      <c r="D185" s="22" t="s">
        <v>205</v>
      </c>
      <c r="E185" s="18">
        <v>9.5000000000000001E-2</v>
      </c>
      <c r="F185" s="18">
        <f>17/((225+325)/2)</f>
        <v>6.1818181818181821E-2</v>
      </c>
      <c r="G185" s="18">
        <f>13/((56+46)/2)</f>
        <v>0.25490196078431371</v>
      </c>
      <c r="H185" s="18">
        <f>8/((44+77)/2)</f>
        <v>0.13223140495867769</v>
      </c>
      <c r="I185" s="18">
        <f>0/((36+25)/2)</f>
        <v>0</v>
      </c>
      <c r="J185" s="18">
        <f>470/(2300)</f>
        <v>0.20434782608695654</v>
      </c>
      <c r="K185" s="18">
        <f t="shared" ref="K185:K187" si="140">1/((25+30)/2)</f>
        <v>3.6363636363636362E-2</v>
      </c>
      <c r="L185" s="18">
        <f>40/(300)</f>
        <v>0.13333333333333333</v>
      </c>
      <c r="M185" s="22" t="s">
        <v>454</v>
      </c>
      <c r="N185" s="2"/>
      <c r="O185" s="2"/>
      <c r="P185" s="2"/>
      <c r="Q185" s="2"/>
      <c r="R185" s="2"/>
      <c r="S185" s="2"/>
      <c r="T185" s="2"/>
      <c r="U185" s="2"/>
      <c r="V185" s="2"/>
      <c r="W185" s="2"/>
      <c r="X185" s="2"/>
      <c r="Y185" s="2"/>
      <c r="Z185" s="2"/>
    </row>
    <row r="186" spans="1:26" ht="19.5" customHeight="1">
      <c r="A186" s="19" t="s">
        <v>179</v>
      </c>
      <c r="B186" s="20" t="s">
        <v>180</v>
      </c>
      <c r="C186" s="22" t="s">
        <v>155</v>
      </c>
      <c r="D186" s="22" t="s">
        <v>17</v>
      </c>
      <c r="E186" s="18">
        <v>0.06</v>
      </c>
      <c r="F186" s="18">
        <f>22/((225+325)/2)</f>
        <v>0.08</v>
      </c>
      <c r="G186" s="18">
        <f>1/((56+46)/2)</f>
        <v>1.9607843137254902E-2</v>
      </c>
      <c r="H186" s="18">
        <f>3/((44+77)/2)</f>
        <v>4.9586776859504134E-2</v>
      </c>
      <c r="I186" s="18">
        <f>14/((36+25)/2)</f>
        <v>0.45901639344262296</v>
      </c>
      <c r="J186" s="18">
        <f>200/(2300)</f>
        <v>8.6956521739130432E-2</v>
      </c>
      <c r="K186" s="18">
        <f t="shared" si="140"/>
        <v>3.6363636363636362E-2</v>
      </c>
      <c r="L186" s="18">
        <f t="shared" ref="L186:L192" si="141">0/(300)</f>
        <v>0</v>
      </c>
      <c r="M186" s="22" t="s">
        <v>181</v>
      </c>
      <c r="N186" s="2"/>
      <c r="O186" s="2"/>
      <c r="P186" s="2"/>
      <c r="Q186" s="2"/>
      <c r="R186" s="2"/>
      <c r="S186" s="2"/>
      <c r="T186" s="2"/>
      <c r="U186" s="2"/>
      <c r="V186" s="2"/>
      <c r="W186" s="2"/>
      <c r="X186" s="2"/>
      <c r="Y186" s="2"/>
      <c r="Z186" s="2"/>
    </row>
    <row r="187" spans="1:26" ht="19.5" customHeight="1">
      <c r="A187" s="19" t="s">
        <v>852</v>
      </c>
      <c r="B187" s="20" t="s">
        <v>853</v>
      </c>
      <c r="C187" s="21">
        <v>1</v>
      </c>
      <c r="D187" s="22" t="s">
        <v>854</v>
      </c>
      <c r="E187" s="18">
        <v>4.4999999999999998E-2</v>
      </c>
      <c r="F187" s="18">
        <f>19/((225+325)/2)</f>
        <v>6.9090909090909092E-2</v>
      </c>
      <c r="G187" s="18">
        <f>2/((56+46)/2)</f>
        <v>3.9215686274509803E-2</v>
      </c>
      <c r="H187" s="18">
        <f t="shared" ref="H187:H189" si="142">0/((44+77)/2)</f>
        <v>0</v>
      </c>
      <c r="I187" s="18">
        <f t="shared" ref="I187:I188" si="143">4/((36+25)/2)</f>
        <v>0.13114754098360656</v>
      </c>
      <c r="J187" s="18">
        <f>230/(2300)</f>
        <v>0.1</v>
      </c>
      <c r="K187" s="18">
        <f t="shared" si="140"/>
        <v>3.6363636363636362E-2</v>
      </c>
      <c r="L187" s="18">
        <f t="shared" si="141"/>
        <v>0</v>
      </c>
      <c r="M187" s="21"/>
      <c r="N187" s="2"/>
      <c r="O187" s="2"/>
      <c r="P187" s="2"/>
      <c r="Q187" s="2"/>
      <c r="R187" s="2"/>
      <c r="S187" s="2"/>
      <c r="T187" s="2"/>
      <c r="U187" s="2"/>
      <c r="V187" s="2"/>
      <c r="W187" s="2"/>
      <c r="X187" s="2"/>
      <c r="Y187" s="2"/>
      <c r="Z187" s="2"/>
    </row>
    <row r="188" spans="1:26" ht="19.5" customHeight="1">
      <c r="A188" s="19" t="s">
        <v>556</v>
      </c>
      <c r="B188" s="20" t="s">
        <v>557</v>
      </c>
      <c r="C188" s="21">
        <v>2</v>
      </c>
      <c r="D188" s="22" t="s">
        <v>558</v>
      </c>
      <c r="E188" s="18">
        <v>7.4999999999999997E-3</v>
      </c>
      <c r="F188" s="18">
        <f>4/((225+325)/2)</f>
        <v>1.4545454545454545E-2</v>
      </c>
      <c r="G188" s="18">
        <f t="shared" ref="G188:G189" si="144">0/((56+46)/2)</f>
        <v>0</v>
      </c>
      <c r="H188" s="18">
        <f t="shared" si="142"/>
        <v>0</v>
      </c>
      <c r="I188" s="18">
        <f t="shared" si="143"/>
        <v>0.13114754098360656</v>
      </c>
      <c r="J188" s="18">
        <f>40/(2300)</f>
        <v>1.7391304347826087E-2</v>
      </c>
      <c r="K188" s="18">
        <f t="shared" ref="K188:K189" si="145">0/((25+30)/2)</f>
        <v>0</v>
      </c>
      <c r="L188" s="18">
        <f t="shared" si="141"/>
        <v>0</v>
      </c>
      <c r="M188" s="21"/>
      <c r="N188" s="2"/>
      <c r="O188" s="2"/>
      <c r="P188" s="2"/>
      <c r="Q188" s="2"/>
      <c r="R188" s="2"/>
      <c r="S188" s="2"/>
      <c r="T188" s="2"/>
      <c r="U188" s="2"/>
      <c r="V188" s="2"/>
      <c r="W188" s="2"/>
      <c r="X188" s="2"/>
      <c r="Y188" s="2"/>
      <c r="Z188" s="2"/>
    </row>
    <row r="189" spans="1:26" ht="19.5" customHeight="1">
      <c r="A189" s="19" t="s">
        <v>856</v>
      </c>
      <c r="B189" s="20" t="s">
        <v>857</v>
      </c>
      <c r="C189" s="21">
        <v>1</v>
      </c>
      <c r="D189" s="22" t="s">
        <v>554</v>
      </c>
      <c r="E189" s="18">
        <v>7.4999999999999997E-3</v>
      </c>
      <c r="F189" s="18">
        <f>0/((225+325)/2)</f>
        <v>0</v>
      </c>
      <c r="G189" s="18">
        <f t="shared" si="144"/>
        <v>0</v>
      </c>
      <c r="H189" s="18">
        <f t="shared" si="142"/>
        <v>0</v>
      </c>
      <c r="I189" s="18">
        <f>1/((36+25)/2)</f>
        <v>3.2786885245901641E-2</v>
      </c>
      <c r="J189" s="18">
        <f>590/(2300)</f>
        <v>0.2565217391304348</v>
      </c>
      <c r="K189" s="18">
        <f t="shared" si="145"/>
        <v>0</v>
      </c>
      <c r="L189" s="18">
        <f t="shared" si="141"/>
        <v>0</v>
      </c>
      <c r="M189" s="22" t="s">
        <v>858</v>
      </c>
      <c r="N189" s="2"/>
      <c r="O189" s="2"/>
      <c r="P189" s="2"/>
      <c r="Q189" s="2"/>
      <c r="R189" s="2"/>
      <c r="S189" s="2"/>
      <c r="T189" s="2"/>
      <c r="U189" s="2"/>
      <c r="V189" s="2"/>
      <c r="W189" s="2"/>
      <c r="X189" s="2"/>
      <c r="Y189" s="2"/>
      <c r="Z189" s="2"/>
    </row>
    <row r="190" spans="1:26" ht="19.5" customHeight="1">
      <c r="A190" s="19" t="s">
        <v>182</v>
      </c>
      <c r="B190" s="20" t="s">
        <v>183</v>
      </c>
      <c r="C190" s="22" t="s">
        <v>155</v>
      </c>
      <c r="D190" s="22" t="s">
        <v>17</v>
      </c>
      <c r="E190" s="18">
        <v>2.2499999999999999E-2</v>
      </c>
      <c r="F190" s="18">
        <f>8/((225+325)/2)</f>
        <v>2.9090909090909091E-2</v>
      </c>
      <c r="G190" s="18">
        <f>2/((56+46)/2)</f>
        <v>3.9215686274509803E-2</v>
      </c>
      <c r="H190" s="18">
        <f>1/((44+77)/2)</f>
        <v>1.6528925619834711E-2</v>
      </c>
      <c r="I190" s="18">
        <f>3/((36+25)/2)</f>
        <v>9.8360655737704916E-2</v>
      </c>
      <c r="J190" s="18">
        <f>670/(2300)</f>
        <v>0.29130434782608694</v>
      </c>
      <c r="K190" s="18">
        <f>3/((25+30)/2)</f>
        <v>0.10909090909090909</v>
      </c>
      <c r="L190" s="18">
        <f t="shared" si="141"/>
        <v>0</v>
      </c>
      <c r="M190" s="21"/>
      <c r="N190" s="2"/>
      <c r="O190" s="2"/>
      <c r="P190" s="2"/>
      <c r="Q190" s="2"/>
      <c r="R190" s="2"/>
      <c r="S190" s="2"/>
      <c r="T190" s="2"/>
      <c r="U190" s="2"/>
      <c r="V190" s="2"/>
      <c r="W190" s="2"/>
      <c r="X190" s="2"/>
      <c r="Y190" s="2"/>
      <c r="Z190" s="2"/>
    </row>
    <row r="191" spans="1:26" ht="19.5" customHeight="1">
      <c r="A191" s="19" t="s">
        <v>94</v>
      </c>
      <c r="B191" s="20" t="s">
        <v>95</v>
      </c>
      <c r="C191" s="22" t="s">
        <v>69</v>
      </c>
      <c r="D191" s="22" t="s">
        <v>17</v>
      </c>
      <c r="E191" s="18">
        <v>4.7500000000000001E-2</v>
      </c>
      <c r="F191" s="18">
        <f>0/((225+325)/2)</f>
        <v>0</v>
      </c>
      <c r="G191" s="18">
        <f t="shared" ref="G191:G192" si="146">3/((56+46)/2)</f>
        <v>5.8823529411764705E-2</v>
      </c>
      <c r="H191" s="18">
        <f>8/((44+77)/2)</f>
        <v>0.13223140495867769</v>
      </c>
      <c r="I191" s="18">
        <f t="shared" ref="I191:I192" si="147">0/((36+25)/2)</f>
        <v>0</v>
      </c>
      <c r="J191" s="18">
        <f>200/(2300)</f>
        <v>8.6956521739130432E-2</v>
      </c>
      <c r="K191" s="18">
        <f>0/((25+30)/2)</f>
        <v>0</v>
      </c>
      <c r="L191" s="18">
        <f t="shared" si="141"/>
        <v>0</v>
      </c>
      <c r="M191" s="22" t="s">
        <v>96</v>
      </c>
      <c r="N191" s="2"/>
      <c r="O191" s="2"/>
      <c r="P191" s="2"/>
      <c r="Q191" s="2"/>
      <c r="R191" s="2"/>
      <c r="S191" s="2"/>
      <c r="T191" s="2"/>
      <c r="U191" s="2"/>
      <c r="V191" s="2"/>
      <c r="W191" s="2"/>
      <c r="X191" s="2"/>
      <c r="Y191" s="2"/>
      <c r="Z191" s="2"/>
    </row>
    <row r="192" spans="1:26" ht="19.5" customHeight="1">
      <c r="A192" s="19" t="s">
        <v>231</v>
      </c>
      <c r="B192" s="20" t="s">
        <v>232</v>
      </c>
      <c r="C192" s="21">
        <v>85</v>
      </c>
      <c r="D192" s="22" t="s">
        <v>226</v>
      </c>
      <c r="E192" s="18">
        <v>4.4999999999999998E-2</v>
      </c>
      <c r="F192" s="18">
        <f>7/((225+325)/2)</f>
        <v>2.5454545454545455E-2</v>
      </c>
      <c r="G192" s="18">
        <f t="shared" si="146"/>
        <v>5.8823529411764705E-2</v>
      </c>
      <c r="H192" s="18">
        <f>6/((44+77)/2)</f>
        <v>9.9173553719008267E-2</v>
      </c>
      <c r="I192" s="18">
        <f t="shared" si="147"/>
        <v>0</v>
      </c>
      <c r="J192" s="18">
        <f>310/(2300)</f>
        <v>0.13478260869565217</v>
      </c>
      <c r="K192" s="18">
        <f>6/((25+30)/2)</f>
        <v>0.21818181818181817</v>
      </c>
      <c r="L192" s="18">
        <f t="shared" si="141"/>
        <v>0</v>
      </c>
      <c r="M192" s="22" t="s">
        <v>233</v>
      </c>
      <c r="N192" s="2"/>
      <c r="O192" s="2"/>
      <c r="P192" s="2"/>
      <c r="Q192" s="2"/>
      <c r="R192" s="2"/>
      <c r="S192" s="2"/>
      <c r="T192" s="2"/>
      <c r="U192" s="2"/>
      <c r="V192" s="2"/>
      <c r="W192" s="2"/>
      <c r="X192" s="2"/>
      <c r="Y192" s="2"/>
      <c r="Z192" s="2"/>
    </row>
    <row r="193" spans="1:26" ht="19.5" customHeight="1">
      <c r="A193" s="19" t="s">
        <v>185</v>
      </c>
      <c r="B193" s="20" t="s">
        <v>186</v>
      </c>
      <c r="C193" s="22" t="s">
        <v>155</v>
      </c>
      <c r="D193" s="22" t="s">
        <v>17</v>
      </c>
      <c r="E193" s="18">
        <v>3.5000000000000003E-2</v>
      </c>
      <c r="F193" s="18">
        <f>14/((225+325)/2)</f>
        <v>5.0909090909090911E-2</v>
      </c>
      <c r="G193" s="18">
        <f t="shared" ref="G193:G196" si="148">5/((56+46)/2)</f>
        <v>9.8039215686274508E-2</v>
      </c>
      <c r="H193" s="18">
        <f>20/((44+77)/2)</f>
        <v>0.33057851239669422</v>
      </c>
      <c r="I193" s="18">
        <f>6/((36+25)/2)</f>
        <v>0.19672131147540983</v>
      </c>
      <c r="J193" s="18">
        <f>110/(2300)</f>
        <v>4.7826086956521741E-2</v>
      </c>
      <c r="K193" s="18">
        <f>3/((25+30)/2)</f>
        <v>0.10909090909090909</v>
      </c>
      <c r="L193" s="18">
        <f>45/(300)</f>
        <v>0.15</v>
      </c>
      <c r="M193" s="22" t="s">
        <v>187</v>
      </c>
      <c r="N193" s="2"/>
      <c r="O193" s="2"/>
      <c r="P193" s="2"/>
      <c r="Q193" s="2"/>
      <c r="R193" s="2"/>
      <c r="S193" s="2"/>
      <c r="T193" s="2"/>
      <c r="U193" s="2"/>
      <c r="V193" s="2"/>
      <c r="W193" s="2"/>
      <c r="X193" s="2"/>
      <c r="Y193" s="2"/>
      <c r="Z193" s="2"/>
    </row>
    <row r="194" spans="1:26" ht="19.5" customHeight="1">
      <c r="A194" s="19" t="s">
        <v>859</v>
      </c>
      <c r="B194" s="20" t="s">
        <v>860</v>
      </c>
      <c r="C194" s="21">
        <v>1</v>
      </c>
      <c r="D194" s="22" t="s">
        <v>624</v>
      </c>
      <c r="E194" s="18">
        <v>0.09</v>
      </c>
      <c r="F194" s="18">
        <f>19/((225+325)/2)</f>
        <v>6.9090909090909092E-2</v>
      </c>
      <c r="G194" s="18">
        <f t="shared" si="148"/>
        <v>9.8039215686274508E-2</v>
      </c>
      <c r="H194" s="18">
        <f>13/((44+77)/2)</f>
        <v>0.21487603305785125</v>
      </c>
      <c r="I194" s="18">
        <f>0.5/((36+25)/2)</f>
        <v>1.6393442622950821E-2</v>
      </c>
      <c r="J194" s="18">
        <f>260/(2300)</f>
        <v>0.11304347826086956</v>
      </c>
      <c r="K194" s="18">
        <f t="shared" ref="K194:K196" si="149">4/((25+30)/2)</f>
        <v>0.14545454545454545</v>
      </c>
      <c r="L194" s="18">
        <f>70/(300)</f>
        <v>0.23333333333333334</v>
      </c>
      <c r="M194" s="22" t="s">
        <v>644</v>
      </c>
      <c r="N194" s="2"/>
      <c r="O194" s="2"/>
      <c r="P194" s="2"/>
      <c r="Q194" s="2"/>
      <c r="R194" s="2"/>
      <c r="S194" s="2"/>
      <c r="T194" s="2"/>
      <c r="U194" s="2"/>
      <c r="V194" s="2"/>
      <c r="W194" s="2"/>
      <c r="X194" s="2"/>
      <c r="Y194" s="2"/>
      <c r="Z194" s="2"/>
    </row>
    <row r="195" spans="1:26" ht="19.5" customHeight="1">
      <c r="A195" s="19" t="s">
        <v>861</v>
      </c>
      <c r="B195" s="20" t="s">
        <v>862</v>
      </c>
      <c r="C195" s="21">
        <v>1</v>
      </c>
      <c r="D195" s="22" t="s">
        <v>624</v>
      </c>
      <c r="E195" s="18">
        <v>0.09</v>
      </c>
      <c r="F195" s="18">
        <f>17/((225+325)/2)</f>
        <v>6.1818181818181821E-2</v>
      </c>
      <c r="G195" s="18">
        <f t="shared" si="148"/>
        <v>9.8039215686274508E-2</v>
      </c>
      <c r="H195" s="18">
        <f>14/((44+77)/2)</f>
        <v>0.23140495867768596</v>
      </c>
      <c r="I195" s="18">
        <f t="shared" ref="I195:I196" si="150">1/((36+25)/2)</f>
        <v>3.2786885245901641E-2</v>
      </c>
      <c r="J195" s="18">
        <f>290/(2300)</f>
        <v>0.12608695652173912</v>
      </c>
      <c r="K195" s="18">
        <f t="shared" si="149"/>
        <v>0.14545454545454545</v>
      </c>
      <c r="L195" s="18">
        <f>65/(300)</f>
        <v>0.21666666666666667</v>
      </c>
      <c r="M195" s="22" t="s">
        <v>706</v>
      </c>
      <c r="N195" s="2"/>
      <c r="O195" s="2"/>
      <c r="P195" s="2"/>
      <c r="Q195" s="2"/>
      <c r="R195" s="2"/>
      <c r="S195" s="2"/>
      <c r="T195" s="2"/>
      <c r="U195" s="2"/>
      <c r="V195" s="2"/>
      <c r="W195" s="2"/>
      <c r="X195" s="2"/>
      <c r="Y195" s="2"/>
      <c r="Z195" s="2"/>
    </row>
    <row r="196" spans="1:26" ht="19.5" customHeight="1">
      <c r="A196" s="19" t="s">
        <v>863</v>
      </c>
      <c r="B196" s="20" t="s">
        <v>864</v>
      </c>
      <c r="C196" s="21">
        <v>1</v>
      </c>
      <c r="D196" s="22" t="s">
        <v>624</v>
      </c>
      <c r="E196" s="18">
        <v>0.08</v>
      </c>
      <c r="F196" s="18">
        <f>18/((225+325)/2)</f>
        <v>6.545454545454546E-2</v>
      </c>
      <c r="G196" s="18">
        <f t="shared" si="148"/>
        <v>9.8039215686274508E-2</v>
      </c>
      <c r="H196" s="18">
        <f>12/((44+77)/2)</f>
        <v>0.19834710743801653</v>
      </c>
      <c r="I196" s="18">
        <f t="shared" si="150"/>
        <v>3.2786885245901641E-2</v>
      </c>
      <c r="J196" s="18">
        <f>280/(2300)</f>
        <v>0.12173913043478261</v>
      </c>
      <c r="K196" s="18">
        <f t="shared" si="149"/>
        <v>0.14545454545454545</v>
      </c>
      <c r="L196" s="18">
        <f>70/(300)</f>
        <v>0.23333333333333334</v>
      </c>
      <c r="M196" s="22" t="s">
        <v>865</v>
      </c>
      <c r="N196" s="2"/>
      <c r="O196" s="2"/>
      <c r="P196" s="2"/>
      <c r="Q196" s="2"/>
      <c r="R196" s="2"/>
      <c r="S196" s="2"/>
      <c r="T196" s="2"/>
      <c r="U196" s="2"/>
      <c r="V196" s="2"/>
      <c r="W196" s="2"/>
      <c r="X196" s="2"/>
      <c r="Y196" s="2"/>
      <c r="Z196" s="2"/>
    </row>
    <row r="197" spans="1:26" ht="19.5" customHeight="1">
      <c r="A197" s="19" t="s">
        <v>256</v>
      </c>
      <c r="B197" s="20" t="s">
        <v>257</v>
      </c>
      <c r="C197" s="21">
        <v>40</v>
      </c>
      <c r="D197" s="22" t="s">
        <v>226</v>
      </c>
      <c r="E197" s="18">
        <v>9.5000000000000001E-2</v>
      </c>
      <c r="F197" s="18">
        <f>13/((225+325)/2)</f>
        <v>4.7272727272727272E-2</v>
      </c>
      <c r="G197" s="18">
        <f t="shared" ref="G197:G198" si="151">11/((56+46)/2)</f>
        <v>0.21568627450980393</v>
      </c>
      <c r="H197" s="18">
        <f t="shared" ref="H197:H198" si="152">14/((44+77)/2)</f>
        <v>0.23140495867768596</v>
      </c>
      <c r="I197" s="18">
        <f>3/((36+25)/2)</f>
        <v>9.8360655737704916E-2</v>
      </c>
      <c r="J197" s="18">
        <f>55/(2300)</f>
        <v>2.391304347826087E-2</v>
      </c>
      <c r="K197" s="18">
        <f>6/((25+30)/2)</f>
        <v>0.21818181818181817</v>
      </c>
      <c r="L197" s="18">
        <f t="shared" ref="L197:L198" si="153">10/(300)</f>
        <v>3.3333333333333333E-2</v>
      </c>
      <c r="M197" s="22" t="s">
        <v>258</v>
      </c>
      <c r="N197" s="2"/>
      <c r="O197" s="2"/>
      <c r="P197" s="2"/>
      <c r="Q197" s="2"/>
      <c r="R197" s="2"/>
      <c r="S197" s="2"/>
      <c r="T197" s="2"/>
      <c r="U197" s="2"/>
      <c r="V197" s="2"/>
      <c r="W197" s="2"/>
      <c r="X197" s="2"/>
      <c r="Y197" s="2"/>
      <c r="Z197" s="2"/>
    </row>
    <row r="198" spans="1:26" ht="19.5" customHeight="1">
      <c r="A198" s="19" t="s">
        <v>259</v>
      </c>
      <c r="B198" s="20" t="s">
        <v>260</v>
      </c>
      <c r="C198" s="21">
        <v>40</v>
      </c>
      <c r="D198" s="22" t="s">
        <v>226</v>
      </c>
      <c r="E198" s="18">
        <v>0.09</v>
      </c>
      <c r="F198" s="18">
        <f>15/((225+325)/2)</f>
        <v>5.4545454545454543E-2</v>
      </c>
      <c r="G198" s="18">
        <f t="shared" si="151"/>
        <v>0.21568627450980393</v>
      </c>
      <c r="H198" s="18">
        <f t="shared" si="152"/>
        <v>0.23140495867768596</v>
      </c>
      <c r="I198" s="18">
        <f>1/((36+25)/2)</f>
        <v>3.2786885245901641E-2</v>
      </c>
      <c r="J198" s="18">
        <f t="shared" ref="J198:J199" si="154">15/(2300)</f>
        <v>6.5217391304347823E-3</v>
      </c>
      <c r="K198" s="18">
        <f>7/((25+30)/2)</f>
        <v>0.25454545454545452</v>
      </c>
      <c r="L198" s="18">
        <f t="shared" si="153"/>
        <v>3.3333333333333333E-2</v>
      </c>
      <c r="M198" s="22" t="s">
        <v>1097</v>
      </c>
      <c r="N198" s="2"/>
      <c r="O198" s="2"/>
      <c r="P198" s="2"/>
      <c r="Q198" s="2"/>
      <c r="R198" s="2"/>
      <c r="S198" s="2"/>
      <c r="T198" s="2"/>
      <c r="U198" s="2"/>
      <c r="V198" s="2"/>
      <c r="W198" s="2"/>
      <c r="X198" s="2"/>
      <c r="Y198" s="2"/>
      <c r="Z198" s="2"/>
    </row>
    <row r="199" spans="1:26" ht="19.5" customHeight="1">
      <c r="A199" s="19" t="s">
        <v>866</v>
      </c>
      <c r="B199" s="20" t="s">
        <v>867</v>
      </c>
      <c r="C199" s="21">
        <v>1</v>
      </c>
      <c r="D199" s="22" t="s">
        <v>868</v>
      </c>
      <c r="E199" s="18">
        <v>4.4999999999999998E-2</v>
      </c>
      <c r="F199" s="18">
        <f>35/((225+325)/2)</f>
        <v>0.12727272727272726</v>
      </c>
      <c r="G199" s="18">
        <f>3/((56+46)/2)</f>
        <v>5.8823529411764705E-2</v>
      </c>
      <c r="H199" s="18">
        <f>0/((44+77)/2)</f>
        <v>0</v>
      </c>
      <c r="I199" s="18">
        <f>3/((36+25)/2)</f>
        <v>9.8360655737704916E-2</v>
      </c>
      <c r="J199" s="18">
        <f t="shared" si="154"/>
        <v>6.5217391304347823E-3</v>
      </c>
      <c r="K199" s="18">
        <f>28/((25+30)/2)</f>
        <v>1.0181818181818181</v>
      </c>
      <c r="L199" s="18">
        <f>0/(300)</f>
        <v>0</v>
      </c>
      <c r="M199" s="22" t="s">
        <v>869</v>
      </c>
      <c r="N199" s="2"/>
      <c r="O199" s="2"/>
      <c r="P199" s="2"/>
      <c r="Q199" s="2"/>
      <c r="R199" s="2"/>
      <c r="S199" s="2"/>
      <c r="T199" s="2"/>
      <c r="U199" s="2"/>
      <c r="V199" s="2"/>
      <c r="W199" s="2"/>
      <c r="X199" s="2"/>
      <c r="Y199" s="2"/>
      <c r="Z199" s="2"/>
    </row>
    <row r="200" spans="1:26" ht="19.5" customHeight="1">
      <c r="A200" s="19" t="s">
        <v>870</v>
      </c>
      <c r="B200" s="20" t="s">
        <v>871</v>
      </c>
      <c r="C200" s="21">
        <v>1</v>
      </c>
      <c r="D200" s="22" t="s">
        <v>599</v>
      </c>
      <c r="E200" s="18">
        <v>0.1</v>
      </c>
      <c r="F200" s="18">
        <f>21/((225+325)/2)</f>
        <v>7.636363636363637E-2</v>
      </c>
      <c r="G200" s="18">
        <f>21/((56+46)/2)</f>
        <v>0.41176470588235292</v>
      </c>
      <c r="H200" s="18">
        <f>8/((44+77)/2)</f>
        <v>0.13223140495867769</v>
      </c>
      <c r="I200" s="18">
        <f>1/((36+25)/2)</f>
        <v>3.2786885245901641E-2</v>
      </c>
      <c r="J200" s="18">
        <f>280/(2300)</f>
        <v>0.12173913043478261</v>
      </c>
      <c r="K200" s="18">
        <f>15/((25+30)/2)</f>
        <v>0.54545454545454541</v>
      </c>
      <c r="L200" s="18">
        <f>5/(300)</f>
        <v>1.6666666666666666E-2</v>
      </c>
      <c r="M200" s="22" t="s">
        <v>872</v>
      </c>
      <c r="N200" s="2"/>
      <c r="O200" s="2"/>
      <c r="P200" s="2"/>
      <c r="Q200" s="2"/>
      <c r="R200" s="2"/>
      <c r="S200" s="2"/>
      <c r="T200" s="2"/>
      <c r="U200" s="2"/>
      <c r="V200" s="2"/>
      <c r="W200" s="2"/>
      <c r="X200" s="2"/>
      <c r="Y200" s="2"/>
      <c r="Z200" s="2"/>
    </row>
    <row r="201" spans="1:26" ht="19.5" customHeight="1">
      <c r="A201" s="19" t="s">
        <v>60</v>
      </c>
      <c r="B201" s="20" t="s">
        <v>61</v>
      </c>
      <c r="C201" s="22" t="s">
        <v>54</v>
      </c>
      <c r="D201" s="22" t="s">
        <v>62</v>
      </c>
      <c r="E201" s="18">
        <v>0.08</v>
      </c>
      <c r="F201" s="18">
        <f>8/((225+325)/2)</f>
        <v>2.9090909090909091E-2</v>
      </c>
      <c r="G201" s="18">
        <f t="shared" ref="G201:G202" si="155">2/((56+46)/2)</f>
        <v>3.9215686274509803E-2</v>
      </c>
      <c r="H201" s="18">
        <f>13/((44+77)/2)</f>
        <v>0.21487603305785125</v>
      </c>
      <c r="I201" s="18">
        <f>2/((36+25)/2)</f>
        <v>6.5573770491803282E-2</v>
      </c>
      <c r="J201" s="18">
        <f>10/(2300)</f>
        <v>4.3478260869565218E-3</v>
      </c>
      <c r="K201" s="18">
        <f>0/((25+30)/2)</f>
        <v>0</v>
      </c>
      <c r="L201" s="18">
        <f t="shared" ref="L201:L202" si="156">0/(300)</f>
        <v>0</v>
      </c>
      <c r="M201" s="22" t="s">
        <v>63</v>
      </c>
      <c r="N201" s="2"/>
      <c r="O201" s="2"/>
      <c r="P201" s="2"/>
      <c r="Q201" s="2"/>
      <c r="R201" s="2"/>
      <c r="S201" s="2"/>
      <c r="T201" s="2"/>
      <c r="U201" s="2"/>
      <c r="V201" s="2"/>
      <c r="W201" s="2"/>
      <c r="X201" s="2"/>
      <c r="Y201" s="2"/>
      <c r="Z201" s="2"/>
    </row>
    <row r="202" spans="1:26" ht="19.5" customHeight="1">
      <c r="A202" s="19" t="s">
        <v>97</v>
      </c>
      <c r="B202" s="20" t="s">
        <v>98</v>
      </c>
      <c r="C202" s="22" t="s">
        <v>69</v>
      </c>
      <c r="D202" s="22" t="s">
        <v>1098</v>
      </c>
      <c r="E202" s="18">
        <v>0.08</v>
      </c>
      <c r="F202" s="18">
        <f>15/((225+325)/2)</f>
        <v>5.4545454545454543E-2</v>
      </c>
      <c r="G202" s="18">
        <f t="shared" si="155"/>
        <v>3.9215686274509803E-2</v>
      </c>
      <c r="H202" s="18">
        <f>11/((44+77)/2)</f>
        <v>0.18181818181818182</v>
      </c>
      <c r="I202" s="18">
        <f>12/((36+25)/2)</f>
        <v>0.39344262295081966</v>
      </c>
      <c r="J202" s="18">
        <f>120/(2300)</f>
        <v>5.2173913043478258E-2</v>
      </c>
      <c r="K202" s="18">
        <f>1/((25+30)/2)</f>
        <v>3.6363636363636362E-2</v>
      </c>
      <c r="L202" s="18">
        <f t="shared" si="156"/>
        <v>0</v>
      </c>
      <c r="M202" s="22" t="s">
        <v>99</v>
      </c>
      <c r="N202" s="2"/>
      <c r="O202" s="2"/>
      <c r="P202" s="2"/>
      <c r="Q202" s="2"/>
      <c r="R202" s="2"/>
      <c r="S202" s="2"/>
      <c r="T202" s="2"/>
      <c r="U202" s="2"/>
      <c r="V202" s="2"/>
      <c r="W202" s="2"/>
      <c r="X202" s="2"/>
      <c r="Y202" s="2"/>
      <c r="Z202" s="2"/>
    </row>
    <row r="203" spans="1:26" ht="19.5" customHeight="1">
      <c r="A203" s="19" t="s">
        <v>1060</v>
      </c>
      <c r="B203" s="20" t="s">
        <v>1061</v>
      </c>
      <c r="C203" s="21">
        <v>0.5</v>
      </c>
      <c r="D203" s="22" t="s">
        <v>205</v>
      </c>
      <c r="E203" s="18">
        <v>3.5000000000000003E-2</v>
      </c>
      <c r="F203" s="18">
        <f t="shared" ref="F203:F204" si="157">0/((225+325)/2)</f>
        <v>0</v>
      </c>
      <c r="G203" s="18">
        <f>11/((56+46)/2)</f>
        <v>0.21568627450980393</v>
      </c>
      <c r="H203" s="18">
        <f>2.5/((44+77)/2)</f>
        <v>4.1322314049586778E-2</v>
      </c>
      <c r="I203" s="18">
        <f t="shared" ref="I203:I205" si="158">0/((36+25)/2)</f>
        <v>0</v>
      </c>
      <c r="J203" s="18">
        <f>230/(2300)</f>
        <v>0.1</v>
      </c>
      <c r="K203" s="18">
        <f t="shared" ref="K203:K204" si="159">0/((25+30)/2)</f>
        <v>0</v>
      </c>
      <c r="L203" s="18">
        <f>20/(300)</f>
        <v>6.6666666666666666E-2</v>
      </c>
      <c r="M203" s="22" t="s">
        <v>1062</v>
      </c>
      <c r="N203" s="2"/>
      <c r="O203" s="2"/>
      <c r="P203" s="2"/>
      <c r="Q203" s="2"/>
      <c r="R203" s="2"/>
      <c r="S203" s="2"/>
      <c r="T203" s="2"/>
      <c r="U203" s="2"/>
      <c r="V203" s="2"/>
      <c r="W203" s="2"/>
      <c r="X203" s="2"/>
      <c r="Y203" s="2"/>
      <c r="Z203" s="2"/>
    </row>
    <row r="204" spans="1:26" ht="19.5" customHeight="1">
      <c r="A204" s="19" t="s">
        <v>873</v>
      </c>
      <c r="B204" s="20" t="s">
        <v>874</v>
      </c>
      <c r="C204" s="21">
        <v>1</v>
      </c>
      <c r="D204" s="22" t="s">
        <v>31</v>
      </c>
      <c r="E204" s="18">
        <v>7.4999999999999997E-3</v>
      </c>
      <c r="F204" s="18">
        <f t="shared" si="157"/>
        <v>0</v>
      </c>
      <c r="G204" s="18">
        <f>4/((56+46)/2)</f>
        <v>7.8431372549019607E-2</v>
      </c>
      <c r="H204" s="18">
        <f>0/((44+77)/2)</f>
        <v>0</v>
      </c>
      <c r="I204" s="18">
        <f t="shared" si="158"/>
        <v>0</v>
      </c>
      <c r="J204" s="18">
        <f>1490/(2300)</f>
        <v>0.64782608695652177</v>
      </c>
      <c r="K204" s="18">
        <f t="shared" si="159"/>
        <v>0</v>
      </c>
      <c r="L204" s="18">
        <f t="shared" ref="L204:L206" si="160">0/(300)</f>
        <v>0</v>
      </c>
      <c r="M204" s="22" t="s">
        <v>749</v>
      </c>
      <c r="N204" s="2"/>
      <c r="O204" s="2"/>
      <c r="P204" s="2"/>
      <c r="Q204" s="2"/>
      <c r="R204" s="2"/>
      <c r="S204" s="2"/>
      <c r="T204" s="2"/>
      <c r="U204" s="2"/>
      <c r="V204" s="2"/>
      <c r="W204" s="2"/>
      <c r="X204" s="2"/>
      <c r="Y204" s="2"/>
      <c r="Z204" s="2"/>
    </row>
    <row r="205" spans="1:26" ht="19.5" customHeight="1">
      <c r="A205" s="19" t="s">
        <v>318</v>
      </c>
      <c r="B205" s="20" t="s">
        <v>319</v>
      </c>
      <c r="C205" s="21">
        <v>13</v>
      </c>
      <c r="D205" s="22" t="s">
        <v>320</v>
      </c>
      <c r="E205" s="18">
        <v>7.0000000000000007E-2</v>
      </c>
      <c r="F205" s="18">
        <f>21/((225+325)/2)</f>
        <v>7.636363636363637E-2</v>
      </c>
      <c r="G205" s="18">
        <f t="shared" ref="G205:G207" si="161">3/((56+46)/2)</f>
        <v>5.8823529411764705E-2</v>
      </c>
      <c r="H205" s="18">
        <f>5/((44+77)/2)</f>
        <v>8.2644628099173556E-2</v>
      </c>
      <c r="I205" s="18">
        <f t="shared" si="158"/>
        <v>0</v>
      </c>
      <c r="J205" s="18">
        <f t="shared" ref="J205:J207" si="162">230/(2300)</f>
        <v>0.1</v>
      </c>
      <c r="K205" s="18">
        <f>3/((25+30)/2)</f>
        <v>0.10909090909090909</v>
      </c>
      <c r="L205" s="18">
        <f t="shared" si="160"/>
        <v>0</v>
      </c>
      <c r="M205" s="22" t="s">
        <v>321</v>
      </c>
      <c r="N205" s="2"/>
      <c r="O205" s="2"/>
      <c r="P205" s="2"/>
      <c r="Q205" s="2"/>
      <c r="R205" s="2"/>
      <c r="S205" s="2"/>
      <c r="T205" s="2"/>
      <c r="U205" s="2"/>
      <c r="V205" s="2"/>
      <c r="W205" s="2"/>
      <c r="X205" s="2"/>
      <c r="Y205" s="2"/>
      <c r="Z205" s="2"/>
    </row>
    <row r="206" spans="1:26" ht="19.5" customHeight="1">
      <c r="A206" s="19" t="s">
        <v>241</v>
      </c>
      <c r="B206" s="20" t="s">
        <v>242</v>
      </c>
      <c r="C206" s="21">
        <v>60</v>
      </c>
      <c r="D206" s="22" t="s">
        <v>236</v>
      </c>
      <c r="E206" s="18">
        <v>0.06</v>
      </c>
      <c r="F206" s="18">
        <f>19/((225+325)/2)</f>
        <v>6.9090909090909092E-2</v>
      </c>
      <c r="G206" s="18">
        <f t="shared" si="161"/>
        <v>5.8823529411764705E-2</v>
      </c>
      <c r="H206" s="18">
        <f>3.5/((44+77)/2)</f>
        <v>5.7851239669421489E-2</v>
      </c>
      <c r="I206" s="18">
        <f t="shared" ref="I206:I207" si="163">1/((36+25)/2)</f>
        <v>3.2786885245901641E-2</v>
      </c>
      <c r="J206" s="18">
        <f t="shared" si="162"/>
        <v>0.1</v>
      </c>
      <c r="K206" s="18">
        <f t="shared" ref="K206:K207" si="164">1/((25+30)/2)</f>
        <v>3.6363636363636362E-2</v>
      </c>
      <c r="L206" s="18">
        <f t="shared" si="160"/>
        <v>0</v>
      </c>
      <c r="M206" s="22" t="s">
        <v>240</v>
      </c>
      <c r="N206" s="2"/>
      <c r="O206" s="2"/>
      <c r="P206" s="2"/>
      <c r="Q206" s="2"/>
      <c r="R206" s="2"/>
      <c r="S206" s="2"/>
      <c r="T206" s="2"/>
      <c r="U206" s="2"/>
      <c r="V206" s="2"/>
      <c r="W206" s="2"/>
      <c r="X206" s="2"/>
      <c r="Y206" s="2"/>
      <c r="Z206" s="2"/>
    </row>
    <row r="207" spans="1:26" ht="19.5" customHeight="1">
      <c r="A207" s="19" t="s">
        <v>243</v>
      </c>
      <c r="B207" s="20" t="s">
        <v>244</v>
      </c>
      <c r="C207" s="21">
        <v>60</v>
      </c>
      <c r="D207" s="22" t="s">
        <v>236</v>
      </c>
      <c r="E207" s="18">
        <v>0.06</v>
      </c>
      <c r="F207" s="18">
        <f>18/((225+325)/2)</f>
        <v>6.545454545454546E-2</v>
      </c>
      <c r="G207" s="18">
        <f t="shared" si="161"/>
        <v>5.8823529411764705E-2</v>
      </c>
      <c r="H207" s="18">
        <f>4/((44+77)/2)</f>
        <v>6.6115702479338845E-2</v>
      </c>
      <c r="I207" s="18">
        <f t="shared" si="163"/>
        <v>3.2786885245901641E-2</v>
      </c>
      <c r="J207" s="18">
        <f t="shared" si="162"/>
        <v>0.1</v>
      </c>
      <c r="K207" s="18">
        <f t="shared" si="164"/>
        <v>3.6363636363636362E-2</v>
      </c>
      <c r="L207" s="18">
        <f>2/(300)</f>
        <v>6.6666666666666671E-3</v>
      </c>
      <c r="M207" s="22" t="s">
        <v>237</v>
      </c>
      <c r="N207" s="2"/>
      <c r="O207" s="2"/>
      <c r="P207" s="2"/>
      <c r="Q207" s="2"/>
      <c r="R207" s="2"/>
      <c r="S207" s="2"/>
      <c r="T207" s="2"/>
      <c r="U207" s="2"/>
      <c r="V207" s="2"/>
      <c r="W207" s="2"/>
      <c r="X207" s="2"/>
      <c r="Y207" s="2"/>
      <c r="Z207" s="2"/>
    </row>
    <row r="208" spans="1:26" ht="19.5" customHeight="1">
      <c r="A208" s="19" t="s">
        <v>875</v>
      </c>
      <c r="B208" s="20" t="s">
        <v>876</v>
      </c>
      <c r="C208" s="21">
        <v>1</v>
      </c>
      <c r="D208" s="22" t="s">
        <v>205</v>
      </c>
      <c r="E208" s="18">
        <v>6.5000000000000002E-2</v>
      </c>
      <c r="F208" s="18">
        <f>17/((225+325)/2)</f>
        <v>6.1818181818181821E-2</v>
      </c>
      <c r="G208" s="18">
        <f t="shared" ref="G208:G209" si="165">4/((56+46)/2)</f>
        <v>7.8431372549019607E-2</v>
      </c>
      <c r="H208" s="18">
        <f t="shared" ref="H208:H209" si="166">5/((44+77)/2)</f>
        <v>8.2644628099173556E-2</v>
      </c>
      <c r="I208" s="18">
        <f>3/((36+25)/2)</f>
        <v>9.8360655737704916E-2</v>
      </c>
      <c r="J208" s="18">
        <f>80/(2300)</f>
        <v>3.4782608695652174E-2</v>
      </c>
      <c r="K208" s="18">
        <f t="shared" ref="K208:K209" si="167">3/((25+30)/2)</f>
        <v>0.10909090909090909</v>
      </c>
      <c r="L208" s="18">
        <f t="shared" ref="L208:L209" si="168">0/(300)</f>
        <v>0</v>
      </c>
      <c r="M208" s="22" t="s">
        <v>877</v>
      </c>
      <c r="N208" s="2"/>
      <c r="O208" s="2"/>
      <c r="P208" s="2"/>
      <c r="Q208" s="2"/>
      <c r="R208" s="2"/>
      <c r="S208" s="2"/>
      <c r="T208" s="2"/>
      <c r="U208" s="2"/>
      <c r="V208" s="2"/>
      <c r="W208" s="2"/>
      <c r="X208" s="2"/>
      <c r="Y208" s="2"/>
      <c r="Z208" s="2"/>
    </row>
    <row r="209" spans="1:26" ht="19.5" customHeight="1">
      <c r="A209" s="19" t="s">
        <v>878</v>
      </c>
      <c r="B209" s="20" t="s">
        <v>879</v>
      </c>
      <c r="C209" s="21">
        <v>1</v>
      </c>
      <c r="D209" s="22" t="s">
        <v>880</v>
      </c>
      <c r="E209" s="18">
        <v>6.5000000000000002E-2</v>
      </c>
      <c r="F209" s="18">
        <f>18/((225+325)/2)</f>
        <v>6.545454545454546E-2</v>
      </c>
      <c r="G209" s="18">
        <f t="shared" si="165"/>
        <v>7.8431372549019607E-2</v>
      </c>
      <c r="H209" s="18">
        <f t="shared" si="166"/>
        <v>8.2644628099173556E-2</v>
      </c>
      <c r="I209" s="18">
        <f>2/((36+25)/2)</f>
        <v>6.5573770491803282E-2</v>
      </c>
      <c r="J209" s="18">
        <f>170/(2300)</f>
        <v>7.3913043478260873E-2</v>
      </c>
      <c r="K209" s="18">
        <f t="shared" si="167"/>
        <v>0.10909090909090909</v>
      </c>
      <c r="L209" s="18">
        <f t="shared" si="168"/>
        <v>0</v>
      </c>
      <c r="M209" s="22" t="s">
        <v>881</v>
      </c>
      <c r="N209" s="2"/>
      <c r="O209" s="2"/>
      <c r="P209" s="2"/>
      <c r="Q209" s="2"/>
      <c r="R209" s="2"/>
      <c r="S209" s="2"/>
      <c r="T209" s="2"/>
      <c r="U209" s="2"/>
      <c r="V209" s="2"/>
      <c r="W209" s="2"/>
      <c r="X209" s="2"/>
      <c r="Y209" s="2"/>
      <c r="Z209" s="2"/>
    </row>
    <row r="210" spans="1:26" ht="19.5" customHeight="1">
      <c r="A210" s="19" t="s">
        <v>325</v>
      </c>
      <c r="B210" s="20" t="s">
        <v>326</v>
      </c>
      <c r="C210" s="21">
        <v>12</v>
      </c>
      <c r="D210" s="22" t="s">
        <v>299</v>
      </c>
      <c r="E210" s="18">
        <v>0.05</v>
      </c>
      <c r="F210" s="18">
        <f>1/((225+325)/2)</f>
        <v>3.6363636363636364E-3</v>
      </c>
      <c r="G210" s="18">
        <f>9/((56+46)/2)</f>
        <v>0.17647058823529413</v>
      </c>
      <c r="H210" s="18">
        <f>7/((44+77)/2)</f>
        <v>0.11570247933884298</v>
      </c>
      <c r="I210" s="18">
        <f t="shared" ref="I210:I213" si="169">0/((36+25)/2)</f>
        <v>0</v>
      </c>
      <c r="J210" s="18">
        <f>280/(2300)</f>
        <v>0.12173913043478261</v>
      </c>
      <c r="K210" s="18">
        <f>0/((25+30)/2)</f>
        <v>0</v>
      </c>
      <c r="L210" s="18">
        <f>20/(300)</f>
        <v>6.6666666666666666E-2</v>
      </c>
      <c r="M210" s="22" t="s">
        <v>327</v>
      </c>
      <c r="N210" s="2"/>
      <c r="O210" s="2"/>
      <c r="P210" s="2"/>
      <c r="Q210" s="2"/>
      <c r="R210" s="2"/>
      <c r="S210" s="2"/>
      <c r="T210" s="2"/>
      <c r="U210" s="2"/>
      <c r="V210" s="2"/>
      <c r="W210" s="2"/>
      <c r="X210" s="2"/>
      <c r="Y210" s="2"/>
      <c r="Z210" s="2"/>
    </row>
    <row r="211" spans="1:26" ht="19.5" customHeight="1">
      <c r="A211" s="19" t="s">
        <v>100</v>
      </c>
      <c r="B211" s="20" t="s">
        <v>101</v>
      </c>
      <c r="C211" s="22" t="s">
        <v>69</v>
      </c>
      <c r="D211" s="22" t="s">
        <v>17</v>
      </c>
      <c r="E211" s="18">
        <v>7.4999999999999997E-2</v>
      </c>
      <c r="F211" s="18">
        <f>4/((225+325)/2)</f>
        <v>1.4545454545454545E-2</v>
      </c>
      <c r="G211" s="18">
        <f>8/((56+46)/2)</f>
        <v>0.15686274509803921</v>
      </c>
      <c r="H211" s="18">
        <f>13/((44+77)/2)</f>
        <v>0.21487603305785125</v>
      </c>
      <c r="I211" s="18">
        <f t="shared" si="169"/>
        <v>0</v>
      </c>
      <c r="J211" s="18">
        <f>75/(2300)</f>
        <v>3.2608695652173912E-2</v>
      </c>
      <c r="K211" s="18">
        <f>2/((25+30)/2)</f>
        <v>7.2727272727272724E-2</v>
      </c>
      <c r="L211" s="18">
        <f t="shared" ref="L211:L224" si="170">0/(300)</f>
        <v>0</v>
      </c>
      <c r="M211" s="22" t="s">
        <v>102</v>
      </c>
      <c r="N211" s="2"/>
      <c r="O211" s="2"/>
      <c r="P211" s="2"/>
      <c r="Q211" s="2"/>
      <c r="R211" s="2"/>
      <c r="S211" s="2"/>
      <c r="T211" s="2"/>
      <c r="U211" s="2"/>
      <c r="V211" s="2"/>
      <c r="W211" s="2"/>
      <c r="X211" s="2"/>
      <c r="Y211" s="2"/>
      <c r="Z211" s="2"/>
    </row>
    <row r="212" spans="1:26" ht="19.5" customHeight="1">
      <c r="A212" s="19" t="s">
        <v>284</v>
      </c>
      <c r="B212" s="20" t="s">
        <v>285</v>
      </c>
      <c r="C212" s="21">
        <v>25</v>
      </c>
      <c r="D212" s="22" t="s">
        <v>286</v>
      </c>
      <c r="E212" s="18">
        <v>0.03</v>
      </c>
      <c r="F212" s="18">
        <f t="shared" ref="F212:F213" si="171">5/((225+325)/2)</f>
        <v>1.8181818181818181E-2</v>
      </c>
      <c r="G212" s="18">
        <f t="shared" ref="G212:G213" si="172">7/((56+46)/2)</f>
        <v>0.13725490196078433</v>
      </c>
      <c r="H212" s="18">
        <f>1/((44+77)/2)</f>
        <v>1.6528925619834711E-2</v>
      </c>
      <c r="I212" s="18">
        <f t="shared" si="169"/>
        <v>0</v>
      </c>
      <c r="J212" s="18">
        <f>403/(2300)</f>
        <v>0.17521739130434782</v>
      </c>
      <c r="K212" s="18">
        <f>5/((25+30)/2)</f>
        <v>0.18181818181818182</v>
      </c>
      <c r="L212" s="18">
        <f t="shared" si="170"/>
        <v>0</v>
      </c>
      <c r="M212" s="22" t="s">
        <v>287</v>
      </c>
      <c r="N212" s="2"/>
      <c r="O212" s="2"/>
      <c r="P212" s="2"/>
      <c r="Q212" s="2"/>
      <c r="R212" s="2"/>
      <c r="S212" s="2"/>
      <c r="T212" s="2"/>
      <c r="U212" s="2"/>
      <c r="V212" s="2"/>
      <c r="W212" s="2"/>
      <c r="X212" s="2"/>
      <c r="Y212" s="2"/>
      <c r="Z212" s="2"/>
    </row>
    <row r="213" spans="1:26" ht="19.5" customHeight="1">
      <c r="A213" s="19" t="s">
        <v>1070</v>
      </c>
      <c r="B213" s="20" t="s">
        <v>1071</v>
      </c>
      <c r="C213" s="21">
        <v>0.25</v>
      </c>
      <c r="D213" s="22" t="s">
        <v>17</v>
      </c>
      <c r="E213" s="18">
        <v>0.09</v>
      </c>
      <c r="F213" s="18">
        <f t="shared" si="171"/>
        <v>1.8181818181818181E-2</v>
      </c>
      <c r="G213" s="18">
        <f t="shared" si="172"/>
        <v>0.13725490196078433</v>
      </c>
      <c r="H213" s="18">
        <f>15/((44+77)/2)</f>
        <v>0.24793388429752067</v>
      </c>
      <c r="I213" s="18">
        <f t="shared" si="169"/>
        <v>0</v>
      </c>
      <c r="J213" s="18">
        <f>190/(2300)</f>
        <v>8.2608695652173908E-2</v>
      </c>
      <c r="K213" s="18">
        <f>2/((25+30)/2)</f>
        <v>7.2727272727272724E-2</v>
      </c>
      <c r="L213" s="18">
        <f t="shared" si="170"/>
        <v>0</v>
      </c>
      <c r="M213" s="22" t="s">
        <v>80</v>
      </c>
      <c r="N213" s="2"/>
      <c r="O213" s="2"/>
      <c r="P213" s="2"/>
      <c r="Q213" s="2"/>
      <c r="R213" s="2"/>
      <c r="S213" s="2"/>
      <c r="T213" s="2"/>
      <c r="U213" s="2"/>
      <c r="V213" s="2"/>
      <c r="W213" s="2"/>
      <c r="X213" s="2"/>
      <c r="Y213" s="2"/>
      <c r="Z213" s="2"/>
    </row>
    <row r="214" spans="1:26" ht="19.5" customHeight="1">
      <c r="A214" s="19" t="s">
        <v>882</v>
      </c>
      <c r="B214" s="20" t="s">
        <v>883</v>
      </c>
      <c r="C214" s="21">
        <v>1</v>
      </c>
      <c r="D214" s="22" t="s">
        <v>205</v>
      </c>
      <c r="E214" s="18">
        <v>0.04</v>
      </c>
      <c r="F214" s="18">
        <f>10/((225+325)/2)</f>
        <v>3.6363636363636362E-2</v>
      </c>
      <c r="G214" s="18">
        <f>3/((56+46)/2)</f>
        <v>5.8823529411764705E-2</v>
      </c>
      <c r="H214" s="18">
        <f>3/((44+77)/2)</f>
        <v>4.9586776859504134E-2</v>
      </c>
      <c r="I214" s="18" t="s">
        <v>218</v>
      </c>
      <c r="J214" s="18">
        <f>430/(2300)</f>
        <v>0.18695652173913044</v>
      </c>
      <c r="K214" s="18">
        <f>0/((25+30)/2)</f>
        <v>0</v>
      </c>
      <c r="L214" s="18">
        <f t="shared" si="170"/>
        <v>0</v>
      </c>
      <c r="M214" s="22" t="s">
        <v>884</v>
      </c>
      <c r="N214" s="2"/>
      <c r="O214" s="2"/>
      <c r="P214" s="2"/>
      <c r="Q214" s="2"/>
      <c r="R214" s="2"/>
      <c r="S214" s="2"/>
      <c r="T214" s="2"/>
      <c r="U214" s="2"/>
      <c r="V214" s="2"/>
      <c r="W214" s="2"/>
      <c r="X214" s="2"/>
      <c r="Y214" s="2"/>
      <c r="Z214" s="2"/>
    </row>
    <row r="215" spans="1:26" ht="19.5" customHeight="1">
      <c r="A215" s="19" t="s">
        <v>885</v>
      </c>
      <c r="B215" s="20" t="s">
        <v>886</v>
      </c>
      <c r="C215" s="21">
        <v>1</v>
      </c>
      <c r="D215" s="22" t="s">
        <v>205</v>
      </c>
      <c r="E215" s="18">
        <v>0.04</v>
      </c>
      <c r="F215" s="18">
        <f>7/((225+325)/2)</f>
        <v>2.5454545454545455E-2</v>
      </c>
      <c r="G215" s="18">
        <f t="shared" ref="G215:G216" si="173">7/((56+46)/2)</f>
        <v>0.13725490196078433</v>
      </c>
      <c r="H215" s="18">
        <f t="shared" ref="H215:H216" si="174">3.5/((44+77)/2)</f>
        <v>5.7851239669421489E-2</v>
      </c>
      <c r="I215" s="18">
        <f>4/((36+25)/2)</f>
        <v>0.13114754098360656</v>
      </c>
      <c r="J215" s="18">
        <f>480/(2300)</f>
        <v>0.20869565217391303</v>
      </c>
      <c r="K215" s="18">
        <f t="shared" ref="K215:K216" si="175">2/((25+30)/2)</f>
        <v>7.2727272727272724E-2</v>
      </c>
      <c r="L215" s="18">
        <f t="shared" si="170"/>
        <v>0</v>
      </c>
      <c r="M215" s="22" t="s">
        <v>887</v>
      </c>
      <c r="N215" s="2"/>
      <c r="O215" s="2"/>
      <c r="P215" s="2"/>
      <c r="Q215" s="2"/>
      <c r="R215" s="2"/>
      <c r="S215" s="2"/>
      <c r="T215" s="2"/>
      <c r="U215" s="2"/>
      <c r="V215" s="2"/>
      <c r="W215" s="2"/>
      <c r="X215" s="2"/>
      <c r="Y215" s="2"/>
      <c r="Z215" s="2"/>
    </row>
    <row r="216" spans="1:26" ht="19.5" customHeight="1">
      <c r="A216" s="19" t="s">
        <v>888</v>
      </c>
      <c r="B216" s="20" t="s">
        <v>889</v>
      </c>
      <c r="C216" s="21">
        <v>1</v>
      </c>
      <c r="D216" s="22" t="s">
        <v>205</v>
      </c>
      <c r="E216" s="18">
        <v>3.5000000000000003E-2</v>
      </c>
      <c r="F216" s="18">
        <f>4/((225+325)/2)</f>
        <v>1.4545454545454545E-2</v>
      </c>
      <c r="G216" s="18">
        <f t="shared" si="173"/>
        <v>0.13725490196078433</v>
      </c>
      <c r="H216" s="18">
        <f t="shared" si="174"/>
        <v>5.7851239669421489E-2</v>
      </c>
      <c r="I216" s="18">
        <f t="shared" ref="I216:I217" si="176">1/((36+25)/2)</f>
        <v>3.2786885245901641E-2</v>
      </c>
      <c r="J216" s="18">
        <f>500/(2300)</f>
        <v>0.21739130434782608</v>
      </c>
      <c r="K216" s="18">
        <f t="shared" si="175"/>
        <v>7.2727272727272724E-2</v>
      </c>
      <c r="L216" s="18">
        <f t="shared" si="170"/>
        <v>0</v>
      </c>
      <c r="M216" s="22" t="s">
        <v>890</v>
      </c>
      <c r="N216" s="2"/>
      <c r="O216" s="2"/>
      <c r="P216" s="2"/>
      <c r="Q216" s="2"/>
      <c r="R216" s="2"/>
      <c r="S216" s="2"/>
      <c r="T216" s="2"/>
      <c r="U216" s="2"/>
      <c r="V216" s="2"/>
      <c r="W216" s="2"/>
      <c r="X216" s="2"/>
      <c r="Y216" s="2"/>
      <c r="Z216" s="2"/>
    </row>
    <row r="217" spans="1:26" ht="19.5" customHeight="1">
      <c r="A217" s="19" t="s">
        <v>891</v>
      </c>
      <c r="B217" s="20" t="s">
        <v>892</v>
      </c>
      <c r="C217" s="21">
        <v>1</v>
      </c>
      <c r="D217" s="22" t="s">
        <v>31</v>
      </c>
      <c r="E217" s="18">
        <v>5.0000000000000001E-3</v>
      </c>
      <c r="F217" s="18">
        <f>1/((225+325)/2)</f>
        <v>3.6363636363636364E-3</v>
      </c>
      <c r="G217" s="18">
        <f t="shared" ref="G217:G218" si="177">0/((56+46)/2)</f>
        <v>0</v>
      </c>
      <c r="H217" s="18">
        <f t="shared" ref="H217:H219" si="178">0/((44+77)/2)</f>
        <v>0</v>
      </c>
      <c r="I217" s="18">
        <f t="shared" si="176"/>
        <v>3.2786885245901641E-2</v>
      </c>
      <c r="J217" s="18">
        <f>200/(2300)</f>
        <v>8.6956521739130432E-2</v>
      </c>
      <c r="K217" s="18">
        <f>0/((25+30)/2)</f>
        <v>0</v>
      </c>
      <c r="L217" s="18">
        <f t="shared" si="170"/>
        <v>0</v>
      </c>
      <c r="M217" s="22" t="s">
        <v>893</v>
      </c>
      <c r="N217" s="2"/>
      <c r="O217" s="2"/>
      <c r="P217" s="2"/>
      <c r="Q217" s="2"/>
      <c r="R217" s="2"/>
      <c r="S217" s="2"/>
      <c r="T217" s="2"/>
      <c r="U217" s="2"/>
      <c r="V217" s="2"/>
      <c r="W217" s="2"/>
      <c r="X217" s="2"/>
      <c r="Y217" s="2"/>
      <c r="Z217" s="2"/>
    </row>
    <row r="218" spans="1:26" ht="19.5" customHeight="1">
      <c r="A218" s="19" t="s">
        <v>894</v>
      </c>
      <c r="B218" s="20" t="s">
        <v>895</v>
      </c>
      <c r="C218" s="21">
        <v>1</v>
      </c>
      <c r="D218" s="22" t="s">
        <v>896</v>
      </c>
      <c r="E218" s="18">
        <v>0.03</v>
      </c>
      <c r="F218" s="18">
        <f>15/((225+325)/2)</f>
        <v>5.4545454545454543E-2</v>
      </c>
      <c r="G218" s="18">
        <f t="shared" si="177"/>
        <v>0</v>
      </c>
      <c r="H218" s="18">
        <f t="shared" si="178"/>
        <v>0</v>
      </c>
      <c r="I218" s="18">
        <f>14/((36+25)/2)</f>
        <v>0.45901639344262296</v>
      </c>
      <c r="J218" s="18">
        <f>0/(2300)</f>
        <v>0</v>
      </c>
      <c r="K218" s="18">
        <f>1/((25+30)/2)</f>
        <v>3.6363636363636362E-2</v>
      </c>
      <c r="L218" s="18">
        <f t="shared" si="170"/>
        <v>0</v>
      </c>
      <c r="M218" s="22" t="s">
        <v>1099</v>
      </c>
      <c r="N218" s="2"/>
      <c r="O218" s="2"/>
      <c r="P218" s="2"/>
      <c r="Q218" s="2"/>
      <c r="R218" s="2"/>
      <c r="S218" s="2"/>
      <c r="T218" s="2"/>
      <c r="U218" s="2"/>
      <c r="V218" s="2"/>
      <c r="W218" s="2"/>
      <c r="X218" s="2"/>
      <c r="Y218" s="2"/>
      <c r="Z218" s="2"/>
    </row>
    <row r="219" spans="1:26" ht="19.5" customHeight="1">
      <c r="A219" s="19" t="s">
        <v>1100</v>
      </c>
      <c r="B219" s="20" t="s">
        <v>1101</v>
      </c>
      <c r="C219" s="21">
        <v>22.5</v>
      </c>
      <c r="D219" s="21"/>
      <c r="E219" s="18">
        <f>90/2000</f>
        <v>4.4999999999999998E-2</v>
      </c>
      <c r="F219" s="18">
        <f>0/((225+325)/2)</f>
        <v>0</v>
      </c>
      <c r="G219" s="18">
        <f>2/((56+46)/2)</f>
        <v>3.9215686274509803E-2</v>
      </c>
      <c r="H219" s="18">
        <f t="shared" si="178"/>
        <v>0</v>
      </c>
      <c r="I219" s="18">
        <f>0/((36+25)/2)</f>
        <v>0</v>
      </c>
      <c r="J219" s="18">
        <f>210/(2300)</f>
        <v>9.1304347826086957E-2</v>
      </c>
      <c r="K219" s="18">
        <f>3/((25+30)/2)</f>
        <v>0.10909090909090909</v>
      </c>
      <c r="L219" s="18">
        <f t="shared" si="170"/>
        <v>0</v>
      </c>
      <c r="M219" s="21"/>
      <c r="N219" s="2"/>
      <c r="O219" s="2"/>
      <c r="P219" s="2"/>
      <c r="Q219" s="2"/>
      <c r="R219" s="2"/>
      <c r="S219" s="2"/>
      <c r="T219" s="2"/>
      <c r="U219" s="2"/>
      <c r="V219" s="2"/>
      <c r="W219" s="2"/>
      <c r="X219" s="2"/>
      <c r="Y219" s="2"/>
      <c r="Z219" s="2"/>
    </row>
    <row r="220" spans="1:26" ht="19.5" customHeight="1">
      <c r="A220" s="19" t="s">
        <v>188</v>
      </c>
      <c r="B220" s="20" t="s">
        <v>189</v>
      </c>
      <c r="C220" s="22" t="s">
        <v>155</v>
      </c>
      <c r="D220" s="22" t="s">
        <v>17</v>
      </c>
      <c r="E220" s="18">
        <v>0.04</v>
      </c>
      <c r="F220" s="18">
        <f>4/((225+325)/2)</f>
        <v>1.4545454545454545E-2</v>
      </c>
      <c r="G220" s="18">
        <f>1/((56+46)/2)</f>
        <v>1.9607843137254902E-2</v>
      </c>
      <c r="H220" s="18">
        <f>7/((44+77)/2)</f>
        <v>0.11570247933884298</v>
      </c>
      <c r="I220" s="18">
        <f>3/((36+25)/2)</f>
        <v>9.8360655737704916E-2</v>
      </c>
      <c r="J220" s="18">
        <f>340/(2300)</f>
        <v>0.14782608695652175</v>
      </c>
      <c r="K220" s="18">
        <f>1/((25+30)/2)</f>
        <v>3.6363636363636362E-2</v>
      </c>
      <c r="L220" s="18">
        <f t="shared" si="170"/>
        <v>0</v>
      </c>
      <c r="M220" s="22" t="s">
        <v>190</v>
      </c>
      <c r="N220" s="2"/>
      <c r="O220" s="2"/>
      <c r="P220" s="2"/>
      <c r="Q220" s="2"/>
      <c r="R220" s="2"/>
      <c r="S220" s="2"/>
      <c r="T220" s="2"/>
      <c r="U220" s="2"/>
      <c r="V220" s="2"/>
      <c r="W220" s="2"/>
      <c r="X220" s="2"/>
      <c r="Y220" s="2"/>
      <c r="Z220" s="2"/>
    </row>
    <row r="221" spans="1:26" ht="19.5" customHeight="1">
      <c r="A221" s="19" t="s">
        <v>191</v>
      </c>
      <c r="B221" s="20" t="s">
        <v>192</v>
      </c>
      <c r="C221" s="22" t="s">
        <v>155</v>
      </c>
      <c r="D221" s="22" t="s">
        <v>17</v>
      </c>
      <c r="E221" s="18">
        <v>0.14499999999999999</v>
      </c>
      <c r="F221" s="18">
        <f>29/((225+325)/2)</f>
        <v>0.10545454545454545</v>
      </c>
      <c r="G221" s="18">
        <f>11/((56+46)/2)</f>
        <v>0.21568627450980393</v>
      </c>
      <c r="H221" s="18">
        <f>15/((44+77)/2)</f>
        <v>0.24793388429752067</v>
      </c>
      <c r="I221" s="18">
        <f>11/((36+25)/2)</f>
        <v>0.36065573770491804</v>
      </c>
      <c r="J221" s="18">
        <f>50/(2300)</f>
        <v>2.1739130434782608E-2</v>
      </c>
      <c r="K221" s="18">
        <f>5/((25+30)/2)</f>
        <v>0.18181818181818182</v>
      </c>
      <c r="L221" s="18">
        <f t="shared" si="170"/>
        <v>0</v>
      </c>
      <c r="M221" s="22" t="s">
        <v>194</v>
      </c>
      <c r="N221" s="2"/>
      <c r="O221" s="2"/>
      <c r="P221" s="2"/>
      <c r="Q221" s="2"/>
      <c r="R221" s="2"/>
      <c r="S221" s="2"/>
      <c r="T221" s="2"/>
      <c r="U221" s="2"/>
      <c r="V221" s="2"/>
      <c r="W221" s="2"/>
      <c r="X221" s="2"/>
      <c r="Y221" s="2"/>
      <c r="Z221" s="2"/>
    </row>
    <row r="222" spans="1:26" ht="19.5" customHeight="1">
      <c r="A222" s="19" t="s">
        <v>195</v>
      </c>
      <c r="B222" s="20" t="s">
        <v>196</v>
      </c>
      <c r="C222" s="22" t="s">
        <v>155</v>
      </c>
      <c r="D222" s="22" t="s">
        <v>17</v>
      </c>
      <c r="E222" s="18">
        <v>4.4999999999999998E-2</v>
      </c>
      <c r="F222" s="18">
        <f>13/((225+325)/2)</f>
        <v>4.7272727272727272E-2</v>
      </c>
      <c r="G222" s="18">
        <f>12/((56+46)/2)</f>
        <v>0.23529411764705882</v>
      </c>
      <c r="H222" s="18">
        <f>2/((44+77)/2)</f>
        <v>3.3057851239669422E-2</v>
      </c>
      <c r="I222" s="18">
        <f>1/((36+25)/2)</f>
        <v>3.2786885245901641E-2</v>
      </c>
      <c r="J222" s="18">
        <f>120/(2300)</f>
        <v>5.2173913043478258E-2</v>
      </c>
      <c r="K222" s="18">
        <f>7/((25+30)/2)</f>
        <v>0.25454545454545452</v>
      </c>
      <c r="L222" s="18">
        <f t="shared" si="170"/>
        <v>0</v>
      </c>
      <c r="M222" s="22" t="s">
        <v>1102</v>
      </c>
      <c r="N222" s="2"/>
      <c r="O222" s="2"/>
      <c r="P222" s="2"/>
      <c r="Q222" s="2"/>
      <c r="R222" s="2"/>
      <c r="S222" s="2"/>
      <c r="T222" s="2"/>
      <c r="U222" s="2"/>
      <c r="V222" s="2"/>
      <c r="W222" s="2"/>
      <c r="X222" s="2"/>
      <c r="Y222" s="2"/>
      <c r="Z222" s="2"/>
    </row>
    <row r="223" spans="1:26" ht="19.5" customHeight="1">
      <c r="A223" s="19" t="s">
        <v>103</v>
      </c>
      <c r="B223" s="20" t="s">
        <v>104</v>
      </c>
      <c r="C223" s="22" t="s">
        <v>69</v>
      </c>
      <c r="D223" s="22" t="s">
        <v>17</v>
      </c>
      <c r="E223" s="18">
        <v>8.5000000000000006E-2</v>
      </c>
      <c r="F223" s="18">
        <f>7/((225+325)/2)</f>
        <v>2.5454545454545455E-2</v>
      </c>
      <c r="G223" s="18">
        <f>4/((56+46)/2)</f>
        <v>7.8431372549019607E-2</v>
      </c>
      <c r="H223" s="18">
        <f>15/((44+77)/2)</f>
        <v>0.24793388429752067</v>
      </c>
      <c r="I223" s="18">
        <f>4/((36+25)/2)</f>
        <v>0.13114754098360656</v>
      </c>
      <c r="J223" s="18">
        <f t="shared" ref="J223:J224" si="179">10/(2300)</f>
        <v>4.3478260869565218E-3</v>
      </c>
      <c r="K223" s="18">
        <f>2/((25+30)/2)</f>
        <v>7.2727272727272724E-2</v>
      </c>
      <c r="L223" s="18">
        <f t="shared" si="170"/>
        <v>0</v>
      </c>
      <c r="M223" s="22" t="s">
        <v>105</v>
      </c>
      <c r="N223" s="2"/>
      <c r="O223" s="2"/>
      <c r="P223" s="2"/>
      <c r="Q223" s="2"/>
      <c r="R223" s="2"/>
      <c r="S223" s="2"/>
      <c r="T223" s="2"/>
      <c r="U223" s="2"/>
      <c r="V223" s="2"/>
      <c r="W223" s="2"/>
      <c r="X223" s="2"/>
      <c r="Y223" s="2"/>
      <c r="Z223" s="2"/>
    </row>
    <row r="224" spans="1:26" ht="19.5" customHeight="1">
      <c r="A224" s="19" t="s">
        <v>106</v>
      </c>
      <c r="B224" s="20" t="s">
        <v>107</v>
      </c>
      <c r="C224" s="22" t="s">
        <v>69</v>
      </c>
      <c r="D224" s="22" t="s">
        <v>17</v>
      </c>
      <c r="E224" s="18">
        <v>0.08</v>
      </c>
      <c r="F224" s="18">
        <f>8/((225+325)/2)</f>
        <v>2.9090909090909091E-2</v>
      </c>
      <c r="G224" s="18">
        <f>3/((56+46)/2)</f>
        <v>5.8823529411764705E-2</v>
      </c>
      <c r="H224" s="18">
        <f>14/((44+77)/2)</f>
        <v>0.23140495867768596</v>
      </c>
      <c r="I224" s="18">
        <f>5/((36+25)/2)</f>
        <v>0.16393442622950818</v>
      </c>
      <c r="J224" s="18">
        <f t="shared" si="179"/>
        <v>4.3478260869565218E-3</v>
      </c>
      <c r="K224" s="18">
        <f>3/((25+30)/2)</f>
        <v>0.10909090909090909</v>
      </c>
      <c r="L224" s="18">
        <f t="shared" si="170"/>
        <v>0</v>
      </c>
      <c r="M224" s="22" t="s">
        <v>109</v>
      </c>
      <c r="N224" s="2"/>
      <c r="O224" s="2"/>
      <c r="P224" s="2"/>
      <c r="Q224" s="2"/>
      <c r="R224" s="2"/>
      <c r="S224" s="2"/>
      <c r="T224" s="2"/>
      <c r="U224" s="2"/>
      <c r="V224" s="2"/>
      <c r="W224" s="2"/>
      <c r="X224" s="2"/>
      <c r="Y224" s="2"/>
      <c r="Z224" s="2"/>
    </row>
    <row r="225" spans="1:26" ht="19.5" customHeight="1">
      <c r="A225" s="19" t="s">
        <v>898</v>
      </c>
      <c r="B225" s="20" t="s">
        <v>899</v>
      </c>
      <c r="C225" s="21">
        <v>1</v>
      </c>
      <c r="D225" s="22" t="s">
        <v>599</v>
      </c>
      <c r="E225" s="18">
        <v>0.09</v>
      </c>
      <c r="F225" s="18">
        <f>29/((225+325)/2)</f>
        <v>0.10545454545454545</v>
      </c>
      <c r="G225" s="18">
        <f>16/((56+46)/2)</f>
        <v>0.31372549019607843</v>
      </c>
      <c r="H225" s="18">
        <f>9/((44+77)/2)</f>
        <v>0.1487603305785124</v>
      </c>
      <c r="I225" s="18">
        <f>12/((36+25)/2)</f>
        <v>0.39344262295081966</v>
      </c>
      <c r="J225" s="18">
        <f>230/(2300)</f>
        <v>0.1</v>
      </c>
      <c r="K225" s="18">
        <f>10/((25+30)/2)</f>
        <v>0.36363636363636365</v>
      </c>
      <c r="L225" s="18">
        <f>10/(300)</f>
        <v>3.3333333333333333E-2</v>
      </c>
      <c r="M225" s="22" t="s">
        <v>1103</v>
      </c>
      <c r="N225" s="2"/>
      <c r="O225" s="2"/>
      <c r="P225" s="2"/>
      <c r="Q225" s="2"/>
      <c r="R225" s="2"/>
      <c r="S225" s="2"/>
      <c r="T225" s="2"/>
      <c r="U225" s="2"/>
      <c r="V225" s="2"/>
      <c r="W225" s="2"/>
      <c r="X225" s="2"/>
      <c r="Y225" s="2"/>
      <c r="Z225" s="2"/>
    </row>
    <row r="226" spans="1:26" ht="19.5" customHeight="1">
      <c r="A226" s="19" t="s">
        <v>901</v>
      </c>
      <c r="B226" s="20" t="s">
        <v>902</v>
      </c>
      <c r="C226" s="21">
        <v>1</v>
      </c>
      <c r="D226" s="22" t="s">
        <v>778</v>
      </c>
      <c r="E226" s="18">
        <v>0.08</v>
      </c>
      <c r="F226" s="18">
        <f>19/((225+325)/2)</f>
        <v>6.9090909090909092E-2</v>
      </c>
      <c r="G226" s="18">
        <f>11/((56+46)/2)</f>
        <v>0.21568627450980393</v>
      </c>
      <c r="H226" s="18">
        <f>40/((44+77)/2)</f>
        <v>0.66115702479338845</v>
      </c>
      <c r="I226" s="18">
        <f>17/((36+25)/2)</f>
        <v>0.55737704918032782</v>
      </c>
      <c r="J226" s="18">
        <f>60/(2300)</f>
        <v>2.6086956521739129E-2</v>
      </c>
      <c r="K226" s="18">
        <f>1/((25+30)/2)</f>
        <v>3.6363636363636362E-2</v>
      </c>
      <c r="L226" s="18">
        <f>20/(300)</f>
        <v>6.6666666666666666E-2</v>
      </c>
      <c r="M226" s="22" t="s">
        <v>903</v>
      </c>
      <c r="N226" s="2"/>
      <c r="O226" s="2"/>
      <c r="P226" s="2"/>
      <c r="Q226" s="2"/>
      <c r="R226" s="2"/>
      <c r="S226" s="2"/>
      <c r="T226" s="2"/>
      <c r="U226" s="2"/>
      <c r="V226" s="2"/>
      <c r="W226" s="2"/>
      <c r="X226" s="2"/>
      <c r="Y226" s="2"/>
      <c r="Z226" s="2"/>
    </row>
    <row r="227" spans="1:26" ht="19.5" customHeight="1">
      <c r="A227" s="19" t="s">
        <v>904</v>
      </c>
      <c r="B227" s="20" t="s">
        <v>905</v>
      </c>
      <c r="C227" s="21">
        <v>1</v>
      </c>
      <c r="D227" s="22" t="s">
        <v>599</v>
      </c>
      <c r="E227" s="18">
        <v>0.1</v>
      </c>
      <c r="F227" s="18">
        <f>22/((225+325)/2)</f>
        <v>0.08</v>
      </c>
      <c r="G227" s="18">
        <f>20/((56+46)/2)</f>
        <v>0.39215686274509803</v>
      </c>
      <c r="H227" s="18">
        <f>8/((44+77)/2)</f>
        <v>0.13223140495867769</v>
      </c>
      <c r="I227" s="18">
        <f>1/((36+25)/2)</f>
        <v>3.2786885245901641E-2</v>
      </c>
      <c r="J227" s="18">
        <f>210/(2300)</f>
        <v>9.1304347826086957E-2</v>
      </c>
      <c r="K227" s="18">
        <f>16/((25+30)/2)</f>
        <v>0.58181818181818179</v>
      </c>
      <c r="L227" s="18">
        <f>5/(300)</f>
        <v>1.6666666666666666E-2</v>
      </c>
      <c r="M227" s="22" t="s">
        <v>906</v>
      </c>
      <c r="N227" s="2"/>
      <c r="O227" s="2"/>
      <c r="P227" s="2"/>
      <c r="Q227" s="2"/>
      <c r="R227" s="2"/>
      <c r="S227" s="2"/>
      <c r="T227" s="2"/>
      <c r="U227" s="2"/>
      <c r="V227" s="2"/>
      <c r="W227" s="2"/>
      <c r="X227" s="2"/>
      <c r="Y227" s="2"/>
      <c r="Z227" s="2"/>
    </row>
    <row r="228" spans="1:26" ht="19.5" customHeight="1">
      <c r="A228" s="19" t="s">
        <v>907</v>
      </c>
      <c r="B228" s="20" t="s">
        <v>908</v>
      </c>
      <c r="C228" s="21">
        <v>1</v>
      </c>
      <c r="D228" s="22" t="s">
        <v>909</v>
      </c>
      <c r="E228" s="18">
        <v>0.1</v>
      </c>
      <c r="F228" s="18">
        <f>19/((225+325)/2)</f>
        <v>6.9090909090909092E-2</v>
      </c>
      <c r="G228" s="18">
        <f>16/((56+46)/2)</f>
        <v>0.31372549019607843</v>
      </c>
      <c r="H228" s="18">
        <f>6/((44+77)/2)</f>
        <v>9.9173553719008267E-2</v>
      </c>
      <c r="I228" s="18">
        <f>2/((36+25)/2)</f>
        <v>6.5573770491803282E-2</v>
      </c>
      <c r="J228" s="18">
        <f>490/(2300)</f>
        <v>0.21304347826086956</v>
      </c>
      <c r="K228" s="18">
        <f t="shared" ref="K228:K229" si="180">2/((25+30)/2)</f>
        <v>7.2727272727272724E-2</v>
      </c>
      <c r="L228" s="18">
        <f>40/(300)</f>
        <v>0.13333333333333333</v>
      </c>
      <c r="M228" s="22" t="s">
        <v>910</v>
      </c>
      <c r="N228" s="2"/>
      <c r="O228" s="2"/>
      <c r="P228" s="2"/>
      <c r="Q228" s="2"/>
      <c r="R228" s="2"/>
      <c r="S228" s="2"/>
      <c r="T228" s="2"/>
      <c r="U228" s="2"/>
      <c r="V228" s="2"/>
      <c r="W228" s="2"/>
      <c r="X228" s="2"/>
      <c r="Y228" s="2"/>
      <c r="Z228" s="2"/>
    </row>
    <row r="229" spans="1:26" ht="19.5" customHeight="1">
      <c r="A229" s="19" t="s">
        <v>911</v>
      </c>
      <c r="B229" s="20" t="s">
        <v>912</v>
      </c>
      <c r="C229" s="21">
        <v>1</v>
      </c>
      <c r="D229" s="22" t="s">
        <v>909</v>
      </c>
      <c r="E229" s="18">
        <v>0.105</v>
      </c>
      <c r="F229" s="18">
        <f>17/((225+325)/2)</f>
        <v>6.1818181818181821E-2</v>
      </c>
      <c r="G229" s="18">
        <f>14/((56+46)/2)</f>
        <v>0.27450980392156865</v>
      </c>
      <c r="H229" s="18">
        <f>10/((44+77)/2)</f>
        <v>0.16528925619834711</v>
      </c>
      <c r="I229" s="18">
        <f>0/((36+25)/2)</f>
        <v>0</v>
      </c>
      <c r="J229" s="18">
        <f>510/(2300)</f>
        <v>0.22173913043478261</v>
      </c>
      <c r="K229" s="18">
        <f t="shared" si="180"/>
        <v>7.2727272727272724E-2</v>
      </c>
      <c r="L229" s="18">
        <f>90/(300)</f>
        <v>0.3</v>
      </c>
      <c r="M229" s="22" t="s">
        <v>913</v>
      </c>
      <c r="N229" s="2"/>
      <c r="O229" s="2"/>
      <c r="P229" s="2"/>
      <c r="Q229" s="2"/>
      <c r="R229" s="2"/>
      <c r="S229" s="2"/>
      <c r="T229" s="2"/>
      <c r="U229" s="2"/>
      <c r="V229" s="2"/>
      <c r="W229" s="2"/>
      <c r="X229" s="2"/>
      <c r="Y229" s="2"/>
      <c r="Z229" s="2"/>
    </row>
    <row r="230" spans="1:26" ht="19.5" customHeight="1">
      <c r="A230" s="19" t="s">
        <v>914</v>
      </c>
      <c r="B230" s="20" t="s">
        <v>915</v>
      </c>
      <c r="C230" s="21">
        <v>1</v>
      </c>
      <c r="D230" s="22" t="s">
        <v>200</v>
      </c>
      <c r="E230" s="18">
        <v>0.03</v>
      </c>
      <c r="F230" s="18">
        <f>11/((225+325)/2)</f>
        <v>0.04</v>
      </c>
      <c r="G230" s="18">
        <f t="shared" ref="G230:G231" si="181">2/((56+46)/2)</f>
        <v>3.9215686274509803E-2</v>
      </c>
      <c r="H230" s="18">
        <f>2/((44+77)/2)</f>
        <v>3.3057851239669422E-2</v>
      </c>
      <c r="I230" s="18">
        <f>5/((36+25)/2)</f>
        <v>0.16393442622950818</v>
      </c>
      <c r="J230" s="18">
        <f>45/(2300)</f>
        <v>1.9565217391304349E-2</v>
      </c>
      <c r="K230" s="18">
        <f t="shared" ref="K230:K232" si="182">1/((25+30)/2)</f>
        <v>3.6363636363636362E-2</v>
      </c>
      <c r="L230" s="18">
        <f>15/(300)</f>
        <v>0.05</v>
      </c>
      <c r="M230" s="22" t="s">
        <v>916</v>
      </c>
      <c r="N230" s="2"/>
      <c r="O230" s="2"/>
      <c r="P230" s="2"/>
      <c r="Q230" s="2"/>
      <c r="R230" s="2"/>
      <c r="S230" s="2"/>
      <c r="T230" s="2"/>
      <c r="U230" s="2"/>
      <c r="V230" s="2"/>
      <c r="W230" s="2"/>
      <c r="X230" s="2"/>
      <c r="Y230" s="2"/>
      <c r="Z230" s="2"/>
    </row>
    <row r="231" spans="1:26" ht="19.5" customHeight="1">
      <c r="A231" s="19" t="s">
        <v>917</v>
      </c>
      <c r="B231" s="20" t="s">
        <v>918</v>
      </c>
      <c r="C231" s="21">
        <v>1</v>
      </c>
      <c r="D231" s="22" t="s">
        <v>624</v>
      </c>
      <c r="E231" s="18">
        <v>0.04</v>
      </c>
      <c r="F231" s="18">
        <f>8/((225+325)/2)</f>
        <v>2.9090909090909091E-2</v>
      </c>
      <c r="G231" s="18">
        <f t="shared" si="181"/>
        <v>3.9215686274509803E-2</v>
      </c>
      <c r="H231" s="18">
        <f>4/((44+77)/2)</f>
        <v>6.6115702479338845E-2</v>
      </c>
      <c r="I231" s="18">
        <f>2/((36+25)/2)</f>
        <v>6.5573770491803282E-2</v>
      </c>
      <c r="J231" s="18">
        <f>80/(2300)</f>
        <v>3.4782608695652174E-2</v>
      </c>
      <c r="K231" s="18">
        <f t="shared" si="182"/>
        <v>3.6363636363636362E-2</v>
      </c>
      <c r="L231" s="18">
        <f>25/(300)</f>
        <v>8.3333333333333329E-2</v>
      </c>
      <c r="M231" s="22" t="s">
        <v>919</v>
      </c>
      <c r="N231" s="2"/>
      <c r="O231" s="2"/>
      <c r="P231" s="2"/>
      <c r="Q231" s="2"/>
      <c r="R231" s="2"/>
      <c r="S231" s="2"/>
      <c r="T231" s="2"/>
      <c r="U231" s="2"/>
      <c r="V231" s="2"/>
      <c r="W231" s="2"/>
      <c r="X231" s="2"/>
      <c r="Y231" s="2"/>
      <c r="Z231" s="2"/>
    </row>
    <row r="232" spans="1:26" ht="19.5" customHeight="1">
      <c r="A232" s="19" t="s">
        <v>920</v>
      </c>
      <c r="B232" s="20" t="s">
        <v>921</v>
      </c>
      <c r="C232" s="21">
        <v>1</v>
      </c>
      <c r="D232" s="22" t="s">
        <v>922</v>
      </c>
      <c r="E232" s="18">
        <v>0.04</v>
      </c>
      <c r="F232" s="18">
        <f>6/((225+325)/2)</f>
        <v>2.181818181818182E-2</v>
      </c>
      <c r="G232" s="18">
        <f>5/((56+46)/2)</f>
        <v>9.8039215686274508E-2</v>
      </c>
      <c r="H232" s="18">
        <f>4.5/((44+77)/2)</f>
        <v>7.43801652892562E-2</v>
      </c>
      <c r="I232" s="18">
        <f>1/((36+25)/2)</f>
        <v>3.2786885245901641E-2</v>
      </c>
      <c r="J232" s="18">
        <f>170/(2300)</f>
        <v>7.3913043478260873E-2</v>
      </c>
      <c r="K232" s="18">
        <f t="shared" si="182"/>
        <v>3.6363636363636362E-2</v>
      </c>
      <c r="L232" s="18">
        <f>70/(300)</f>
        <v>0.23333333333333334</v>
      </c>
      <c r="M232" s="22" t="s">
        <v>923</v>
      </c>
      <c r="N232" s="2"/>
      <c r="O232" s="2"/>
      <c r="P232" s="2"/>
      <c r="Q232" s="2"/>
      <c r="R232" s="2"/>
      <c r="S232" s="2"/>
      <c r="T232" s="2"/>
      <c r="U232" s="2"/>
      <c r="V232" s="2"/>
      <c r="W232" s="2"/>
      <c r="X232" s="2"/>
      <c r="Y232" s="2"/>
      <c r="Z232" s="2"/>
    </row>
    <row r="233" spans="1:26" ht="19.5" customHeight="1">
      <c r="A233" s="19" t="s">
        <v>924</v>
      </c>
      <c r="B233" s="20" t="s">
        <v>1104</v>
      </c>
      <c r="C233" s="21">
        <v>1</v>
      </c>
      <c r="D233" s="22" t="s">
        <v>909</v>
      </c>
      <c r="E233" s="18">
        <v>0.12</v>
      </c>
      <c r="F233" s="18">
        <f>20/((225+325)/2)</f>
        <v>7.2727272727272724E-2</v>
      </c>
      <c r="G233" s="18">
        <f>14/((56+46)/2)</f>
        <v>0.27450980392156865</v>
      </c>
      <c r="H233" s="18">
        <f>12/((44+77)/2)</f>
        <v>0.19834710743801653</v>
      </c>
      <c r="I233" s="18">
        <f>3/((36+25)/2)</f>
        <v>9.8360655737704916E-2</v>
      </c>
      <c r="J233" s="18">
        <f>700/(2300)</f>
        <v>0.30434782608695654</v>
      </c>
      <c r="K233" s="18">
        <f t="shared" ref="K233:K234" si="183">3/((25+30)/2)</f>
        <v>0.10909090909090909</v>
      </c>
      <c r="L233" s="18">
        <f>160/(300)</f>
        <v>0.53333333333333333</v>
      </c>
      <c r="M233" s="22" t="s">
        <v>926</v>
      </c>
      <c r="N233" s="2"/>
      <c r="O233" s="2"/>
      <c r="P233" s="2"/>
      <c r="Q233" s="2"/>
      <c r="R233" s="2"/>
      <c r="S233" s="2"/>
      <c r="T233" s="2"/>
      <c r="U233" s="2"/>
      <c r="V233" s="2"/>
      <c r="W233" s="2"/>
      <c r="X233" s="2"/>
      <c r="Y233" s="2"/>
      <c r="Z233" s="2"/>
    </row>
    <row r="234" spans="1:26" ht="19.5" customHeight="1">
      <c r="A234" s="19" t="s">
        <v>1063</v>
      </c>
      <c r="B234" s="20" t="s">
        <v>1064</v>
      </c>
      <c r="C234" s="21">
        <v>0.5</v>
      </c>
      <c r="D234" s="22" t="s">
        <v>200</v>
      </c>
      <c r="E234" s="18">
        <v>0.04</v>
      </c>
      <c r="F234" s="18">
        <f>16/((225+325)/2)</f>
        <v>5.8181818181818182E-2</v>
      </c>
      <c r="G234" s="18">
        <f>4/((56+46)/2)</f>
        <v>7.8431372549019607E-2</v>
      </c>
      <c r="H234" s="18">
        <f>1/((44+77)/2)</f>
        <v>1.6528925619834711E-2</v>
      </c>
      <c r="I234" s="18">
        <f>0/((36+25)/2)</f>
        <v>0</v>
      </c>
      <c r="J234" s="18">
        <f>120/(2300)</f>
        <v>5.2173913043478258E-2</v>
      </c>
      <c r="K234" s="18">
        <f t="shared" si="183"/>
        <v>0.10909090909090909</v>
      </c>
      <c r="L234" s="18">
        <f t="shared" ref="L234:L238" si="184">0/(300)</f>
        <v>0</v>
      </c>
      <c r="M234" s="22" t="s">
        <v>1065</v>
      </c>
      <c r="N234" s="2"/>
      <c r="O234" s="2"/>
      <c r="P234" s="2"/>
      <c r="Q234" s="2"/>
      <c r="R234" s="2"/>
      <c r="S234" s="2"/>
      <c r="T234" s="2"/>
      <c r="U234" s="2"/>
      <c r="V234" s="2"/>
      <c r="W234" s="2"/>
      <c r="X234" s="2"/>
      <c r="Y234" s="2"/>
      <c r="Z234" s="2"/>
    </row>
    <row r="235" spans="1:26" ht="19.5" customHeight="1">
      <c r="A235" s="19" t="s">
        <v>927</v>
      </c>
      <c r="B235" s="20" t="s">
        <v>928</v>
      </c>
      <c r="C235" s="21">
        <v>1</v>
      </c>
      <c r="D235" s="22" t="s">
        <v>929</v>
      </c>
      <c r="E235" s="18">
        <v>0.04</v>
      </c>
      <c r="F235" s="18">
        <f>19/((225+325)/2)</f>
        <v>6.9090909090909092E-2</v>
      </c>
      <c r="G235" s="18">
        <f t="shared" ref="G235:G237" si="185">3/((56+46)/2)</f>
        <v>5.8823529411764705E-2</v>
      </c>
      <c r="H235" s="18">
        <f>0.5/((44+77)/2)</f>
        <v>8.2644628099173556E-3</v>
      </c>
      <c r="I235" s="18">
        <f>6/((36+25)/2)</f>
        <v>0.19672131147540983</v>
      </c>
      <c r="J235" s="18">
        <f>60/(2300)</f>
        <v>2.6086956521739129E-2</v>
      </c>
      <c r="K235" s="18">
        <f>2/((25+30)/2)</f>
        <v>7.2727272727272724E-2</v>
      </c>
      <c r="L235" s="18">
        <f t="shared" si="184"/>
        <v>0</v>
      </c>
      <c r="M235" s="22" t="s">
        <v>931</v>
      </c>
      <c r="N235" s="2"/>
      <c r="O235" s="2"/>
      <c r="P235" s="2"/>
      <c r="Q235" s="2"/>
      <c r="R235" s="2"/>
      <c r="S235" s="2"/>
      <c r="T235" s="2"/>
      <c r="U235" s="2"/>
      <c r="V235" s="2"/>
      <c r="W235" s="2"/>
      <c r="X235" s="2"/>
      <c r="Y235" s="2"/>
      <c r="Z235" s="2"/>
    </row>
    <row r="236" spans="1:26" ht="19.5" customHeight="1">
      <c r="A236" s="19" t="s">
        <v>560</v>
      </c>
      <c r="B236" s="20" t="s">
        <v>561</v>
      </c>
      <c r="C236" s="21">
        <v>2</v>
      </c>
      <c r="D236" s="22" t="s">
        <v>562</v>
      </c>
      <c r="E236" s="18">
        <v>7.0000000000000007E-2</v>
      </c>
      <c r="F236" s="18">
        <f t="shared" ref="F236:F237" si="186">25/((225+325)/2)</f>
        <v>9.0909090909090912E-2</v>
      </c>
      <c r="G236" s="18">
        <f t="shared" si="185"/>
        <v>5.8823529411764705E-2</v>
      </c>
      <c r="H236" s="18">
        <f t="shared" ref="H236:H237" si="187">5/((44+77)/2)</f>
        <v>8.2644628099173556E-2</v>
      </c>
      <c r="I236" s="18">
        <f t="shared" ref="I236:I237" si="188">3/((36+25)/2)</f>
        <v>9.8360655737704916E-2</v>
      </c>
      <c r="J236" s="18">
        <f t="shared" ref="J236:J237" si="189">310/(2300)</f>
        <v>0.13478260869565217</v>
      </c>
      <c r="K236" s="18">
        <f t="shared" ref="K236:K237" si="190">7/((25+30)/2)</f>
        <v>0.25454545454545452</v>
      </c>
      <c r="L236" s="18">
        <f t="shared" si="184"/>
        <v>0</v>
      </c>
      <c r="M236" s="22" t="s">
        <v>563</v>
      </c>
      <c r="N236" s="2"/>
      <c r="O236" s="2"/>
      <c r="P236" s="2"/>
      <c r="Q236" s="2"/>
      <c r="R236" s="2"/>
      <c r="S236" s="2"/>
      <c r="T236" s="2"/>
      <c r="U236" s="2"/>
      <c r="V236" s="2"/>
      <c r="W236" s="2"/>
      <c r="X236" s="2"/>
      <c r="Y236" s="2"/>
      <c r="Z236" s="2"/>
    </row>
    <row r="237" spans="1:26" ht="19.5" customHeight="1">
      <c r="A237" s="19" t="s">
        <v>564</v>
      </c>
      <c r="B237" s="20" t="s">
        <v>565</v>
      </c>
      <c r="C237" s="21">
        <v>2</v>
      </c>
      <c r="D237" s="22" t="s">
        <v>562</v>
      </c>
      <c r="E237" s="18">
        <v>7.0000000000000007E-2</v>
      </c>
      <c r="F237" s="18">
        <f t="shared" si="186"/>
        <v>9.0909090909090912E-2</v>
      </c>
      <c r="G237" s="18">
        <f t="shared" si="185"/>
        <v>5.8823529411764705E-2</v>
      </c>
      <c r="H237" s="18">
        <f t="shared" si="187"/>
        <v>8.2644628099173556E-2</v>
      </c>
      <c r="I237" s="18">
        <f t="shared" si="188"/>
        <v>9.8360655737704916E-2</v>
      </c>
      <c r="J237" s="18">
        <f t="shared" si="189"/>
        <v>0.13478260869565217</v>
      </c>
      <c r="K237" s="18">
        <f t="shared" si="190"/>
        <v>0.25454545454545452</v>
      </c>
      <c r="L237" s="18">
        <f t="shared" si="184"/>
        <v>0</v>
      </c>
      <c r="M237" s="22" t="s">
        <v>566</v>
      </c>
      <c r="N237" s="2"/>
      <c r="O237" s="2"/>
      <c r="P237" s="2"/>
      <c r="Q237" s="2"/>
      <c r="R237" s="2"/>
      <c r="S237" s="2"/>
      <c r="T237" s="2"/>
      <c r="U237" s="2"/>
      <c r="V237" s="2"/>
      <c r="W237" s="2"/>
      <c r="X237" s="2"/>
      <c r="Y237" s="2"/>
      <c r="Z237" s="2"/>
    </row>
    <row r="238" spans="1:26" ht="19.5" customHeight="1">
      <c r="A238" s="19" t="s">
        <v>33</v>
      </c>
      <c r="B238" s="20" t="s">
        <v>34</v>
      </c>
      <c r="C238" s="22" t="s">
        <v>35</v>
      </c>
      <c r="D238" s="22" t="s">
        <v>17</v>
      </c>
      <c r="E238" s="18">
        <v>0.06</v>
      </c>
      <c r="F238" s="18">
        <f>19/((225+325)/2)</f>
        <v>6.9090909090909092E-2</v>
      </c>
      <c r="G238" s="18">
        <f>10/((56+46)/2)</f>
        <v>0.19607843137254902</v>
      </c>
      <c r="H238" s="18">
        <f>1/((44+77)/2)</f>
        <v>1.6528925619834711E-2</v>
      </c>
      <c r="I238" s="18">
        <f>7/((36+25)/2)</f>
        <v>0.22950819672131148</v>
      </c>
      <c r="J238" s="18">
        <f>190/(2300)</f>
        <v>8.2608695652173908E-2</v>
      </c>
      <c r="K238" s="18">
        <f>3/((25+30)/2)</f>
        <v>0.10909090909090909</v>
      </c>
      <c r="L238" s="18">
        <f t="shared" si="184"/>
        <v>0</v>
      </c>
      <c r="M238" s="22" t="s">
        <v>36</v>
      </c>
      <c r="N238" s="2"/>
      <c r="O238" s="2"/>
      <c r="P238" s="2"/>
      <c r="Q238" s="2"/>
      <c r="R238" s="2"/>
      <c r="S238" s="2"/>
      <c r="T238" s="2"/>
      <c r="U238" s="2"/>
      <c r="V238" s="2"/>
      <c r="W238" s="2"/>
      <c r="X238" s="2"/>
      <c r="Y238" s="2"/>
      <c r="Z238" s="2"/>
    </row>
    <row r="239" spans="1:26" ht="19.5" customHeight="1">
      <c r="A239" s="19" t="s">
        <v>455</v>
      </c>
      <c r="B239" s="20" t="s">
        <v>456</v>
      </c>
      <c r="C239" s="21">
        <v>3</v>
      </c>
      <c r="D239" s="22" t="s">
        <v>440</v>
      </c>
      <c r="E239" s="18">
        <v>5.5E-2</v>
      </c>
      <c r="F239" s="18">
        <f>2/((225+325)/2)</f>
        <v>7.2727272727272727E-3</v>
      </c>
      <c r="G239" s="18">
        <f>9/((56+46)/2)</f>
        <v>0.17647058823529413</v>
      </c>
      <c r="H239" s="18">
        <f>7/((44+77)/2)</f>
        <v>0.11570247933884298</v>
      </c>
      <c r="I239" s="18">
        <f>2/((36+25)/2)</f>
        <v>6.5573770491803282E-2</v>
      </c>
      <c r="J239" s="18">
        <f>390/(2300)</f>
        <v>0.16956521739130434</v>
      </c>
      <c r="K239" s="18">
        <f t="shared" ref="K239:K241" si="191">0/((25+30)/2)</f>
        <v>0</v>
      </c>
      <c r="L239" s="18">
        <f>45/(300)</f>
        <v>0.15</v>
      </c>
      <c r="M239" s="22" t="s">
        <v>458</v>
      </c>
      <c r="N239" s="2"/>
      <c r="O239" s="2"/>
      <c r="P239" s="2"/>
      <c r="Q239" s="2"/>
      <c r="R239" s="2"/>
      <c r="S239" s="2"/>
      <c r="T239" s="2"/>
      <c r="U239" s="2"/>
      <c r="V239" s="2"/>
      <c r="W239" s="2"/>
      <c r="X239" s="2"/>
      <c r="Y239" s="2"/>
      <c r="Z239" s="2"/>
    </row>
    <row r="240" spans="1:26" ht="19.5" customHeight="1">
      <c r="A240" s="19" t="s">
        <v>567</v>
      </c>
      <c r="B240" s="20" t="s">
        <v>568</v>
      </c>
      <c r="C240" s="21">
        <v>2</v>
      </c>
      <c r="D240" s="22" t="s">
        <v>569</v>
      </c>
      <c r="E240" s="18">
        <v>3.5000000000000003E-2</v>
      </c>
      <c r="F240" s="18">
        <f>0/((225+325)/2)</f>
        <v>0</v>
      </c>
      <c r="G240" s="18">
        <f>6/((56+46)/2)</f>
        <v>0.11764705882352941</v>
      </c>
      <c r="H240" s="18">
        <f>5/((44+77)/2)</f>
        <v>8.2644628099173556E-2</v>
      </c>
      <c r="I240" s="18">
        <f t="shared" ref="I240:I241" si="192">0/((36+25)/2)</f>
        <v>0</v>
      </c>
      <c r="J240" s="18">
        <f>310/(2300)</f>
        <v>0.13478260869565217</v>
      </c>
      <c r="K240" s="18">
        <f t="shared" si="191"/>
        <v>0</v>
      </c>
      <c r="L240" s="18">
        <f>10/(300)</f>
        <v>3.3333333333333333E-2</v>
      </c>
      <c r="M240" s="22" t="s">
        <v>570</v>
      </c>
      <c r="N240" s="2"/>
      <c r="O240" s="2"/>
      <c r="P240" s="2"/>
      <c r="Q240" s="2"/>
      <c r="R240" s="2"/>
      <c r="S240" s="2"/>
      <c r="T240" s="2"/>
      <c r="U240" s="2"/>
      <c r="V240" s="2"/>
      <c r="W240" s="2"/>
      <c r="X240" s="2"/>
      <c r="Y240" s="2"/>
      <c r="Z240" s="2"/>
    </row>
    <row r="241" spans="1:26" ht="19.5" customHeight="1">
      <c r="A241" s="19" t="s">
        <v>459</v>
      </c>
      <c r="B241" s="20" t="s">
        <v>460</v>
      </c>
      <c r="C241" s="21">
        <v>3</v>
      </c>
      <c r="D241" s="22" t="s">
        <v>440</v>
      </c>
      <c r="E241" s="18">
        <v>8.5000000000000006E-2</v>
      </c>
      <c r="F241" s="18">
        <f>1/((225+325)/2)</f>
        <v>3.6363636363636364E-3</v>
      </c>
      <c r="G241" s="18">
        <f>11/((56+46)/2)</f>
        <v>0.21568627450980393</v>
      </c>
      <c r="H241" s="18">
        <f>14/((44+77)/2)</f>
        <v>0.23140495867768596</v>
      </c>
      <c r="I241" s="18">
        <f t="shared" si="192"/>
        <v>0</v>
      </c>
      <c r="J241" s="18">
        <f>400/(2300)</f>
        <v>0.17391304347826086</v>
      </c>
      <c r="K241" s="18">
        <f t="shared" si="191"/>
        <v>0</v>
      </c>
      <c r="L241" s="18">
        <f>40/(300)</f>
        <v>0.13333333333333333</v>
      </c>
      <c r="M241" s="22" t="s">
        <v>461</v>
      </c>
      <c r="N241" s="2"/>
      <c r="O241" s="2"/>
      <c r="P241" s="2"/>
      <c r="Q241" s="2"/>
      <c r="R241" s="2"/>
      <c r="S241" s="2"/>
      <c r="T241" s="2"/>
      <c r="U241" s="2"/>
      <c r="V241" s="2"/>
      <c r="W241" s="2"/>
      <c r="X241" s="2"/>
      <c r="Y241" s="2"/>
      <c r="Z241" s="2"/>
    </row>
    <row r="242" spans="1:26" ht="19.5" customHeight="1">
      <c r="A242" s="19" t="s">
        <v>140</v>
      </c>
      <c r="B242" s="20" t="s">
        <v>141</v>
      </c>
      <c r="C242" s="22" t="s">
        <v>145</v>
      </c>
      <c r="D242" s="22" t="s">
        <v>17</v>
      </c>
      <c r="E242" s="18">
        <v>8.5000000000000006E-2</v>
      </c>
      <c r="F242" s="18">
        <f>9/((225+325)/2)</f>
        <v>3.272727272727273E-2</v>
      </c>
      <c r="G242" s="18">
        <f>5/((56+46)/2)</f>
        <v>9.8039215686274508E-2</v>
      </c>
      <c r="H242" s="18">
        <f>13/((44+77)/2)</f>
        <v>0.21487603305785125</v>
      </c>
      <c r="I242" s="18">
        <f>5/((36+25)/2)</f>
        <v>0.16393442622950818</v>
      </c>
      <c r="J242" s="18">
        <f>115/(2300)</f>
        <v>0.05</v>
      </c>
      <c r="K242" s="18">
        <f>2/((25+30)/2)</f>
        <v>7.2727272727272724E-2</v>
      </c>
      <c r="L242" s="18">
        <f>0/(300)</f>
        <v>0</v>
      </c>
      <c r="M242" s="22" t="s">
        <v>142</v>
      </c>
      <c r="N242" s="2"/>
      <c r="O242" s="2"/>
      <c r="P242" s="2"/>
      <c r="Q242" s="2"/>
      <c r="R242" s="2"/>
      <c r="S242" s="2"/>
      <c r="T242" s="2"/>
      <c r="U242" s="2"/>
      <c r="V242" s="2"/>
      <c r="W242" s="2"/>
      <c r="X242" s="2"/>
      <c r="Y242" s="2"/>
      <c r="Z242" s="2"/>
    </row>
    <row r="243" spans="1:26" ht="19.5" customHeight="1">
      <c r="A243" s="19" t="s">
        <v>932</v>
      </c>
      <c r="B243" s="20" t="s">
        <v>933</v>
      </c>
      <c r="C243" s="21">
        <v>1</v>
      </c>
      <c r="D243" s="22" t="s">
        <v>778</v>
      </c>
      <c r="E243" s="18">
        <v>5.5E-2</v>
      </c>
      <c r="F243" s="18">
        <f>12/((225+325)/2)</f>
        <v>4.363636363636364E-2</v>
      </c>
      <c r="G243" s="18">
        <f>15/((56+46)/2)</f>
        <v>0.29411764705882354</v>
      </c>
      <c r="H243" s="18">
        <f>0/((44+77)/2)</f>
        <v>0</v>
      </c>
      <c r="I243" s="18">
        <f>9/((36+25)/2)</f>
        <v>0.29508196721311475</v>
      </c>
      <c r="J243" s="18">
        <f>55/(2300)</f>
        <v>2.391304347826087E-2</v>
      </c>
      <c r="K243" s="18">
        <f>0/((25+30)/2)</f>
        <v>0</v>
      </c>
      <c r="L243" s="18">
        <f>10/(300)</f>
        <v>3.3333333333333333E-2</v>
      </c>
      <c r="M243" s="22" t="s">
        <v>934</v>
      </c>
      <c r="N243" s="2"/>
      <c r="O243" s="2"/>
      <c r="P243" s="2"/>
      <c r="Q243" s="2"/>
      <c r="R243" s="2"/>
      <c r="S243" s="2"/>
      <c r="T243" s="2"/>
      <c r="U243" s="2"/>
      <c r="V243" s="2"/>
      <c r="W243" s="2"/>
      <c r="X243" s="2"/>
      <c r="Y243" s="2"/>
      <c r="Z243" s="2"/>
    </row>
    <row r="244" spans="1:26" ht="19.5" customHeight="1">
      <c r="A244" s="19" t="s">
        <v>143</v>
      </c>
      <c r="B244" s="20" t="s">
        <v>144</v>
      </c>
      <c r="C244" s="22" t="s">
        <v>145</v>
      </c>
      <c r="D244" s="22" t="s">
        <v>17</v>
      </c>
      <c r="E244" s="18">
        <v>7.0000000000000007E-2</v>
      </c>
      <c r="F244" s="18">
        <f>20/((225+325)/2)</f>
        <v>7.2727272727272724E-2</v>
      </c>
      <c r="G244" s="18">
        <f>3/((56+46)/2)</f>
        <v>5.8823529411764705E-2</v>
      </c>
      <c r="H244" s="18">
        <f>6/((44+77)/2)</f>
        <v>9.9173553719008267E-2</v>
      </c>
      <c r="I244" s="18">
        <f>6/((36+25)/2)</f>
        <v>0.19672131147540983</v>
      </c>
      <c r="J244" s="18">
        <f>135/(2300)</f>
        <v>5.8695652173913045E-2</v>
      </c>
      <c r="K244" s="18">
        <f>2/((25+30)/2)</f>
        <v>7.2727272727272724E-2</v>
      </c>
      <c r="L244" s="18">
        <f>0/(300)</f>
        <v>0</v>
      </c>
      <c r="M244" s="22" t="s">
        <v>146</v>
      </c>
      <c r="N244" s="2"/>
      <c r="O244" s="2"/>
      <c r="P244" s="2"/>
      <c r="Q244" s="2"/>
      <c r="R244" s="2"/>
      <c r="S244" s="2"/>
      <c r="T244" s="2"/>
      <c r="U244" s="2"/>
      <c r="V244" s="2"/>
      <c r="W244" s="2"/>
      <c r="X244" s="2"/>
      <c r="Y244" s="2"/>
      <c r="Z244" s="2"/>
    </row>
    <row r="245" spans="1:26" ht="19.5" customHeight="1">
      <c r="A245" s="19" t="s">
        <v>935</v>
      </c>
      <c r="B245" s="20" t="s">
        <v>936</v>
      </c>
      <c r="C245" s="21">
        <v>1</v>
      </c>
      <c r="D245" s="22" t="s">
        <v>1091</v>
      </c>
      <c r="E245" s="18">
        <v>3.5000000000000003E-2</v>
      </c>
      <c r="F245" s="18">
        <f t="shared" ref="F245:F246" si="193">10/((225+325)/2)</f>
        <v>3.6363636363636362E-2</v>
      </c>
      <c r="G245" s="18">
        <f t="shared" ref="G245:G247" si="194">2/((56+46)/2)</f>
        <v>3.9215686274509803E-2</v>
      </c>
      <c r="H245" s="18">
        <f t="shared" ref="H245:H246" si="195">2/((44+77)/2)</f>
        <v>3.3057851239669422E-2</v>
      </c>
      <c r="I245" s="18">
        <f t="shared" ref="I245:I246" si="196">7/((36+25)/2)</f>
        <v>0.22950819672131148</v>
      </c>
      <c r="J245" s="18">
        <f t="shared" ref="J245:J246" si="197">8/(2300)</f>
        <v>3.4782608695652175E-3</v>
      </c>
      <c r="K245" s="18">
        <f t="shared" ref="K245:K246" si="198">4/((25+30)/2)</f>
        <v>0.14545454545454545</v>
      </c>
      <c r="L245" s="18" t="s">
        <v>218</v>
      </c>
      <c r="M245" s="22" t="s">
        <v>937</v>
      </c>
      <c r="N245" s="2"/>
      <c r="O245" s="2"/>
      <c r="P245" s="2"/>
      <c r="Q245" s="2"/>
      <c r="R245" s="2"/>
      <c r="S245" s="2"/>
      <c r="T245" s="2"/>
      <c r="U245" s="2"/>
      <c r="V245" s="2"/>
      <c r="W245" s="2"/>
      <c r="X245" s="2"/>
      <c r="Y245" s="2"/>
      <c r="Z245" s="2"/>
    </row>
    <row r="246" spans="1:26" ht="19.5" customHeight="1">
      <c r="A246" s="19" t="s">
        <v>938</v>
      </c>
      <c r="B246" s="20" t="s">
        <v>939</v>
      </c>
      <c r="C246" s="21">
        <v>1</v>
      </c>
      <c r="D246" s="22" t="s">
        <v>1091</v>
      </c>
      <c r="E246" s="18">
        <v>3.5000000000000003E-2</v>
      </c>
      <c r="F246" s="18">
        <f t="shared" si="193"/>
        <v>3.6363636363636362E-2</v>
      </c>
      <c r="G246" s="18">
        <f t="shared" si="194"/>
        <v>3.9215686274509803E-2</v>
      </c>
      <c r="H246" s="18">
        <f t="shared" si="195"/>
        <v>3.3057851239669422E-2</v>
      </c>
      <c r="I246" s="18">
        <f t="shared" si="196"/>
        <v>0.22950819672131148</v>
      </c>
      <c r="J246" s="18">
        <f t="shared" si="197"/>
        <v>3.4782608695652175E-3</v>
      </c>
      <c r="K246" s="18">
        <f t="shared" si="198"/>
        <v>0.14545454545454545</v>
      </c>
      <c r="L246" s="18" t="s">
        <v>218</v>
      </c>
      <c r="M246" s="22" t="s">
        <v>940</v>
      </c>
      <c r="N246" s="2"/>
      <c r="O246" s="2"/>
      <c r="P246" s="2"/>
      <c r="Q246" s="2"/>
      <c r="R246" s="2"/>
      <c r="S246" s="2"/>
      <c r="T246" s="2"/>
      <c r="U246" s="2"/>
      <c r="V246" s="2"/>
      <c r="W246" s="2"/>
      <c r="X246" s="2"/>
      <c r="Y246" s="2"/>
      <c r="Z246" s="2"/>
    </row>
    <row r="247" spans="1:26" ht="19.5" customHeight="1">
      <c r="A247" s="19" t="s">
        <v>37</v>
      </c>
      <c r="B247" s="20" t="s">
        <v>38</v>
      </c>
      <c r="C247" s="22" t="s">
        <v>35</v>
      </c>
      <c r="D247" s="22" t="s">
        <v>17</v>
      </c>
      <c r="E247" s="18">
        <v>5.5E-2</v>
      </c>
      <c r="F247" s="18">
        <f>22/((225+325)/2)</f>
        <v>0.08</v>
      </c>
      <c r="G247" s="18">
        <f t="shared" si="194"/>
        <v>3.9215686274509803E-2</v>
      </c>
      <c r="H247" s="18">
        <f>1.5/((44+77)/2)</f>
        <v>2.4793388429752067E-2</v>
      </c>
      <c r="I247" s="18">
        <f>9/((36+25)/2)</f>
        <v>0.29508196721311475</v>
      </c>
      <c r="J247" s="18">
        <f>160/(2300)</f>
        <v>6.9565217391304349E-2</v>
      </c>
      <c r="K247" s="18">
        <f>2/((25+30)/2)</f>
        <v>7.2727272727272724E-2</v>
      </c>
      <c r="L247" s="18">
        <f>0/(300)</f>
        <v>0</v>
      </c>
      <c r="M247" s="22" t="s">
        <v>39</v>
      </c>
      <c r="N247" s="2"/>
      <c r="O247" s="2"/>
      <c r="P247" s="2"/>
      <c r="Q247" s="2"/>
      <c r="R247" s="2"/>
      <c r="S247" s="2"/>
      <c r="T247" s="2"/>
      <c r="U247" s="2"/>
      <c r="V247" s="2"/>
      <c r="W247" s="2"/>
      <c r="X247" s="2"/>
      <c r="Y247" s="2"/>
      <c r="Z247" s="2"/>
    </row>
    <row r="248" spans="1:26" ht="19.5" customHeight="1">
      <c r="A248" s="19" t="s">
        <v>941</v>
      </c>
      <c r="B248" s="20" t="s">
        <v>942</v>
      </c>
      <c r="C248" s="21">
        <v>1</v>
      </c>
      <c r="D248" s="22" t="s">
        <v>613</v>
      </c>
      <c r="E248" s="18">
        <v>9.5000000000000001E-2</v>
      </c>
      <c r="F248" s="18">
        <f>21/((225+325)/2)</f>
        <v>7.636363636363637E-2</v>
      </c>
      <c r="G248" s="18">
        <f>12/((56+46)/2)</f>
        <v>0.23529411764705882</v>
      </c>
      <c r="H248" s="18">
        <f>6/((44+77)/2)</f>
        <v>9.9173553719008267E-2</v>
      </c>
      <c r="I248" s="18">
        <f>1/((36+25)/2)</f>
        <v>3.2786885245901641E-2</v>
      </c>
      <c r="J248" s="18">
        <f>430/(2300)</f>
        <v>0.18695652173913044</v>
      </c>
      <c r="K248" s="18">
        <f>5/((25+30)/2)</f>
        <v>0.18181818181818182</v>
      </c>
      <c r="L248" s="18">
        <f>5/(300)</f>
        <v>1.6666666666666666E-2</v>
      </c>
      <c r="M248" s="22" t="s">
        <v>943</v>
      </c>
      <c r="N248" s="2"/>
      <c r="O248" s="2"/>
      <c r="P248" s="2"/>
      <c r="Q248" s="2"/>
      <c r="R248" s="2"/>
      <c r="S248" s="2"/>
      <c r="T248" s="2"/>
      <c r="U248" s="2"/>
      <c r="V248" s="2"/>
      <c r="W248" s="2"/>
      <c r="X248" s="2"/>
      <c r="Y248" s="2"/>
      <c r="Z248" s="2"/>
    </row>
    <row r="249" spans="1:26" ht="19.5" customHeight="1">
      <c r="A249" s="19" t="s">
        <v>40</v>
      </c>
      <c r="B249" s="20" t="s">
        <v>41</v>
      </c>
      <c r="C249" s="22" t="s">
        <v>35</v>
      </c>
      <c r="D249" s="22" t="s">
        <v>17</v>
      </c>
      <c r="E249" s="18">
        <v>0.1</v>
      </c>
      <c r="F249" s="18">
        <f>6/((225+325)/2)</f>
        <v>2.181818181818182E-2</v>
      </c>
      <c r="G249" s="18">
        <f>15/((56+46)/2)</f>
        <v>0.29411764705882354</v>
      </c>
      <c r="H249" s="18">
        <f>13/((44+77)/2)</f>
        <v>0.21487603305785125</v>
      </c>
      <c r="I249" s="18">
        <f>3/((36+25)/2)</f>
        <v>9.8360655737704916E-2</v>
      </c>
      <c r="J249" s="18">
        <f>590/(2300)</f>
        <v>0.2565217391304348</v>
      </c>
      <c r="K249" s="18">
        <f>3/((25+30)/2)</f>
        <v>0.10909090909090909</v>
      </c>
      <c r="L249" s="18">
        <f>40/(300)</f>
        <v>0.13333333333333333</v>
      </c>
      <c r="M249" s="22" t="s">
        <v>42</v>
      </c>
      <c r="N249" s="2"/>
      <c r="O249" s="2"/>
      <c r="P249" s="2"/>
      <c r="Q249" s="2"/>
      <c r="R249" s="2"/>
      <c r="S249" s="2"/>
      <c r="T249" s="2"/>
      <c r="U249" s="2"/>
      <c r="V249" s="2"/>
      <c r="W249" s="2"/>
      <c r="X249" s="2"/>
      <c r="Y249" s="2"/>
      <c r="Z249" s="2"/>
    </row>
    <row r="250" spans="1:26" ht="19.5" customHeight="1">
      <c r="A250" s="19" t="s">
        <v>944</v>
      </c>
      <c r="B250" s="20" t="s">
        <v>945</v>
      </c>
      <c r="C250" s="21">
        <v>1</v>
      </c>
      <c r="D250" s="22" t="s">
        <v>31</v>
      </c>
      <c r="E250" s="18">
        <v>2.5000000000000001E-3</v>
      </c>
      <c r="F250" s="18">
        <f>1/((225+325)/2)</f>
        <v>3.6363636363636364E-3</v>
      </c>
      <c r="G250" s="18">
        <f t="shared" ref="G250:G251" si="199">0/((56+46)/2)</f>
        <v>0</v>
      </c>
      <c r="H250" s="18">
        <f>0/((44+77)/2)</f>
        <v>0</v>
      </c>
      <c r="I250" s="18">
        <f>0/((36+25)/2)</f>
        <v>0</v>
      </c>
      <c r="J250" s="18">
        <f>50/(2300)</f>
        <v>2.1739130434782608E-2</v>
      </c>
      <c r="K250" s="18">
        <f>0/((25+30)/2)</f>
        <v>0</v>
      </c>
      <c r="L250" s="18">
        <f>0/(300)</f>
        <v>0</v>
      </c>
      <c r="M250" s="22" t="s">
        <v>946</v>
      </c>
      <c r="N250" s="2"/>
      <c r="O250" s="2"/>
      <c r="P250" s="2"/>
      <c r="Q250" s="2"/>
      <c r="R250" s="2"/>
      <c r="S250" s="2"/>
      <c r="T250" s="2"/>
      <c r="U250" s="2"/>
      <c r="V250" s="2"/>
      <c r="W250" s="2"/>
      <c r="X250" s="2"/>
      <c r="Y250" s="2"/>
      <c r="Z250" s="2"/>
    </row>
    <row r="251" spans="1:26" ht="19.5" customHeight="1">
      <c r="A251" s="19" t="s">
        <v>571</v>
      </c>
      <c r="B251" s="20" t="s">
        <v>572</v>
      </c>
      <c r="C251" s="21">
        <v>2</v>
      </c>
      <c r="D251" s="22" t="s">
        <v>31</v>
      </c>
      <c r="E251" s="18">
        <v>7.4999999999999997E-3</v>
      </c>
      <c r="F251" s="18">
        <f>2/((225+325)/2)</f>
        <v>7.2727272727272727E-3</v>
      </c>
      <c r="G251" s="18">
        <f t="shared" si="199"/>
        <v>0</v>
      </c>
      <c r="H251" s="18">
        <f>1/((44+77)/2)</f>
        <v>1.6528925619834711E-2</v>
      </c>
      <c r="I251" s="18">
        <f>0.5/((36+25)/2)</f>
        <v>1.6393442622950821E-2</v>
      </c>
      <c r="J251" s="18">
        <f>200/(2300)</f>
        <v>8.6956521739130432E-2</v>
      </c>
      <c r="K251" s="18">
        <f>0.5/((25+30)/2)</f>
        <v>1.8181818181818181E-2</v>
      </c>
      <c r="L251" s="18" t="s">
        <v>218</v>
      </c>
      <c r="M251" s="22" t="s">
        <v>1105</v>
      </c>
      <c r="N251" s="2"/>
      <c r="O251" s="2"/>
      <c r="P251" s="2"/>
      <c r="Q251" s="2"/>
      <c r="R251" s="2"/>
      <c r="S251" s="2"/>
      <c r="T251" s="2"/>
      <c r="U251" s="2"/>
      <c r="V251" s="2"/>
      <c r="W251" s="2"/>
      <c r="X251" s="2"/>
      <c r="Y251" s="2"/>
      <c r="Z251" s="2"/>
    </row>
    <row r="252" spans="1:26" ht="19.5" customHeight="1">
      <c r="A252" s="19" t="s">
        <v>947</v>
      </c>
      <c r="B252" s="20" t="s">
        <v>948</v>
      </c>
      <c r="C252" s="21">
        <v>1</v>
      </c>
      <c r="D252" s="22" t="s">
        <v>949</v>
      </c>
      <c r="E252" s="18">
        <v>0.04</v>
      </c>
      <c r="F252" s="18">
        <f>14/((225+325)/2)</f>
        <v>5.0909090909090911E-2</v>
      </c>
      <c r="G252" s="18">
        <f>4/((56+46)/2)</f>
        <v>7.8431372549019607E-2</v>
      </c>
      <c r="H252" s="18">
        <f t="shared" ref="H252:H253" si="200">0.5/((44+77)/2)</f>
        <v>8.2644628099173556E-3</v>
      </c>
      <c r="I252" s="18">
        <f t="shared" ref="I252:I254" si="201">0/((36+25)/2)</f>
        <v>0</v>
      </c>
      <c r="J252" s="18">
        <f>170/(2300)</f>
        <v>7.3913043478260873E-2</v>
      </c>
      <c r="K252" s="18">
        <f>5/((25+30)/2)</f>
        <v>0.18181818181818182</v>
      </c>
      <c r="L252" s="18">
        <f t="shared" ref="L252:L253" si="202">0/(300)</f>
        <v>0</v>
      </c>
      <c r="M252" s="22" t="s">
        <v>950</v>
      </c>
      <c r="N252" s="2"/>
      <c r="O252" s="2"/>
      <c r="P252" s="2"/>
      <c r="Q252" s="2"/>
      <c r="R252" s="2"/>
      <c r="S252" s="2"/>
      <c r="T252" s="2"/>
      <c r="U252" s="2"/>
      <c r="V252" s="2"/>
      <c r="W252" s="2"/>
      <c r="X252" s="2"/>
      <c r="Y252" s="2"/>
      <c r="Z252" s="2"/>
    </row>
    <row r="253" spans="1:26" ht="19.5" customHeight="1">
      <c r="A253" s="19" t="s">
        <v>198</v>
      </c>
      <c r="B253" s="20" t="s">
        <v>199</v>
      </c>
      <c r="C253" s="22" t="s">
        <v>155</v>
      </c>
      <c r="D253" s="22" t="s">
        <v>200</v>
      </c>
      <c r="E253" s="18">
        <v>0.04</v>
      </c>
      <c r="F253" s="18">
        <f>0/((225+325)/2)</f>
        <v>0</v>
      </c>
      <c r="G253" s="18">
        <f>0/((56+46)/2)</f>
        <v>0</v>
      </c>
      <c r="H253" s="18">
        <f t="shared" si="200"/>
        <v>8.2644628099173556E-3</v>
      </c>
      <c r="I253" s="18">
        <f t="shared" si="201"/>
        <v>0</v>
      </c>
      <c r="J253" s="18">
        <f>0/(2300)</f>
        <v>0</v>
      </c>
      <c r="K253" s="18">
        <f>75/((25+30)/2)</f>
        <v>2.7272727272727271</v>
      </c>
      <c r="L253" s="18">
        <f t="shared" si="202"/>
        <v>0</v>
      </c>
      <c r="M253" s="22" t="s">
        <v>202</v>
      </c>
      <c r="N253" s="2"/>
      <c r="O253" s="2"/>
      <c r="P253" s="2"/>
      <c r="Q253" s="2"/>
      <c r="R253" s="2"/>
      <c r="S253" s="2"/>
      <c r="T253" s="2"/>
      <c r="U253" s="2"/>
      <c r="V253" s="2"/>
      <c r="W253" s="2"/>
      <c r="X253" s="2"/>
      <c r="Y253" s="2"/>
      <c r="Z253" s="2"/>
    </row>
    <row r="254" spans="1:26" ht="19.5" customHeight="1">
      <c r="A254" s="19" t="s">
        <v>297</v>
      </c>
      <c r="B254" s="20" t="s">
        <v>298</v>
      </c>
      <c r="C254" s="21">
        <v>23</v>
      </c>
      <c r="D254" s="22" t="s">
        <v>299</v>
      </c>
      <c r="E254" s="18">
        <v>7.4999999999999997E-2</v>
      </c>
      <c r="F254" s="18">
        <f>1/((225+325)/2)</f>
        <v>3.6363636363636364E-3</v>
      </c>
      <c r="G254" s="18">
        <f>12/((56+46)/2)</f>
        <v>0.23529411764705882</v>
      </c>
      <c r="H254" s="18">
        <f>11/((44+77)/2)</f>
        <v>0.18181818181818182</v>
      </c>
      <c r="I254" s="18">
        <f t="shared" si="201"/>
        <v>0</v>
      </c>
      <c r="J254" s="18">
        <f>340/(2300)</f>
        <v>0.14782608695652175</v>
      </c>
      <c r="K254" s="18">
        <f>0/((25+30)/2)</f>
        <v>0</v>
      </c>
      <c r="L254" s="18">
        <f>35/(300)</f>
        <v>0.11666666666666667</v>
      </c>
      <c r="M254" s="22" t="s">
        <v>300</v>
      </c>
      <c r="N254" s="2"/>
      <c r="O254" s="2"/>
      <c r="P254" s="2"/>
      <c r="Q254" s="2"/>
      <c r="R254" s="2"/>
      <c r="S254" s="2"/>
      <c r="T254" s="2"/>
      <c r="U254" s="2"/>
      <c r="V254" s="2"/>
      <c r="W254" s="2"/>
      <c r="X254" s="2"/>
      <c r="Y254" s="2"/>
      <c r="Z254" s="2"/>
    </row>
    <row r="255" spans="1:26" ht="19.5" customHeight="1">
      <c r="A255" s="19" t="s">
        <v>43</v>
      </c>
      <c r="B255" s="20" t="s">
        <v>44</v>
      </c>
      <c r="C255" s="22" t="s">
        <v>35</v>
      </c>
      <c r="D255" s="22" t="s">
        <v>17</v>
      </c>
      <c r="E255" s="18">
        <v>0.12</v>
      </c>
      <c r="F255" s="18">
        <f>8/((225+325)/2)</f>
        <v>2.9090909090909091E-2</v>
      </c>
      <c r="G255" s="18">
        <f>10/((56+46)/2)</f>
        <v>0.19607843137254902</v>
      </c>
      <c r="H255" s="18">
        <f>18/((44+77)/2)</f>
        <v>0.2975206611570248</v>
      </c>
      <c r="I255" s="18">
        <f>4/((36+25)/2)</f>
        <v>0.13114754098360656</v>
      </c>
      <c r="J255" s="18">
        <f>770/(2300)</f>
        <v>0.33478260869565218</v>
      </c>
      <c r="K255" s="18">
        <f>3/((25+30)/2)</f>
        <v>0.10909090909090909</v>
      </c>
      <c r="L255" s="18">
        <f t="shared" ref="L255:L256" si="203">15/(300)</f>
        <v>0.05</v>
      </c>
      <c r="M255" s="22" t="s">
        <v>45</v>
      </c>
      <c r="N255" s="2"/>
      <c r="O255" s="2"/>
      <c r="P255" s="2"/>
      <c r="Q255" s="2"/>
      <c r="R255" s="2"/>
      <c r="S255" s="2"/>
      <c r="T255" s="2"/>
      <c r="U255" s="2"/>
      <c r="V255" s="2"/>
      <c r="W255" s="2"/>
      <c r="X255" s="2"/>
      <c r="Y255" s="2"/>
      <c r="Z255" s="2"/>
    </row>
    <row r="256" spans="1:26" ht="19.5" customHeight="1">
      <c r="A256" s="19" t="s">
        <v>203</v>
      </c>
      <c r="B256" s="20" t="s">
        <v>204</v>
      </c>
      <c r="C256" s="22" t="s">
        <v>155</v>
      </c>
      <c r="D256" s="22" t="s">
        <v>205</v>
      </c>
      <c r="E256" s="18">
        <v>0.04</v>
      </c>
      <c r="F256" s="18">
        <f>0/((225+325)/2)</f>
        <v>0</v>
      </c>
      <c r="G256" s="18">
        <f>7/((56+46)/2)</f>
        <v>0.13725490196078433</v>
      </c>
      <c r="H256" s="18">
        <f>6/((44+77)/2)</f>
        <v>9.9173553719008267E-2</v>
      </c>
      <c r="I256" s="18">
        <f>0/((36+25)/2)</f>
        <v>0</v>
      </c>
      <c r="J256" s="18">
        <f>340/(2300)</f>
        <v>0.14782608695652175</v>
      </c>
      <c r="K256" s="18">
        <f t="shared" ref="K256:K259" si="204">0/((25+30)/2)</f>
        <v>0</v>
      </c>
      <c r="L256" s="18">
        <f t="shared" si="203"/>
        <v>0.05</v>
      </c>
      <c r="M256" s="22" t="s">
        <v>206</v>
      </c>
      <c r="N256" s="2"/>
      <c r="O256" s="2"/>
      <c r="P256" s="2"/>
      <c r="Q256" s="2"/>
      <c r="R256" s="2"/>
      <c r="S256" s="2"/>
      <c r="T256" s="2"/>
      <c r="U256" s="2"/>
      <c r="V256" s="2"/>
      <c r="W256" s="2"/>
      <c r="X256" s="2"/>
      <c r="Y256" s="2"/>
      <c r="Z256" s="2"/>
    </row>
    <row r="257" spans="1:26" ht="19.5" customHeight="1">
      <c r="A257" s="19" t="s">
        <v>377</v>
      </c>
      <c r="B257" s="20" t="s">
        <v>378</v>
      </c>
      <c r="C257" s="21">
        <v>8</v>
      </c>
      <c r="D257" s="22" t="s">
        <v>306</v>
      </c>
      <c r="E257" s="18">
        <v>2.5000000000000001E-3</v>
      </c>
      <c r="F257" s="18">
        <f t="shared" ref="F257:F258" si="205">6/((225+325)/2)</f>
        <v>2.181818181818182E-2</v>
      </c>
      <c r="G257" s="18">
        <f t="shared" ref="G257:G259" si="206">0/((56+46)/2)</f>
        <v>0</v>
      </c>
      <c r="H257" s="18">
        <f t="shared" ref="H257:H259" si="207">0/((44+77)/2)</f>
        <v>0</v>
      </c>
      <c r="I257" s="18">
        <f t="shared" ref="I257:I258" si="208">1/((36+25)/2)</f>
        <v>3.2786885245901641E-2</v>
      </c>
      <c r="J257" s="18">
        <f t="shared" ref="J257:J258" si="209">5/(2300)</f>
        <v>2.1739130434782609E-3</v>
      </c>
      <c r="K257" s="18">
        <f t="shared" si="204"/>
        <v>0</v>
      </c>
      <c r="L257" s="18">
        <f t="shared" ref="L257:L259" si="210">0/(300)</f>
        <v>0</v>
      </c>
      <c r="M257" s="22" t="s">
        <v>1106</v>
      </c>
      <c r="N257" s="2"/>
      <c r="O257" s="2"/>
      <c r="P257" s="2"/>
      <c r="Q257" s="2"/>
      <c r="R257" s="2"/>
      <c r="S257" s="2"/>
      <c r="T257" s="2"/>
      <c r="U257" s="2"/>
      <c r="V257" s="2"/>
      <c r="W257" s="2"/>
      <c r="X257" s="2"/>
      <c r="Y257" s="2"/>
      <c r="Z257" s="2"/>
    </row>
    <row r="258" spans="1:26" ht="19.5" customHeight="1">
      <c r="A258" s="19" t="s">
        <v>380</v>
      </c>
      <c r="B258" s="20" t="s">
        <v>381</v>
      </c>
      <c r="C258" s="21">
        <v>8</v>
      </c>
      <c r="D258" s="22" t="s">
        <v>306</v>
      </c>
      <c r="E258" s="18">
        <v>2.5000000000000001E-3</v>
      </c>
      <c r="F258" s="18">
        <f t="shared" si="205"/>
        <v>2.181818181818182E-2</v>
      </c>
      <c r="G258" s="18">
        <f t="shared" si="206"/>
        <v>0</v>
      </c>
      <c r="H258" s="18">
        <f t="shared" si="207"/>
        <v>0</v>
      </c>
      <c r="I258" s="18">
        <f t="shared" si="208"/>
        <v>3.2786885245901641E-2</v>
      </c>
      <c r="J258" s="18">
        <f t="shared" si="209"/>
        <v>2.1739130434782609E-3</v>
      </c>
      <c r="K258" s="18">
        <f t="shared" si="204"/>
        <v>0</v>
      </c>
      <c r="L258" s="18">
        <f t="shared" si="210"/>
        <v>0</v>
      </c>
      <c r="M258" s="22" t="s">
        <v>382</v>
      </c>
      <c r="N258" s="2"/>
      <c r="O258" s="2"/>
      <c r="P258" s="2"/>
      <c r="Q258" s="2"/>
      <c r="R258" s="2"/>
      <c r="S258" s="2"/>
      <c r="T258" s="2"/>
      <c r="U258" s="2"/>
      <c r="V258" s="2"/>
      <c r="W258" s="2"/>
      <c r="X258" s="2"/>
      <c r="Y258" s="2"/>
      <c r="Z258" s="2"/>
    </row>
    <row r="259" spans="1:26" ht="19.5" customHeight="1">
      <c r="A259" s="19" t="s">
        <v>951</v>
      </c>
      <c r="B259" s="20" t="s">
        <v>952</v>
      </c>
      <c r="C259" s="21">
        <v>1</v>
      </c>
      <c r="D259" s="22" t="s">
        <v>727</v>
      </c>
      <c r="E259" s="18">
        <v>0</v>
      </c>
      <c r="F259" s="18">
        <f>0/((225+325)/2)</f>
        <v>0</v>
      </c>
      <c r="G259" s="18">
        <f t="shared" si="206"/>
        <v>0</v>
      </c>
      <c r="H259" s="18">
        <f t="shared" si="207"/>
        <v>0</v>
      </c>
      <c r="I259" s="18">
        <f>0/((36+25)/2)</f>
        <v>0</v>
      </c>
      <c r="J259" s="18">
        <f>0/(2300)</f>
        <v>0</v>
      </c>
      <c r="K259" s="18">
        <f t="shared" si="204"/>
        <v>0</v>
      </c>
      <c r="L259" s="18">
        <f t="shared" si="210"/>
        <v>0</v>
      </c>
      <c r="M259" s="22" t="s">
        <v>953</v>
      </c>
      <c r="N259" s="2"/>
      <c r="O259" s="2"/>
      <c r="P259" s="2"/>
      <c r="Q259" s="2"/>
      <c r="R259" s="2"/>
      <c r="S259" s="2"/>
      <c r="T259" s="2"/>
      <c r="U259" s="2"/>
      <c r="V259" s="2"/>
      <c r="W259" s="2"/>
      <c r="X259" s="2"/>
      <c r="Y259" s="2"/>
      <c r="Z259" s="2"/>
    </row>
    <row r="260" spans="1:26" ht="19.5" customHeight="1">
      <c r="A260" s="19" t="s">
        <v>954</v>
      </c>
      <c r="B260" s="20" t="s">
        <v>955</v>
      </c>
      <c r="C260" s="21">
        <v>1</v>
      </c>
      <c r="D260" s="22" t="s">
        <v>956</v>
      </c>
      <c r="E260" s="18">
        <v>0.12</v>
      </c>
      <c r="F260" s="18">
        <f>20/((225+325)/2)</f>
        <v>7.2727272727272724E-2</v>
      </c>
      <c r="G260" s="18">
        <f>15/((56+46)/2)</f>
        <v>0.29411764705882354</v>
      </c>
      <c r="H260" s="18">
        <f>16/((44+77)/2)</f>
        <v>0.26446280991735538</v>
      </c>
      <c r="I260" s="18">
        <f t="shared" ref="I260:I261" si="211">1/((36+25)/2)</f>
        <v>3.2786885245901641E-2</v>
      </c>
      <c r="J260" s="18">
        <f>190/(2300)</f>
        <v>8.2608695652173908E-2</v>
      </c>
      <c r="K260" s="18">
        <f>10/((25+30)/2)</f>
        <v>0.36363636363636365</v>
      </c>
      <c r="L260" s="18">
        <f>30/(300)</f>
        <v>0.1</v>
      </c>
      <c r="M260" s="22" t="s">
        <v>1107</v>
      </c>
      <c r="N260" s="2"/>
      <c r="O260" s="2"/>
      <c r="P260" s="2"/>
      <c r="Q260" s="2"/>
      <c r="R260" s="2"/>
      <c r="S260" s="2"/>
      <c r="T260" s="2"/>
      <c r="U260" s="2"/>
      <c r="V260" s="2"/>
      <c r="W260" s="2"/>
      <c r="X260" s="2"/>
      <c r="Y260" s="2"/>
      <c r="Z260" s="2"/>
    </row>
    <row r="261" spans="1:26" ht="19.5" customHeight="1">
      <c r="A261" s="19" t="s">
        <v>383</v>
      </c>
      <c r="B261" s="20" t="s">
        <v>384</v>
      </c>
      <c r="C261" s="21">
        <v>8</v>
      </c>
      <c r="D261" s="22" t="s">
        <v>306</v>
      </c>
      <c r="E261" s="18">
        <v>2.5000000000000001E-3</v>
      </c>
      <c r="F261" s="18">
        <f>6/((225+325)/2)</f>
        <v>2.181818181818182E-2</v>
      </c>
      <c r="G261" s="18">
        <f t="shared" ref="G261:G262" si="212">0/((56+46)/2)</f>
        <v>0</v>
      </c>
      <c r="H261" s="18">
        <f t="shared" ref="H261:H262" si="213">0/((44+77)/2)</f>
        <v>0</v>
      </c>
      <c r="I261" s="18">
        <f t="shared" si="211"/>
        <v>3.2786885245901641E-2</v>
      </c>
      <c r="J261" s="18">
        <f>5/(2300)</f>
        <v>2.1739130434782609E-3</v>
      </c>
      <c r="K261" s="18">
        <f t="shared" ref="K261:K263" si="214">0/((25+30)/2)</f>
        <v>0</v>
      </c>
      <c r="L261" s="18">
        <f t="shared" ref="L261:L262" si="215">0/(300)</f>
        <v>0</v>
      </c>
      <c r="M261" s="22" t="s">
        <v>385</v>
      </c>
      <c r="N261" s="2"/>
      <c r="O261" s="2"/>
      <c r="P261" s="2"/>
      <c r="Q261" s="2"/>
      <c r="R261" s="2"/>
      <c r="S261" s="2"/>
      <c r="T261" s="2"/>
      <c r="U261" s="2"/>
      <c r="V261" s="2"/>
      <c r="W261" s="2"/>
      <c r="X261" s="2"/>
      <c r="Y261" s="2"/>
      <c r="Z261" s="2"/>
    </row>
    <row r="262" spans="1:26" ht="19.5" customHeight="1">
      <c r="A262" s="19" t="s">
        <v>958</v>
      </c>
      <c r="B262" s="20" t="s">
        <v>959</v>
      </c>
      <c r="C262" s="21">
        <v>1</v>
      </c>
      <c r="D262" s="22" t="s">
        <v>960</v>
      </c>
      <c r="E262" s="18">
        <v>7.4999999999999997E-3</v>
      </c>
      <c r="F262" s="18">
        <f>4/((225+325)/2)</f>
        <v>1.4545454545454545E-2</v>
      </c>
      <c r="G262" s="18">
        <f t="shared" si="212"/>
        <v>0</v>
      </c>
      <c r="H262" s="18">
        <f t="shared" si="213"/>
        <v>0</v>
      </c>
      <c r="I262" s="18">
        <f>0/((36+25)/2)</f>
        <v>0</v>
      </c>
      <c r="J262" s="18">
        <f>20/(2300)</f>
        <v>8.6956521739130436E-3</v>
      </c>
      <c r="K262" s="18">
        <f t="shared" si="214"/>
        <v>0</v>
      </c>
      <c r="L262" s="18">
        <f t="shared" si="215"/>
        <v>0</v>
      </c>
      <c r="M262" s="22" t="s">
        <v>961</v>
      </c>
      <c r="N262" s="2"/>
      <c r="O262" s="2"/>
      <c r="P262" s="2"/>
      <c r="Q262" s="2"/>
      <c r="R262" s="2"/>
      <c r="S262" s="2"/>
      <c r="T262" s="2"/>
      <c r="U262" s="2"/>
      <c r="V262" s="2"/>
      <c r="W262" s="2"/>
      <c r="X262" s="2"/>
      <c r="Y262" s="2"/>
      <c r="Z262" s="2"/>
    </row>
    <row r="263" spans="1:26" ht="19.5" customHeight="1">
      <c r="A263" s="19" t="s">
        <v>962</v>
      </c>
      <c r="B263" s="20" t="s">
        <v>963</v>
      </c>
      <c r="C263" s="21">
        <v>1</v>
      </c>
      <c r="D263" s="22" t="s">
        <v>778</v>
      </c>
      <c r="E263" s="18">
        <v>7.4999999999999997E-2</v>
      </c>
      <c r="F263" s="18">
        <f>10/((225+325)/2)</f>
        <v>3.6363636363636362E-2</v>
      </c>
      <c r="G263" s="18">
        <f>17/((56+46)/2)</f>
        <v>0.33333333333333331</v>
      </c>
      <c r="H263" s="18">
        <f>5/((44+77)/2)</f>
        <v>8.2644628099173556E-2</v>
      </c>
      <c r="I263" s="18">
        <f>9/((36+25)/2)</f>
        <v>0.29508196721311475</v>
      </c>
      <c r="J263" s="18">
        <f>350/(2300)</f>
        <v>0.15217391304347827</v>
      </c>
      <c r="K263" s="18">
        <f t="shared" si="214"/>
        <v>0</v>
      </c>
      <c r="L263" s="18">
        <f>25/(300)</f>
        <v>8.3333333333333329E-2</v>
      </c>
      <c r="M263" s="22" t="s">
        <v>964</v>
      </c>
      <c r="N263" s="2"/>
      <c r="O263" s="2"/>
      <c r="P263" s="2"/>
      <c r="Q263" s="2"/>
      <c r="R263" s="2"/>
      <c r="S263" s="2"/>
      <c r="T263" s="2"/>
      <c r="U263" s="2"/>
      <c r="V263" s="2"/>
      <c r="W263" s="2"/>
      <c r="X263" s="2"/>
      <c r="Y263" s="2"/>
      <c r="Z263" s="2"/>
    </row>
    <row r="264" spans="1:26" ht="43.5" customHeight="1">
      <c r="A264" s="19" t="s">
        <v>46</v>
      </c>
      <c r="B264" s="20" t="s">
        <v>47</v>
      </c>
      <c r="C264" s="22" t="s">
        <v>35</v>
      </c>
      <c r="D264" s="22" t="s">
        <v>17</v>
      </c>
      <c r="E264" s="18">
        <v>9.5000000000000001E-2</v>
      </c>
      <c r="F264" s="18">
        <f>22/((225+325)/2)</f>
        <v>0.08</v>
      </c>
      <c r="G264" s="18">
        <f>5/((56+46)/2)</f>
        <v>9.8039215686274508E-2</v>
      </c>
      <c r="H264" s="18">
        <f>9/((44+77)/2)</f>
        <v>0.1487603305785124</v>
      </c>
      <c r="I264" s="18">
        <f>6/((36+25)/2)</f>
        <v>0.19672131147540983</v>
      </c>
      <c r="J264" s="18">
        <f>640/(2300)</f>
        <v>0.27826086956521739</v>
      </c>
      <c r="K264" s="18">
        <f>7/((25+30)/2)</f>
        <v>0.25454545454545452</v>
      </c>
      <c r="L264" s="18">
        <f>0/(300)</f>
        <v>0</v>
      </c>
      <c r="M264" s="23" t="s">
        <v>1108</v>
      </c>
      <c r="N264" s="2"/>
      <c r="O264" s="2"/>
      <c r="P264" s="2"/>
      <c r="Q264" s="2"/>
      <c r="R264" s="2"/>
      <c r="S264" s="2"/>
      <c r="T264" s="2"/>
      <c r="U264" s="2"/>
      <c r="V264" s="2"/>
      <c r="W264" s="2"/>
      <c r="X264" s="2"/>
      <c r="Y264" s="2"/>
      <c r="Z264" s="2"/>
    </row>
    <row r="265" spans="1:26" ht="19.5" customHeight="1">
      <c r="A265" s="19" t="s">
        <v>462</v>
      </c>
      <c r="B265" s="20" t="s">
        <v>463</v>
      </c>
      <c r="C265" s="21">
        <v>3</v>
      </c>
      <c r="D265" s="22" t="s">
        <v>205</v>
      </c>
      <c r="E265" s="18">
        <v>9.5000000000000001E-2</v>
      </c>
      <c r="F265" s="18">
        <f>18/((225+325)/2)</f>
        <v>6.545454545454546E-2</v>
      </c>
      <c r="G265" s="18">
        <f t="shared" ref="G265:G266" si="216">12/((56+46)/2)</f>
        <v>0.23529411764705882</v>
      </c>
      <c r="H265" s="18">
        <f>8/((44+77)/2)</f>
        <v>0.13223140495867769</v>
      </c>
      <c r="I265" s="18">
        <f>0/((36+25)/2)</f>
        <v>0</v>
      </c>
      <c r="J265" s="18">
        <f>420/(2300)</f>
        <v>0.18260869565217391</v>
      </c>
      <c r="K265" s="18">
        <f>1/((25+30)/2)</f>
        <v>3.6363636363636362E-2</v>
      </c>
      <c r="L265" s="18">
        <f>40/(300)</f>
        <v>0.13333333333333333</v>
      </c>
      <c r="M265" s="22" t="s">
        <v>464</v>
      </c>
      <c r="N265" s="2"/>
      <c r="O265" s="2"/>
      <c r="P265" s="2"/>
      <c r="Q265" s="2"/>
      <c r="R265" s="2"/>
      <c r="S265" s="2"/>
      <c r="T265" s="2"/>
      <c r="U265" s="2"/>
      <c r="V265" s="2"/>
      <c r="W265" s="2"/>
      <c r="X265" s="2"/>
      <c r="Y265" s="2"/>
      <c r="Z265" s="2"/>
    </row>
    <row r="266" spans="1:26" ht="19.5" customHeight="1">
      <c r="A266" s="19" t="s">
        <v>965</v>
      </c>
      <c r="B266" s="20" t="s">
        <v>966</v>
      </c>
      <c r="C266" s="21">
        <v>1</v>
      </c>
      <c r="D266" s="22" t="s">
        <v>778</v>
      </c>
      <c r="E266" s="18">
        <v>0.06</v>
      </c>
      <c r="F266" s="18">
        <f>11/((225+325)/2)</f>
        <v>0.04</v>
      </c>
      <c r="G266" s="18">
        <f t="shared" si="216"/>
        <v>0.23529411764705882</v>
      </c>
      <c r="H266" s="18">
        <f>2.5/((44+77)/2)</f>
        <v>4.1322314049586778E-2</v>
      </c>
      <c r="I266" s="18">
        <f>9/((36+25)/2)</f>
        <v>0.29508196721311475</v>
      </c>
      <c r="J266" s="18">
        <f>50/(2300)</f>
        <v>2.1739130434782608E-2</v>
      </c>
      <c r="K266" s="18">
        <f>0/((25+30)/2)</f>
        <v>0</v>
      </c>
      <c r="L266" s="18">
        <f>15/(300)</f>
        <v>0.05</v>
      </c>
      <c r="M266" s="22" t="s">
        <v>967</v>
      </c>
      <c r="N266" s="2"/>
      <c r="O266" s="2"/>
      <c r="P266" s="2"/>
      <c r="Q266" s="2"/>
      <c r="R266" s="2"/>
      <c r="S266" s="2"/>
      <c r="T266" s="2"/>
      <c r="U266" s="2"/>
      <c r="V266" s="2"/>
      <c r="W266" s="2"/>
      <c r="X266" s="2"/>
      <c r="Y266" s="2"/>
      <c r="Z266" s="2"/>
    </row>
    <row r="267" spans="1:26" ht="19.5" customHeight="1">
      <c r="A267" s="19" t="s">
        <v>262</v>
      </c>
      <c r="B267" s="20" t="s">
        <v>263</v>
      </c>
      <c r="C267" s="21">
        <v>40</v>
      </c>
      <c r="D267" s="22" t="s">
        <v>226</v>
      </c>
      <c r="E267" s="18">
        <v>0.125</v>
      </c>
      <c r="F267" s="18">
        <f>15/((225+325)/2)</f>
        <v>5.4545454545454543E-2</v>
      </c>
      <c r="G267" s="18">
        <f>5/((56+46)/2)</f>
        <v>9.8039215686274508E-2</v>
      </c>
      <c r="H267" s="18">
        <f>20/((44+77)/2)</f>
        <v>0.33057851239669422</v>
      </c>
      <c r="I267" s="18">
        <f>5/((36+25)/2)</f>
        <v>0.16393442622950818</v>
      </c>
      <c r="J267" s="18">
        <f>0/(2300)</f>
        <v>0</v>
      </c>
      <c r="K267" s="18">
        <f>6/((25+30)/2)</f>
        <v>0.21818181818181817</v>
      </c>
      <c r="L267" s="18">
        <f t="shared" ref="L267:L271" si="217">0/(300)</f>
        <v>0</v>
      </c>
      <c r="M267" s="22" t="s">
        <v>264</v>
      </c>
      <c r="N267" s="2"/>
      <c r="O267" s="2"/>
      <c r="P267" s="2"/>
      <c r="Q267" s="2"/>
      <c r="R267" s="2"/>
      <c r="S267" s="2"/>
      <c r="T267" s="2"/>
      <c r="U267" s="2"/>
      <c r="V267" s="2"/>
      <c r="W267" s="2"/>
      <c r="X267" s="2"/>
      <c r="Y267" s="2"/>
      <c r="Z267" s="2"/>
    </row>
    <row r="268" spans="1:26" ht="19.5" customHeight="1">
      <c r="A268" s="19" t="s">
        <v>1066</v>
      </c>
      <c r="B268" s="20" t="s">
        <v>1067</v>
      </c>
      <c r="C268" s="21">
        <v>0.5</v>
      </c>
      <c r="D268" s="22" t="s">
        <v>212</v>
      </c>
      <c r="E268" s="18">
        <v>7.4999999999999997E-2</v>
      </c>
      <c r="F268" s="18">
        <f>12/((225+325)/2)</f>
        <v>4.363636363636364E-2</v>
      </c>
      <c r="G268" s="18">
        <f>6/((56+46)/2)</f>
        <v>0.11764705882352941</v>
      </c>
      <c r="H268" s="18">
        <f>8/((44+77)/2)</f>
        <v>0.13223140495867769</v>
      </c>
      <c r="I268" s="18">
        <f>3/((36+25)/2)</f>
        <v>9.8360655737704916E-2</v>
      </c>
      <c r="J268" s="18">
        <f>200/(2300)</f>
        <v>8.6956521739130432E-2</v>
      </c>
      <c r="K268" s="18">
        <f>4/((25+30)/2)</f>
        <v>0.14545454545454545</v>
      </c>
      <c r="L268" s="18">
        <f t="shared" si="217"/>
        <v>0</v>
      </c>
      <c r="M268" s="22" t="s">
        <v>1069</v>
      </c>
      <c r="N268" s="2"/>
      <c r="O268" s="2"/>
      <c r="P268" s="2"/>
      <c r="Q268" s="2"/>
      <c r="R268" s="2"/>
      <c r="S268" s="2"/>
      <c r="T268" s="2"/>
      <c r="U268" s="2"/>
      <c r="V268" s="2"/>
      <c r="W268" s="2"/>
      <c r="X268" s="2"/>
      <c r="Y268" s="2"/>
      <c r="Z268" s="2"/>
    </row>
    <row r="269" spans="1:26" ht="19.5" customHeight="1">
      <c r="A269" s="19" t="s">
        <v>968</v>
      </c>
      <c r="B269" s="20" t="s">
        <v>969</v>
      </c>
      <c r="C269" s="21">
        <v>1</v>
      </c>
      <c r="D269" s="22" t="s">
        <v>727</v>
      </c>
      <c r="E269" s="18">
        <v>0.05</v>
      </c>
      <c r="F269" s="18">
        <f>27/((225+325)/2)</f>
        <v>9.8181818181818176E-2</v>
      </c>
      <c r="G269" s="18">
        <f t="shared" ref="G269:G274" si="218">0/((56+46)/2)</f>
        <v>0</v>
      </c>
      <c r="H269" s="18">
        <f t="shared" ref="H269:H275" si="219">0/((44+77)/2)</f>
        <v>0</v>
      </c>
      <c r="I269" s="18">
        <f>27/((36+25)/2)</f>
        <v>0.88524590163934425</v>
      </c>
      <c r="J269" s="18">
        <f t="shared" ref="J269:J270" si="220">0/(2300)</f>
        <v>0</v>
      </c>
      <c r="K269" s="18">
        <f t="shared" ref="K269:K274" si="221">0/((25+30)/2)</f>
        <v>0</v>
      </c>
      <c r="L269" s="18">
        <f t="shared" si="217"/>
        <v>0</v>
      </c>
      <c r="M269" s="22" t="s">
        <v>971</v>
      </c>
      <c r="N269" s="2"/>
      <c r="O269" s="2"/>
      <c r="P269" s="2"/>
      <c r="Q269" s="2"/>
      <c r="R269" s="2"/>
      <c r="S269" s="2"/>
      <c r="T269" s="2"/>
      <c r="U269" s="2"/>
      <c r="V269" s="2"/>
      <c r="W269" s="2"/>
      <c r="X269" s="2"/>
      <c r="Y269" s="2"/>
      <c r="Z269" s="2"/>
    </row>
    <row r="270" spans="1:26" ht="19.5" customHeight="1">
      <c r="A270" s="19" t="s">
        <v>972</v>
      </c>
      <c r="B270" s="20" t="s">
        <v>973</v>
      </c>
      <c r="C270" s="21">
        <v>1</v>
      </c>
      <c r="D270" s="22" t="s">
        <v>606</v>
      </c>
      <c r="E270" s="18">
        <v>0</v>
      </c>
      <c r="F270" s="18">
        <f t="shared" ref="F270:F271" si="222">0/((225+325)/2)</f>
        <v>0</v>
      </c>
      <c r="G270" s="18">
        <f t="shared" si="218"/>
        <v>0</v>
      </c>
      <c r="H270" s="18">
        <f t="shared" si="219"/>
        <v>0</v>
      </c>
      <c r="I270" s="18">
        <f t="shared" ref="I270:I277" si="223">0/((36+25)/2)</f>
        <v>0</v>
      </c>
      <c r="J270" s="18">
        <f t="shared" si="220"/>
        <v>0</v>
      </c>
      <c r="K270" s="18">
        <f t="shared" si="221"/>
        <v>0</v>
      </c>
      <c r="L270" s="18">
        <f t="shared" si="217"/>
        <v>0</v>
      </c>
      <c r="M270" s="22" t="s">
        <v>974</v>
      </c>
      <c r="N270" s="2"/>
      <c r="O270" s="2"/>
      <c r="P270" s="2"/>
      <c r="Q270" s="2"/>
      <c r="R270" s="2"/>
      <c r="S270" s="2"/>
      <c r="T270" s="2"/>
      <c r="U270" s="2"/>
      <c r="V270" s="2"/>
      <c r="W270" s="2"/>
      <c r="X270" s="2"/>
      <c r="Y270" s="2"/>
      <c r="Z270" s="2"/>
    </row>
    <row r="271" spans="1:26" ht="19.5" customHeight="1">
      <c r="A271" s="19" t="s">
        <v>975</v>
      </c>
      <c r="B271" s="20" t="s">
        <v>1109</v>
      </c>
      <c r="C271" s="21">
        <v>1</v>
      </c>
      <c r="D271" s="22" t="s">
        <v>606</v>
      </c>
      <c r="E271" s="18">
        <v>0</v>
      </c>
      <c r="F271" s="18">
        <f t="shared" si="222"/>
        <v>0</v>
      </c>
      <c r="G271" s="18">
        <f t="shared" si="218"/>
        <v>0</v>
      </c>
      <c r="H271" s="18">
        <f t="shared" si="219"/>
        <v>0</v>
      </c>
      <c r="I271" s="18">
        <f t="shared" si="223"/>
        <v>0</v>
      </c>
      <c r="J271" s="18">
        <f>25/(2300)</f>
        <v>1.0869565217391304E-2</v>
      </c>
      <c r="K271" s="18">
        <f t="shared" si="221"/>
        <v>0</v>
      </c>
      <c r="L271" s="18">
        <f t="shared" si="217"/>
        <v>0</v>
      </c>
      <c r="M271" s="22" t="s">
        <v>977</v>
      </c>
      <c r="N271" s="2"/>
      <c r="O271" s="2"/>
      <c r="P271" s="2"/>
      <c r="Q271" s="2"/>
      <c r="R271" s="2"/>
      <c r="S271" s="2"/>
      <c r="T271" s="2"/>
      <c r="U271" s="2"/>
      <c r="V271" s="2"/>
      <c r="W271" s="2"/>
      <c r="X271" s="2"/>
      <c r="Y271" s="2"/>
      <c r="Z271" s="2"/>
    </row>
    <row r="272" spans="1:26" ht="19.5" customHeight="1">
      <c r="A272" s="19" t="s">
        <v>386</v>
      </c>
      <c r="B272" s="20" t="s">
        <v>387</v>
      </c>
      <c r="C272" s="21">
        <v>8</v>
      </c>
      <c r="D272" s="22" t="s">
        <v>306</v>
      </c>
      <c r="E272" s="18">
        <v>2.5000000000000001E-2</v>
      </c>
      <c r="F272" s="18" t="s">
        <v>218</v>
      </c>
      <c r="G272" s="18">
        <f t="shared" si="218"/>
        <v>0</v>
      </c>
      <c r="H272" s="18">
        <f t="shared" si="219"/>
        <v>0</v>
      </c>
      <c r="I272" s="18">
        <f t="shared" si="223"/>
        <v>0</v>
      </c>
      <c r="J272" s="18">
        <f>0/(2300)</f>
        <v>0</v>
      </c>
      <c r="K272" s="18">
        <f t="shared" si="221"/>
        <v>0</v>
      </c>
      <c r="L272" s="18">
        <f>60/(300)</f>
        <v>0.2</v>
      </c>
      <c r="M272" s="22" t="s">
        <v>361</v>
      </c>
      <c r="N272" s="2"/>
      <c r="O272" s="2"/>
      <c r="P272" s="2"/>
      <c r="Q272" s="2"/>
      <c r="R272" s="2"/>
      <c r="S272" s="2"/>
      <c r="T272" s="2"/>
      <c r="U272" s="2"/>
      <c r="V272" s="2"/>
      <c r="W272" s="2"/>
      <c r="X272" s="2"/>
      <c r="Y272" s="2"/>
      <c r="Z272" s="2"/>
    </row>
    <row r="273" spans="1:26" ht="19.5" customHeight="1">
      <c r="A273" s="19" t="s">
        <v>978</v>
      </c>
      <c r="B273" s="20" t="s">
        <v>979</v>
      </c>
      <c r="C273" s="21">
        <v>1</v>
      </c>
      <c r="D273" s="22" t="s">
        <v>606</v>
      </c>
      <c r="E273" s="18">
        <v>0</v>
      </c>
      <c r="F273" s="18">
        <f t="shared" ref="F273:F274" si="224">0/((225+325)/2)</f>
        <v>0</v>
      </c>
      <c r="G273" s="18">
        <f t="shared" si="218"/>
        <v>0</v>
      </c>
      <c r="H273" s="18">
        <f t="shared" si="219"/>
        <v>0</v>
      </c>
      <c r="I273" s="18">
        <f t="shared" si="223"/>
        <v>0</v>
      </c>
      <c r="J273" s="18">
        <f>10/(2300)</f>
        <v>4.3478260869565218E-3</v>
      </c>
      <c r="K273" s="18">
        <f t="shared" si="221"/>
        <v>0</v>
      </c>
      <c r="L273" s="18">
        <f t="shared" ref="L273:L278" si="225">0/(300)</f>
        <v>0</v>
      </c>
      <c r="M273" s="22" t="s">
        <v>980</v>
      </c>
      <c r="N273" s="2"/>
      <c r="O273" s="2"/>
      <c r="P273" s="2"/>
      <c r="Q273" s="2"/>
      <c r="R273" s="2"/>
      <c r="S273" s="2"/>
      <c r="T273" s="2"/>
      <c r="U273" s="2"/>
      <c r="V273" s="2"/>
      <c r="W273" s="2"/>
      <c r="X273" s="2"/>
      <c r="Y273" s="2"/>
      <c r="Z273" s="2"/>
    </row>
    <row r="274" spans="1:26" ht="19.5" customHeight="1">
      <c r="A274" s="19" t="s">
        <v>981</v>
      </c>
      <c r="B274" s="20" t="s">
        <v>982</v>
      </c>
      <c r="C274" s="21">
        <v>1</v>
      </c>
      <c r="D274" s="22" t="s">
        <v>606</v>
      </c>
      <c r="E274" s="18">
        <v>0</v>
      </c>
      <c r="F274" s="18">
        <f t="shared" si="224"/>
        <v>0</v>
      </c>
      <c r="G274" s="18">
        <f t="shared" si="218"/>
        <v>0</v>
      </c>
      <c r="H274" s="18">
        <f t="shared" si="219"/>
        <v>0</v>
      </c>
      <c r="I274" s="18">
        <f t="shared" si="223"/>
        <v>0</v>
      </c>
      <c r="J274" s="18">
        <f>0/(2300)</f>
        <v>0</v>
      </c>
      <c r="K274" s="18">
        <f t="shared" si="221"/>
        <v>0</v>
      </c>
      <c r="L274" s="18">
        <f t="shared" si="225"/>
        <v>0</v>
      </c>
      <c r="M274" s="22" t="s">
        <v>983</v>
      </c>
      <c r="N274" s="2"/>
      <c r="O274" s="2"/>
      <c r="P274" s="2"/>
      <c r="Q274" s="2"/>
      <c r="R274" s="2"/>
      <c r="S274" s="2"/>
      <c r="T274" s="2"/>
      <c r="U274" s="2"/>
      <c r="V274" s="2"/>
      <c r="W274" s="2"/>
      <c r="X274" s="2"/>
      <c r="Y274" s="2"/>
      <c r="Z274" s="2"/>
    </row>
    <row r="275" spans="1:26" ht="19.5" customHeight="1">
      <c r="A275" s="19" t="s">
        <v>574</v>
      </c>
      <c r="B275" s="20" t="s">
        <v>575</v>
      </c>
      <c r="C275" s="21">
        <v>2</v>
      </c>
      <c r="D275" s="22" t="s">
        <v>467</v>
      </c>
      <c r="E275" s="18">
        <v>0.03</v>
      </c>
      <c r="F275" s="18">
        <f>15/((225+325)/2)</f>
        <v>5.4545454545454543E-2</v>
      </c>
      <c r="G275" s="18">
        <f>2/((56+46)/2)</f>
        <v>3.9215686274509803E-2</v>
      </c>
      <c r="H275" s="18">
        <f t="shared" si="219"/>
        <v>0</v>
      </c>
      <c r="I275" s="18">
        <f t="shared" si="223"/>
        <v>0</v>
      </c>
      <c r="J275" s="18">
        <f>70/(2300)</f>
        <v>3.0434782608695653E-2</v>
      </c>
      <c r="K275" s="18">
        <f>3/((25+30)/2)</f>
        <v>0.10909090909090909</v>
      </c>
      <c r="L275" s="18">
        <f t="shared" si="225"/>
        <v>0</v>
      </c>
      <c r="M275" s="22" t="s">
        <v>576</v>
      </c>
      <c r="N275" s="2"/>
      <c r="O275" s="2"/>
      <c r="P275" s="2"/>
      <c r="Q275" s="2"/>
      <c r="R275" s="2"/>
      <c r="S275" s="2"/>
      <c r="T275" s="2"/>
      <c r="U275" s="2"/>
      <c r="V275" s="2"/>
      <c r="W275" s="2"/>
      <c r="X275" s="2"/>
      <c r="Y275" s="2"/>
      <c r="Z275" s="2"/>
    </row>
    <row r="276" spans="1:26" ht="19.5" customHeight="1">
      <c r="A276" s="19" t="s">
        <v>577</v>
      </c>
      <c r="B276" s="20" t="s">
        <v>578</v>
      </c>
      <c r="C276" s="21">
        <v>2</v>
      </c>
      <c r="D276" s="22" t="s">
        <v>31</v>
      </c>
      <c r="E276" s="18">
        <v>7.4999999999999997E-3</v>
      </c>
      <c r="F276" s="18">
        <f t="shared" ref="F276:F277" si="226">0/((225+325)/2)</f>
        <v>0</v>
      </c>
      <c r="G276" s="18">
        <f t="shared" ref="G276:G277" si="227">0/((56+46)/2)</f>
        <v>0</v>
      </c>
      <c r="H276" s="18">
        <f>1.5/((44+77)/2)</f>
        <v>2.4793388429752067E-2</v>
      </c>
      <c r="I276" s="18">
        <f t="shared" si="223"/>
        <v>0</v>
      </c>
      <c r="J276" s="18">
        <f>30/(2300)</f>
        <v>1.3043478260869565E-2</v>
      </c>
      <c r="K276" s="18">
        <f t="shared" ref="K276:K277" si="228">0/((25+30)/2)</f>
        <v>0</v>
      </c>
      <c r="L276" s="18">
        <f t="shared" si="225"/>
        <v>0</v>
      </c>
      <c r="M276" s="22" t="s">
        <v>579</v>
      </c>
      <c r="N276" s="2"/>
      <c r="O276" s="2"/>
      <c r="P276" s="2"/>
      <c r="Q276" s="2"/>
      <c r="R276" s="2"/>
      <c r="S276" s="2"/>
      <c r="T276" s="2"/>
      <c r="U276" s="2"/>
      <c r="V276" s="2"/>
      <c r="W276" s="2"/>
      <c r="X276" s="2"/>
      <c r="Y276" s="2"/>
      <c r="Z276" s="2"/>
    </row>
    <row r="277" spans="1:26" ht="19.5" customHeight="1">
      <c r="A277" s="19" t="s">
        <v>389</v>
      </c>
      <c r="B277" s="20" t="s">
        <v>390</v>
      </c>
      <c r="C277" s="21">
        <v>8</v>
      </c>
      <c r="D277" s="22" t="s">
        <v>306</v>
      </c>
      <c r="E277" s="18">
        <v>0</v>
      </c>
      <c r="F277" s="18">
        <f t="shared" si="226"/>
        <v>0</v>
      </c>
      <c r="G277" s="18">
        <f t="shared" si="227"/>
        <v>0</v>
      </c>
      <c r="H277" s="18">
        <f>0/((44+77)/2)</f>
        <v>0</v>
      </c>
      <c r="I277" s="18">
        <f t="shared" si="223"/>
        <v>0</v>
      </c>
      <c r="J277" s="18">
        <f>0/(2300)</f>
        <v>0</v>
      </c>
      <c r="K277" s="18">
        <f t="shared" si="228"/>
        <v>0</v>
      </c>
      <c r="L277" s="18">
        <f t="shared" si="225"/>
        <v>0</v>
      </c>
      <c r="M277" s="22" t="s">
        <v>391</v>
      </c>
      <c r="N277" s="2"/>
      <c r="O277" s="2"/>
      <c r="P277" s="2"/>
      <c r="Q277" s="2"/>
      <c r="R277" s="2"/>
      <c r="S277" s="2"/>
      <c r="T277" s="2"/>
      <c r="U277" s="2"/>
      <c r="V277" s="2"/>
      <c r="W277" s="2"/>
      <c r="X277" s="2"/>
      <c r="Y277" s="2"/>
      <c r="Z277" s="2"/>
    </row>
    <row r="278" spans="1:26" ht="19.5" customHeight="1">
      <c r="A278" s="19" t="s">
        <v>392</v>
      </c>
      <c r="B278" s="20" t="s">
        <v>393</v>
      </c>
      <c r="C278" s="21">
        <v>8</v>
      </c>
      <c r="D278" s="22" t="s">
        <v>306</v>
      </c>
      <c r="E278" s="18">
        <v>0.05</v>
      </c>
      <c r="F278" s="18">
        <f>5/((225+325)/2)</f>
        <v>1.8181818181818181E-2</v>
      </c>
      <c r="G278" s="18">
        <f>3/((56+46)/2)</f>
        <v>5.8823529411764705E-2</v>
      </c>
      <c r="H278" s="18">
        <f>8/((44+77)/2)</f>
        <v>0.13223140495867769</v>
      </c>
      <c r="I278" s="18">
        <f>1/((36+25)/2)</f>
        <v>3.2786885245901641E-2</v>
      </c>
      <c r="J278" s="18">
        <f>105/(2300)</f>
        <v>4.5652173913043478E-2</v>
      </c>
      <c r="K278" s="18">
        <f t="shared" ref="K278:K279" si="229">1/((25+30)/2)</f>
        <v>3.6363636363636362E-2</v>
      </c>
      <c r="L278" s="18">
        <f t="shared" si="225"/>
        <v>0</v>
      </c>
      <c r="M278" s="22" t="s">
        <v>394</v>
      </c>
      <c r="N278" s="2"/>
      <c r="O278" s="2"/>
      <c r="P278" s="2"/>
      <c r="Q278" s="2"/>
      <c r="R278" s="2"/>
      <c r="S278" s="2"/>
      <c r="T278" s="2"/>
      <c r="U278" s="2"/>
      <c r="V278" s="2"/>
      <c r="W278" s="2"/>
      <c r="X278" s="2"/>
      <c r="Y278" s="2"/>
      <c r="Z278" s="2"/>
    </row>
    <row r="279" spans="1:26" ht="19.5" customHeight="1">
      <c r="A279" s="19" t="s">
        <v>984</v>
      </c>
      <c r="B279" s="20" t="s">
        <v>985</v>
      </c>
      <c r="C279" s="21">
        <v>1</v>
      </c>
      <c r="D279" s="22" t="s">
        <v>909</v>
      </c>
      <c r="E279" s="18">
        <v>0.14000000000000001</v>
      </c>
      <c r="F279" s="18">
        <f>8/((225+325)/2)</f>
        <v>2.9090909090909091E-2</v>
      </c>
      <c r="G279" s="18">
        <f>14/((56+46)/2)</f>
        <v>0.27450980392156865</v>
      </c>
      <c r="H279" s="18">
        <f>21/((44+77)/2)</f>
        <v>0.34710743801652894</v>
      </c>
      <c r="I279" s="18">
        <f>4/((36+25)/2)</f>
        <v>0.13114754098360656</v>
      </c>
      <c r="J279" s="18">
        <f>910/(2300)</f>
        <v>0.39565217391304347</v>
      </c>
      <c r="K279" s="18">
        <f t="shared" si="229"/>
        <v>3.6363636363636362E-2</v>
      </c>
      <c r="L279" s="18">
        <f>180/(300)</f>
        <v>0.6</v>
      </c>
      <c r="M279" s="22" t="s">
        <v>986</v>
      </c>
      <c r="N279" s="2"/>
      <c r="O279" s="2"/>
      <c r="P279" s="2"/>
      <c r="Q279" s="2"/>
      <c r="R279" s="2"/>
      <c r="S279" s="2"/>
      <c r="T279" s="2"/>
      <c r="U279" s="2"/>
      <c r="V279" s="2"/>
      <c r="W279" s="2"/>
      <c r="X279" s="2"/>
      <c r="Y279" s="2"/>
      <c r="Z279" s="2"/>
    </row>
    <row r="280" spans="1:26" ht="19.5" customHeight="1">
      <c r="A280" s="19" t="s">
        <v>207</v>
      </c>
      <c r="B280" s="20" t="s">
        <v>208</v>
      </c>
      <c r="C280" s="22" t="s">
        <v>155</v>
      </c>
      <c r="D280" s="22" t="s">
        <v>17</v>
      </c>
      <c r="E280" s="18">
        <v>4.4999999999999998E-2</v>
      </c>
      <c r="F280" s="18">
        <f>12/((225+325)/2)</f>
        <v>4.363636363636364E-2</v>
      </c>
      <c r="G280" s="18">
        <f>8/((56+46)/2)</f>
        <v>0.15686274509803921</v>
      </c>
      <c r="H280" s="18">
        <f>4/((44+77)/2)</f>
        <v>6.6115702479338845E-2</v>
      </c>
      <c r="I280" s="18">
        <f>0/((36+25)/2)</f>
        <v>0</v>
      </c>
      <c r="J280" s="18">
        <f>140/(2300)</f>
        <v>6.0869565217391307E-2</v>
      </c>
      <c r="K280" s="18">
        <f>7/((25+30)/2)</f>
        <v>0.25454545454545452</v>
      </c>
      <c r="L280" s="18">
        <f>0/(300)</f>
        <v>0</v>
      </c>
      <c r="M280" s="22" t="s">
        <v>209</v>
      </c>
      <c r="N280" s="2"/>
      <c r="O280" s="2"/>
      <c r="P280" s="2"/>
      <c r="Q280" s="2"/>
      <c r="R280" s="2"/>
      <c r="S280" s="2"/>
      <c r="T280" s="2"/>
      <c r="U280" s="2"/>
      <c r="V280" s="2"/>
      <c r="W280" s="2"/>
      <c r="X280" s="2"/>
      <c r="Y280" s="2"/>
      <c r="Z280" s="2"/>
    </row>
    <row r="281" spans="1:26" ht="19.5" customHeight="1">
      <c r="A281" s="19" t="s">
        <v>580</v>
      </c>
      <c r="B281" s="20" t="s">
        <v>581</v>
      </c>
      <c r="C281" s="21">
        <v>2</v>
      </c>
      <c r="D281" s="22" t="s">
        <v>582</v>
      </c>
      <c r="E281" s="18">
        <v>7.0000000000000007E-2</v>
      </c>
      <c r="F281" s="18">
        <f>16/((225+325)/2)</f>
        <v>5.8181818181818182E-2</v>
      </c>
      <c r="G281" s="18">
        <f t="shared" ref="G281:G283" si="230">7/((56+46)/2)</f>
        <v>0.13725490196078433</v>
      </c>
      <c r="H281" s="18">
        <f>7/((44+77)/2)</f>
        <v>0.11570247933884298</v>
      </c>
      <c r="I281" s="18">
        <f>1/((36+25)/2)</f>
        <v>3.2786885245901641E-2</v>
      </c>
      <c r="J281" s="18">
        <f>340/(2300)</f>
        <v>0.14782608695652175</v>
      </c>
      <c r="K281" s="18">
        <f t="shared" ref="K281:K282" si="231">5/((25+30)/2)</f>
        <v>0.18181818181818182</v>
      </c>
      <c r="L281" s="18">
        <f>100/(300)</f>
        <v>0.33333333333333331</v>
      </c>
      <c r="M281" s="22" t="s">
        <v>583</v>
      </c>
      <c r="N281" s="2"/>
      <c r="O281" s="2"/>
      <c r="P281" s="2"/>
      <c r="Q281" s="2"/>
      <c r="R281" s="2"/>
      <c r="S281" s="2"/>
      <c r="T281" s="2"/>
      <c r="U281" s="2"/>
      <c r="V281" s="2"/>
      <c r="W281" s="2"/>
      <c r="X281" s="2"/>
      <c r="Y281" s="2"/>
      <c r="Z281" s="2"/>
    </row>
    <row r="282" spans="1:26" ht="19.5" customHeight="1">
      <c r="A282" s="19" t="s">
        <v>288</v>
      </c>
      <c r="B282" s="20" t="s">
        <v>289</v>
      </c>
      <c r="C282" s="21">
        <v>25</v>
      </c>
      <c r="D282" s="22" t="s">
        <v>286</v>
      </c>
      <c r="E282" s="18">
        <v>0.03</v>
      </c>
      <c r="F282" s="18">
        <f>5/((225+325)/2)</f>
        <v>1.8181818181818181E-2</v>
      </c>
      <c r="G282" s="18">
        <f t="shared" si="230"/>
        <v>0.13725490196078433</v>
      </c>
      <c r="H282" s="18">
        <f t="shared" ref="H282:H283" si="232">1/((44+77)/2)</f>
        <v>1.6528925619834711E-2</v>
      </c>
      <c r="I282" s="18">
        <f t="shared" ref="I282:I283" si="233">0/((36+25)/2)</f>
        <v>0</v>
      </c>
      <c r="J282" s="18">
        <f>403/(2300)</f>
        <v>0.17521739130434782</v>
      </c>
      <c r="K282" s="18">
        <f t="shared" si="231"/>
        <v>0.18181818181818182</v>
      </c>
      <c r="L282" s="18">
        <f t="shared" ref="L282:L292" si="234">0/(300)</f>
        <v>0</v>
      </c>
      <c r="M282" s="22" t="s">
        <v>290</v>
      </c>
      <c r="N282" s="2"/>
      <c r="O282" s="2"/>
      <c r="P282" s="2"/>
      <c r="Q282" s="2"/>
      <c r="R282" s="2"/>
      <c r="S282" s="2"/>
      <c r="T282" s="2"/>
      <c r="U282" s="2"/>
      <c r="V282" s="2"/>
      <c r="W282" s="2"/>
      <c r="X282" s="2"/>
      <c r="Y282" s="2"/>
      <c r="Z282" s="2"/>
    </row>
    <row r="283" spans="1:26" ht="19.5" customHeight="1">
      <c r="A283" s="19" t="s">
        <v>291</v>
      </c>
      <c r="B283" s="20" t="s">
        <v>292</v>
      </c>
      <c r="C283" s="21">
        <v>25</v>
      </c>
      <c r="D283" s="22" t="s">
        <v>286</v>
      </c>
      <c r="E283" s="18">
        <v>0.03</v>
      </c>
      <c r="F283" s="18">
        <f>7/((225+325)/2)</f>
        <v>2.5454545454545455E-2</v>
      </c>
      <c r="G283" s="18">
        <f t="shared" si="230"/>
        <v>0.13725490196078433</v>
      </c>
      <c r="H283" s="18">
        <f t="shared" si="232"/>
        <v>1.6528925619834711E-2</v>
      </c>
      <c r="I283" s="18">
        <f t="shared" si="233"/>
        <v>0</v>
      </c>
      <c r="J283" s="18">
        <f>321/(2300)</f>
        <v>0.13956521739130434</v>
      </c>
      <c r="K283" s="18">
        <f>7/((25+30)/2)</f>
        <v>0.25454545454545452</v>
      </c>
      <c r="L283" s="18">
        <f t="shared" si="234"/>
        <v>0</v>
      </c>
      <c r="M283" s="22" t="s">
        <v>287</v>
      </c>
      <c r="N283" s="2"/>
      <c r="O283" s="2"/>
      <c r="P283" s="2"/>
      <c r="Q283" s="2"/>
      <c r="R283" s="2"/>
      <c r="S283" s="2"/>
      <c r="T283" s="2"/>
      <c r="U283" s="2"/>
      <c r="V283" s="2"/>
      <c r="W283" s="2"/>
      <c r="X283" s="2"/>
      <c r="Y283" s="2"/>
      <c r="Z283" s="2"/>
    </row>
    <row r="284" spans="1:26" ht="19.5" customHeight="1">
      <c r="A284" s="19" t="s">
        <v>301</v>
      </c>
      <c r="B284" s="20" t="s">
        <v>302</v>
      </c>
      <c r="C284" s="21">
        <v>21</v>
      </c>
      <c r="D284" s="22" t="s">
        <v>236</v>
      </c>
      <c r="E284" s="18">
        <v>4.4999999999999998E-2</v>
      </c>
      <c r="F284" s="18">
        <f>15/((225+325)/2)</f>
        <v>5.4545454545454543E-2</v>
      </c>
      <c r="G284" s="18">
        <f t="shared" ref="G284:G285" si="235">1/((56+46)/2)</f>
        <v>1.9607843137254902E-2</v>
      </c>
      <c r="H284" s="18">
        <f>3.5/((44+77)/2)</f>
        <v>5.7851239669421489E-2</v>
      </c>
      <c r="I284" s="18">
        <f>6/((36+25)/2)</f>
        <v>0.19672131147540983</v>
      </c>
      <c r="J284" s="18">
        <f>85/(2300)</f>
        <v>3.6956521739130437E-2</v>
      </c>
      <c r="K284" s="18">
        <f>0/((25+30)/2)</f>
        <v>0</v>
      </c>
      <c r="L284" s="18">
        <f t="shared" si="234"/>
        <v>0</v>
      </c>
      <c r="M284" s="22" t="s">
        <v>303</v>
      </c>
      <c r="N284" s="2"/>
      <c r="O284" s="2"/>
      <c r="P284" s="2"/>
      <c r="Q284" s="2"/>
      <c r="R284" s="2"/>
      <c r="S284" s="2"/>
      <c r="T284" s="2"/>
      <c r="U284" s="2"/>
      <c r="V284" s="2"/>
      <c r="W284" s="2"/>
      <c r="X284" s="2"/>
      <c r="Y284" s="2"/>
      <c r="Z284" s="2"/>
    </row>
    <row r="285" spans="1:26" ht="19.5" customHeight="1">
      <c r="A285" s="19" t="s">
        <v>265</v>
      </c>
      <c r="B285" s="20" t="s">
        <v>266</v>
      </c>
      <c r="C285" s="21">
        <v>40</v>
      </c>
      <c r="D285" s="22" t="s">
        <v>267</v>
      </c>
      <c r="E285" s="18">
        <v>5.5E-2</v>
      </c>
      <c r="F285" s="18">
        <f>23/((225+325)/2)</f>
        <v>8.3636363636363634E-2</v>
      </c>
      <c r="G285" s="18">
        <f t="shared" si="235"/>
        <v>1.9607843137254902E-2</v>
      </c>
      <c r="H285" s="18">
        <f>1.5/((44+77)/2)</f>
        <v>2.4793388429752067E-2</v>
      </c>
      <c r="I285" s="18">
        <f t="shared" ref="I285:I286" si="236">1/((36+25)/2)</f>
        <v>3.2786885245901641E-2</v>
      </c>
      <c r="J285" s="18">
        <f>330/(2300)</f>
        <v>0.14347826086956522</v>
      </c>
      <c r="K285" s="18">
        <f>3/((25+30)/2)</f>
        <v>0.10909090909090909</v>
      </c>
      <c r="L285" s="18">
        <f t="shared" si="234"/>
        <v>0</v>
      </c>
      <c r="M285" s="22" t="s">
        <v>268</v>
      </c>
      <c r="N285" s="2"/>
      <c r="O285" s="2"/>
      <c r="P285" s="2"/>
      <c r="Q285" s="2"/>
      <c r="R285" s="2"/>
      <c r="S285" s="2"/>
      <c r="T285" s="2"/>
      <c r="U285" s="2"/>
      <c r="V285" s="2"/>
      <c r="W285" s="2"/>
      <c r="X285" s="2"/>
      <c r="Y285" s="2"/>
      <c r="Z285" s="2"/>
    </row>
    <row r="286" spans="1:26" ht="19.5" customHeight="1">
      <c r="A286" s="19" t="s">
        <v>465</v>
      </c>
      <c r="B286" s="20" t="s">
        <v>466</v>
      </c>
      <c r="C286" s="21">
        <v>3</v>
      </c>
      <c r="D286" s="22" t="s">
        <v>467</v>
      </c>
      <c r="E286" s="18">
        <v>3.5000000000000003E-2</v>
      </c>
      <c r="F286" s="18">
        <f>14/((225+325)/2)</f>
        <v>5.0909090909090911E-2</v>
      </c>
      <c r="G286" s="18">
        <f>2/((56+46)/2)</f>
        <v>3.9215686274509803E-2</v>
      </c>
      <c r="H286" s="18">
        <f>0.5/((44+77)/2)</f>
        <v>8.2644628099173556E-3</v>
      </c>
      <c r="I286" s="18">
        <f t="shared" si="236"/>
        <v>3.2786885245901641E-2</v>
      </c>
      <c r="J286" s="18">
        <f>85/(2300)</f>
        <v>3.6956521739130437E-2</v>
      </c>
      <c r="K286" s="18">
        <f>2/((25+30)/2)</f>
        <v>7.2727272727272724E-2</v>
      </c>
      <c r="L286" s="18">
        <f t="shared" si="234"/>
        <v>0</v>
      </c>
      <c r="M286" s="22" t="s">
        <v>468</v>
      </c>
      <c r="N286" s="2"/>
      <c r="O286" s="2"/>
      <c r="P286" s="2"/>
      <c r="Q286" s="2"/>
      <c r="R286" s="2"/>
      <c r="S286" s="2"/>
      <c r="T286" s="2"/>
      <c r="U286" s="2"/>
      <c r="V286" s="2"/>
      <c r="W286" s="2"/>
      <c r="X286" s="2"/>
      <c r="Y286" s="2"/>
      <c r="Z286" s="2"/>
    </row>
    <row r="287" spans="1:26" ht="19.5" customHeight="1">
      <c r="A287" s="19" t="s">
        <v>987</v>
      </c>
      <c r="B287" s="20" t="s">
        <v>988</v>
      </c>
      <c r="C287" s="21">
        <v>1</v>
      </c>
      <c r="D287" s="22" t="s">
        <v>31</v>
      </c>
      <c r="E287" s="18">
        <v>5.0000000000000001E-3</v>
      </c>
      <c r="F287" s="18">
        <f t="shared" ref="F287:F290" si="237">0/((225+325)/2)</f>
        <v>0</v>
      </c>
      <c r="G287" s="18">
        <f t="shared" ref="G287:G290" si="238">0/((56+46)/2)</f>
        <v>0</v>
      </c>
      <c r="H287" s="18">
        <f>1/((44+77)/2)</f>
        <v>1.6528925619834711E-2</v>
      </c>
      <c r="I287" s="18">
        <f t="shared" ref="I287:I290" si="239">0/((36+25)/2)</f>
        <v>0</v>
      </c>
      <c r="J287" s="18">
        <f>5/(2300)</f>
        <v>2.1739130434782609E-3</v>
      </c>
      <c r="K287" s="18">
        <f t="shared" ref="K287:K291" si="240">0/((25+30)/2)</f>
        <v>0</v>
      </c>
      <c r="L287" s="18">
        <f t="shared" si="234"/>
        <v>0</v>
      </c>
      <c r="M287" s="22" t="s">
        <v>989</v>
      </c>
      <c r="N287" s="2"/>
      <c r="O287" s="2"/>
      <c r="P287" s="2"/>
      <c r="Q287" s="2"/>
      <c r="R287" s="2"/>
      <c r="S287" s="2"/>
      <c r="T287" s="2"/>
      <c r="U287" s="2"/>
      <c r="V287" s="2"/>
      <c r="W287" s="2"/>
      <c r="X287" s="2"/>
      <c r="Y287" s="2"/>
      <c r="Z287" s="2"/>
    </row>
    <row r="288" spans="1:26" ht="19.5" customHeight="1">
      <c r="A288" s="19" t="s">
        <v>245</v>
      </c>
      <c r="B288" s="20" t="s">
        <v>246</v>
      </c>
      <c r="C288" s="21">
        <v>50</v>
      </c>
      <c r="D288" s="22" t="s">
        <v>222</v>
      </c>
      <c r="E288" s="18">
        <v>0</v>
      </c>
      <c r="F288" s="18">
        <f t="shared" si="237"/>
        <v>0</v>
      </c>
      <c r="G288" s="18">
        <f t="shared" si="238"/>
        <v>0</v>
      </c>
      <c r="H288" s="18">
        <f t="shared" ref="H288:H290" si="241">0/((44+77)/2)</f>
        <v>0</v>
      </c>
      <c r="I288" s="18">
        <f t="shared" si="239"/>
        <v>0</v>
      </c>
      <c r="J288" s="18">
        <f t="shared" ref="J288:J290" si="242">0/(2300)</f>
        <v>0</v>
      </c>
      <c r="K288" s="18">
        <f t="shared" si="240"/>
        <v>0</v>
      </c>
      <c r="L288" s="18">
        <f t="shared" si="234"/>
        <v>0</v>
      </c>
      <c r="M288" s="22" t="s">
        <v>247</v>
      </c>
      <c r="N288" s="2"/>
      <c r="O288" s="2"/>
      <c r="P288" s="2"/>
      <c r="Q288" s="2"/>
      <c r="R288" s="2"/>
      <c r="S288" s="2"/>
      <c r="T288" s="2"/>
      <c r="U288" s="2"/>
      <c r="V288" s="2"/>
      <c r="W288" s="2"/>
      <c r="X288" s="2"/>
      <c r="Y288" s="2"/>
      <c r="Z288" s="2"/>
    </row>
    <row r="289" spans="1:26" ht="19.5" customHeight="1">
      <c r="A289" s="19" t="s">
        <v>248</v>
      </c>
      <c r="B289" s="20" t="s">
        <v>249</v>
      </c>
      <c r="C289" s="21">
        <v>50</v>
      </c>
      <c r="D289" s="22" t="s">
        <v>222</v>
      </c>
      <c r="E289" s="18">
        <v>0</v>
      </c>
      <c r="F289" s="18">
        <f t="shared" si="237"/>
        <v>0</v>
      </c>
      <c r="G289" s="18">
        <f t="shared" si="238"/>
        <v>0</v>
      </c>
      <c r="H289" s="18">
        <f t="shared" si="241"/>
        <v>0</v>
      </c>
      <c r="I289" s="18">
        <f t="shared" si="239"/>
        <v>0</v>
      </c>
      <c r="J289" s="18">
        <f t="shared" si="242"/>
        <v>0</v>
      </c>
      <c r="K289" s="18">
        <f t="shared" si="240"/>
        <v>0</v>
      </c>
      <c r="L289" s="18">
        <f t="shared" si="234"/>
        <v>0</v>
      </c>
      <c r="M289" s="22" t="s">
        <v>250</v>
      </c>
      <c r="N289" s="2"/>
      <c r="O289" s="2"/>
      <c r="P289" s="2"/>
      <c r="Q289" s="2"/>
      <c r="R289" s="2"/>
      <c r="S289" s="2"/>
      <c r="T289" s="2"/>
      <c r="U289" s="2"/>
      <c r="V289" s="2"/>
      <c r="W289" s="2"/>
      <c r="X289" s="2"/>
      <c r="Y289" s="2"/>
      <c r="Z289" s="2"/>
    </row>
    <row r="290" spans="1:26" ht="19.5" customHeight="1">
      <c r="A290" s="19" t="s">
        <v>251</v>
      </c>
      <c r="B290" s="20" t="s">
        <v>252</v>
      </c>
      <c r="C290" s="21">
        <v>50</v>
      </c>
      <c r="D290" s="22" t="s">
        <v>222</v>
      </c>
      <c r="E290" s="18">
        <v>0</v>
      </c>
      <c r="F290" s="18">
        <f t="shared" si="237"/>
        <v>0</v>
      </c>
      <c r="G290" s="18">
        <f t="shared" si="238"/>
        <v>0</v>
      </c>
      <c r="H290" s="18">
        <f t="shared" si="241"/>
        <v>0</v>
      </c>
      <c r="I290" s="18">
        <f t="shared" si="239"/>
        <v>0</v>
      </c>
      <c r="J290" s="18">
        <f t="shared" si="242"/>
        <v>0</v>
      </c>
      <c r="K290" s="18">
        <f t="shared" si="240"/>
        <v>0</v>
      </c>
      <c r="L290" s="18">
        <f t="shared" si="234"/>
        <v>0</v>
      </c>
      <c r="M290" s="22" t="s">
        <v>247</v>
      </c>
      <c r="N290" s="2"/>
      <c r="O290" s="2"/>
      <c r="P290" s="2"/>
      <c r="Q290" s="2"/>
      <c r="R290" s="2"/>
      <c r="S290" s="2"/>
      <c r="T290" s="2"/>
      <c r="U290" s="2"/>
      <c r="V290" s="2"/>
      <c r="W290" s="2"/>
      <c r="X290" s="2"/>
      <c r="Y290" s="2"/>
      <c r="Z290" s="2"/>
    </row>
    <row r="291" spans="1:26" ht="19.5" customHeight="1">
      <c r="A291" s="19" t="s">
        <v>110</v>
      </c>
      <c r="B291" s="20" t="s">
        <v>111</v>
      </c>
      <c r="C291" s="22" t="s">
        <v>69</v>
      </c>
      <c r="D291" s="22" t="s">
        <v>17</v>
      </c>
      <c r="E291" s="18">
        <v>0.02</v>
      </c>
      <c r="F291" s="18">
        <f>2/((225+325)/2)</f>
        <v>7.2727272727272727E-3</v>
      </c>
      <c r="G291" s="18">
        <f>1/((56+46)/2)</f>
        <v>1.9607843137254902E-2</v>
      </c>
      <c r="H291" s="18">
        <f>3/((44+77)/2)</f>
        <v>4.9586776859504134E-2</v>
      </c>
      <c r="I291" s="18">
        <f>2/((36+25)/2)</f>
        <v>6.5573770491803282E-2</v>
      </c>
      <c r="J291" s="18">
        <f>150/(2300)</f>
        <v>6.5217391304347824E-2</v>
      </c>
      <c r="K291" s="18">
        <f t="shared" si="240"/>
        <v>0</v>
      </c>
      <c r="L291" s="18">
        <f t="shared" si="234"/>
        <v>0</v>
      </c>
      <c r="M291" s="22" t="s">
        <v>113</v>
      </c>
      <c r="N291" s="2"/>
      <c r="O291" s="2"/>
      <c r="P291" s="2"/>
      <c r="Q291" s="2"/>
      <c r="R291" s="2"/>
      <c r="S291" s="2"/>
      <c r="T291" s="2"/>
      <c r="U291" s="2"/>
      <c r="V291" s="2"/>
      <c r="W291" s="2"/>
      <c r="X291" s="2"/>
      <c r="Y291" s="2"/>
      <c r="Z291" s="2"/>
    </row>
    <row r="292" spans="1:26" ht="19.5" customHeight="1">
      <c r="A292" s="19" t="s">
        <v>328</v>
      </c>
      <c r="B292" s="20" t="s">
        <v>329</v>
      </c>
      <c r="C292" s="21">
        <v>12</v>
      </c>
      <c r="D292" s="22" t="s">
        <v>316</v>
      </c>
      <c r="E292" s="18">
        <v>0.06</v>
      </c>
      <c r="F292" s="18">
        <f>3/((225+325)/2)</f>
        <v>1.090909090909091E-2</v>
      </c>
      <c r="G292" s="18">
        <f>0/((56+46)/2)</f>
        <v>0</v>
      </c>
      <c r="H292" s="18">
        <f>12/((44+77)/2)</f>
        <v>0.19834710743801653</v>
      </c>
      <c r="I292" s="18">
        <f t="shared" ref="I292:I293" si="243">1/((36+25)/2)</f>
        <v>3.2786885245901641E-2</v>
      </c>
      <c r="J292" s="18">
        <f>90/(2300)</f>
        <v>3.9130434782608699E-2</v>
      </c>
      <c r="K292" s="18">
        <f>1/((25+30)/2)</f>
        <v>3.6363636363636362E-2</v>
      </c>
      <c r="L292" s="18">
        <f t="shared" si="234"/>
        <v>0</v>
      </c>
      <c r="M292" s="22" t="s">
        <v>330</v>
      </c>
      <c r="N292" s="2"/>
      <c r="O292" s="2"/>
      <c r="P292" s="2"/>
      <c r="Q292" s="2"/>
      <c r="R292" s="2"/>
      <c r="S292" s="2"/>
      <c r="T292" s="2"/>
      <c r="U292" s="2"/>
      <c r="V292" s="2"/>
      <c r="W292" s="2"/>
      <c r="X292" s="2"/>
      <c r="Y292" s="2"/>
      <c r="Z292" s="2"/>
    </row>
    <row r="293" spans="1:26" ht="19.5" customHeight="1">
      <c r="A293" s="19" t="s">
        <v>584</v>
      </c>
      <c r="B293" s="20" t="s">
        <v>585</v>
      </c>
      <c r="C293" s="21">
        <v>2</v>
      </c>
      <c r="D293" s="22" t="s">
        <v>440</v>
      </c>
      <c r="E293" s="18">
        <v>0.06</v>
      </c>
      <c r="F293" s="18">
        <f>1/((225+325)/2)</f>
        <v>3.6363636363636364E-3</v>
      </c>
      <c r="G293" s="18">
        <f>7/((56+46)/2)</f>
        <v>0.13725490196078433</v>
      </c>
      <c r="H293" s="18">
        <f>10/((44+77)/2)</f>
        <v>0.16528925619834711</v>
      </c>
      <c r="I293" s="18">
        <f t="shared" si="243"/>
        <v>3.2786885245901641E-2</v>
      </c>
      <c r="J293" s="18">
        <f>390/(2300)</f>
        <v>0.16956521739130434</v>
      </c>
      <c r="K293" s="18">
        <f t="shared" ref="K293:K295" si="244">0/((25+30)/2)</f>
        <v>0</v>
      </c>
      <c r="L293" s="18">
        <f>30/(300)</f>
        <v>0.1</v>
      </c>
      <c r="M293" s="22" t="s">
        <v>586</v>
      </c>
      <c r="N293" s="2"/>
      <c r="O293" s="2"/>
      <c r="P293" s="2"/>
      <c r="Q293" s="2"/>
      <c r="R293" s="2"/>
      <c r="S293" s="2"/>
      <c r="T293" s="2"/>
      <c r="U293" s="2"/>
      <c r="V293" s="2"/>
      <c r="W293" s="2"/>
      <c r="X293" s="2"/>
      <c r="Y293" s="2"/>
      <c r="Z293" s="2"/>
    </row>
    <row r="294" spans="1:26" ht="19.5" customHeight="1">
      <c r="A294" s="19" t="s">
        <v>990</v>
      </c>
      <c r="B294" s="20" t="s">
        <v>991</v>
      </c>
      <c r="C294" s="21">
        <v>1</v>
      </c>
      <c r="D294" s="22" t="s">
        <v>31</v>
      </c>
      <c r="E294" s="18">
        <v>2.7E-2</v>
      </c>
      <c r="F294" s="18">
        <f>2/((225+325)/2)</f>
        <v>7.2727272727272727E-3</v>
      </c>
      <c r="G294" s="18">
        <f t="shared" ref="G294:G295" si="245">0/((56+46)/2)</f>
        <v>0</v>
      </c>
      <c r="H294" s="18">
        <f>5/((44+77)/2)</f>
        <v>8.2644628099173556E-2</v>
      </c>
      <c r="I294" s="18">
        <f>2/((36+25)/2)</f>
        <v>6.5573770491803282E-2</v>
      </c>
      <c r="J294" s="18">
        <f>105/(2300)</f>
        <v>4.5652173913043478E-2</v>
      </c>
      <c r="K294" s="18">
        <f t="shared" si="244"/>
        <v>0</v>
      </c>
      <c r="L294" s="18">
        <f>0/(300)</f>
        <v>0</v>
      </c>
      <c r="M294" s="22" t="s">
        <v>1110</v>
      </c>
      <c r="N294" s="2"/>
      <c r="O294" s="2"/>
      <c r="P294" s="2"/>
      <c r="Q294" s="2"/>
      <c r="R294" s="2"/>
      <c r="S294" s="2"/>
      <c r="T294" s="2"/>
      <c r="U294" s="2"/>
      <c r="V294" s="2"/>
      <c r="W294" s="2"/>
      <c r="X294" s="2"/>
      <c r="Y294" s="2"/>
      <c r="Z294" s="2"/>
    </row>
    <row r="295" spans="1:26" ht="19.5" customHeight="1">
      <c r="A295" s="19" t="s">
        <v>993</v>
      </c>
      <c r="B295" s="20" t="s">
        <v>994</v>
      </c>
      <c r="C295" s="21">
        <v>1</v>
      </c>
      <c r="D295" s="22" t="s">
        <v>31</v>
      </c>
      <c r="E295" s="18">
        <v>4.4999999999999998E-2</v>
      </c>
      <c r="F295" s="18">
        <f>1/((225+325)/2)</f>
        <v>3.6363636363636364E-3</v>
      </c>
      <c r="G295" s="18">
        <f t="shared" si="245"/>
        <v>0</v>
      </c>
      <c r="H295" s="18">
        <f>10/((44+77)/2)</f>
        <v>0.16528925619834711</v>
      </c>
      <c r="I295" s="18">
        <f>0/((36+25)/2)</f>
        <v>0</v>
      </c>
      <c r="J295" s="18">
        <f>100/(2300)</f>
        <v>4.3478260869565216E-2</v>
      </c>
      <c r="K295" s="18">
        <f t="shared" si="244"/>
        <v>0</v>
      </c>
      <c r="L295" s="18">
        <f>15/(300)</f>
        <v>0.05</v>
      </c>
      <c r="M295" s="22" t="s">
        <v>995</v>
      </c>
      <c r="N295" s="2"/>
      <c r="O295" s="2"/>
      <c r="P295" s="2"/>
      <c r="Q295" s="2"/>
      <c r="R295" s="2"/>
      <c r="S295" s="2"/>
      <c r="T295" s="2"/>
      <c r="U295" s="2"/>
      <c r="V295" s="2"/>
      <c r="W295" s="2"/>
      <c r="X295" s="2"/>
      <c r="Y295" s="2"/>
      <c r="Z295" s="2"/>
    </row>
    <row r="296" spans="1:26" ht="19.5" customHeight="1">
      <c r="A296" s="19" t="s">
        <v>996</v>
      </c>
      <c r="B296" s="20" t="s">
        <v>997</v>
      </c>
      <c r="C296" s="21">
        <v>1</v>
      </c>
      <c r="D296" s="22" t="s">
        <v>778</v>
      </c>
      <c r="E296" s="18">
        <v>0.08</v>
      </c>
      <c r="F296" s="18">
        <f>12/((225+325)/2)</f>
        <v>4.363636363636364E-2</v>
      </c>
      <c r="G296" s="18">
        <f>2/((56+46)/2)</f>
        <v>3.9215686274509803E-2</v>
      </c>
      <c r="H296" s="18">
        <f>11/((44+77)/2)</f>
        <v>0.18181818181818182</v>
      </c>
      <c r="I296" s="18">
        <f>7/((36+25)/2)</f>
        <v>0.22950819672131148</v>
      </c>
      <c r="J296" s="18">
        <f>65/(2300)</f>
        <v>2.8260869565217391E-2</v>
      </c>
      <c r="K296" s="18">
        <f>1/((25+30)/2)</f>
        <v>3.6363636363636362E-2</v>
      </c>
      <c r="L296" s="18">
        <f>0/(300)</f>
        <v>0</v>
      </c>
      <c r="M296" s="22" t="s">
        <v>1001</v>
      </c>
      <c r="N296" s="2"/>
      <c r="O296" s="2"/>
      <c r="P296" s="2"/>
      <c r="Q296" s="2"/>
      <c r="R296" s="2"/>
      <c r="S296" s="2"/>
      <c r="T296" s="2"/>
      <c r="U296" s="2"/>
      <c r="V296" s="2"/>
      <c r="W296" s="2"/>
      <c r="X296" s="2"/>
      <c r="Y296" s="2"/>
      <c r="Z296" s="2"/>
    </row>
    <row r="297" spans="1:26" ht="19.5" customHeight="1">
      <c r="A297" s="19" t="s">
        <v>278</v>
      </c>
      <c r="B297" s="20" t="s">
        <v>279</v>
      </c>
      <c r="C297" s="21">
        <v>28</v>
      </c>
      <c r="D297" s="22" t="s">
        <v>226</v>
      </c>
      <c r="E297" s="18">
        <v>0.04</v>
      </c>
      <c r="F297" s="18">
        <f>0/((225+325)/2)</f>
        <v>0</v>
      </c>
      <c r="G297" s="18">
        <f>8/((56+46)/2)</f>
        <v>0.15686274509803921</v>
      </c>
      <c r="H297" s="18">
        <f>6/((44+77)/2)</f>
        <v>9.9173553719008267E-2</v>
      </c>
      <c r="I297" s="18">
        <f t="shared" ref="I297:I299" si="246">0/((36+25)/2)</f>
        <v>0</v>
      </c>
      <c r="J297" s="18">
        <f>380/(2300)</f>
        <v>0.16521739130434782</v>
      </c>
      <c r="K297" s="18">
        <f t="shared" ref="K297:K298" si="247">0/((25+30)/2)</f>
        <v>0</v>
      </c>
      <c r="L297" s="18">
        <f>25/(300)</f>
        <v>8.3333333333333329E-2</v>
      </c>
      <c r="M297" s="22" t="s">
        <v>280</v>
      </c>
      <c r="N297" s="2"/>
      <c r="O297" s="2"/>
      <c r="P297" s="2"/>
      <c r="Q297" s="2"/>
      <c r="R297" s="2"/>
      <c r="S297" s="2"/>
      <c r="T297" s="2"/>
      <c r="U297" s="2"/>
      <c r="V297" s="2"/>
      <c r="W297" s="2"/>
      <c r="X297" s="2"/>
      <c r="Y297" s="2"/>
      <c r="Z297" s="2"/>
    </row>
    <row r="298" spans="1:26" ht="19.5" customHeight="1">
      <c r="A298" s="19" t="s">
        <v>210</v>
      </c>
      <c r="B298" s="20" t="s">
        <v>211</v>
      </c>
      <c r="C298" s="22" t="s">
        <v>155</v>
      </c>
      <c r="D298" s="22" t="s">
        <v>212</v>
      </c>
      <c r="E298" s="18">
        <v>8.5000000000000006E-2</v>
      </c>
      <c r="F298" s="18">
        <f>1/((225+325)/2)</f>
        <v>3.6363636363636364E-3</v>
      </c>
      <c r="G298" s="18">
        <f>15/((56+46)/2)</f>
        <v>0.29411764705882354</v>
      </c>
      <c r="H298" s="18">
        <f t="shared" ref="H298:H299" si="248">12/((44+77)/2)</f>
        <v>0.19834710743801653</v>
      </c>
      <c r="I298" s="18">
        <f t="shared" si="246"/>
        <v>0</v>
      </c>
      <c r="J298" s="18">
        <f>310/(2300)</f>
        <v>0.13478260869565217</v>
      </c>
      <c r="K298" s="18">
        <f t="shared" si="247"/>
        <v>0</v>
      </c>
      <c r="L298" s="18">
        <f>30/(300)</f>
        <v>0.1</v>
      </c>
      <c r="M298" s="22" t="s">
        <v>213</v>
      </c>
      <c r="N298" s="2"/>
      <c r="O298" s="2"/>
      <c r="P298" s="2"/>
      <c r="Q298" s="2"/>
      <c r="R298" s="2"/>
      <c r="S298" s="2"/>
      <c r="T298" s="2"/>
      <c r="U298" s="2"/>
      <c r="V298" s="2"/>
      <c r="W298" s="2"/>
      <c r="X298" s="2"/>
      <c r="Y298" s="2"/>
      <c r="Z298" s="2"/>
    </row>
    <row r="299" spans="1:26" ht="19.5" customHeight="1">
      <c r="A299" s="19" t="s">
        <v>346</v>
      </c>
      <c r="B299" s="20" t="s">
        <v>347</v>
      </c>
      <c r="C299" s="21">
        <v>10</v>
      </c>
      <c r="D299" s="22" t="s">
        <v>320</v>
      </c>
      <c r="E299" s="18">
        <v>0.08</v>
      </c>
      <c r="F299" s="18">
        <f>10/((225+325)/2)</f>
        <v>3.6363636363636362E-2</v>
      </c>
      <c r="G299" s="18">
        <f>6/((56+46)/2)</f>
        <v>0.11764705882352941</v>
      </c>
      <c r="H299" s="18">
        <f t="shared" si="248"/>
        <v>0.19834710743801653</v>
      </c>
      <c r="I299" s="18">
        <f t="shared" si="246"/>
        <v>0</v>
      </c>
      <c r="J299" s="18">
        <f>260/(2300)</f>
        <v>0.11304347826086956</v>
      </c>
      <c r="K299" s="18">
        <f>9/((25+30)/2)</f>
        <v>0.32727272727272727</v>
      </c>
      <c r="L299" s="18">
        <f>0/(300)</f>
        <v>0</v>
      </c>
      <c r="M299" s="22" t="s">
        <v>348</v>
      </c>
      <c r="N299" s="2"/>
      <c r="O299" s="2"/>
      <c r="P299" s="2"/>
      <c r="Q299" s="2"/>
      <c r="R299" s="2"/>
      <c r="S299" s="2"/>
      <c r="T299" s="2"/>
      <c r="U299" s="2"/>
      <c r="V299" s="2"/>
      <c r="W299" s="2"/>
      <c r="X299" s="2"/>
      <c r="Y299" s="2"/>
      <c r="Z299" s="2"/>
    </row>
    <row r="300" spans="1:26" ht="19.5" customHeight="1">
      <c r="A300" s="19" t="s">
        <v>1002</v>
      </c>
      <c r="B300" s="20" t="s">
        <v>1003</v>
      </c>
      <c r="C300" s="21">
        <v>1</v>
      </c>
      <c r="D300" s="22" t="s">
        <v>31</v>
      </c>
      <c r="E300" s="18">
        <v>3.5999999999999997E-2</v>
      </c>
      <c r="F300" s="18">
        <f>15/((225+325)/2)</f>
        <v>5.4545454545454543E-2</v>
      </c>
      <c r="G300" s="18">
        <f>0/((56+46)/2)</f>
        <v>0</v>
      </c>
      <c r="H300" s="18">
        <f>0/((44+77)/2)</f>
        <v>0</v>
      </c>
      <c r="I300" s="18">
        <f>14/((36+25)/2)</f>
        <v>0.45901639344262296</v>
      </c>
      <c r="J300" s="18">
        <f>0/(2300)</f>
        <v>0</v>
      </c>
      <c r="K300" s="18">
        <f>0/((25+30)/2)</f>
        <v>0</v>
      </c>
      <c r="L300" s="18" t="s">
        <v>218</v>
      </c>
      <c r="M300" s="22" t="s">
        <v>1004</v>
      </c>
      <c r="N300" s="2"/>
      <c r="O300" s="2"/>
      <c r="P300" s="2"/>
      <c r="Q300" s="2"/>
      <c r="R300" s="2"/>
      <c r="S300" s="2"/>
      <c r="T300" s="2"/>
      <c r="U300" s="2"/>
      <c r="V300" s="2"/>
      <c r="W300" s="2"/>
      <c r="X300" s="2"/>
      <c r="Y300" s="2"/>
      <c r="Z300" s="2"/>
    </row>
    <row r="301" spans="1:26" ht="19.5" customHeight="1">
      <c r="A301" s="19" t="s">
        <v>1005</v>
      </c>
      <c r="B301" s="20" t="s">
        <v>1006</v>
      </c>
      <c r="C301" s="21">
        <v>1</v>
      </c>
      <c r="D301" s="22" t="s">
        <v>17</v>
      </c>
      <c r="E301" s="18">
        <v>7.0000000000000007E-2</v>
      </c>
      <c r="F301" s="18">
        <f>22/((225+325)/2)</f>
        <v>0.08</v>
      </c>
      <c r="G301" s="18">
        <f>2/((56+46)/2)</f>
        <v>3.9215686274509803E-2</v>
      </c>
      <c r="H301" s="18">
        <f>3/((44+77)/2)</f>
        <v>4.9586776859504134E-2</v>
      </c>
      <c r="I301" s="18">
        <f>1/((36+25)/2)</f>
        <v>3.2786885245901641E-2</v>
      </c>
      <c r="J301" s="18">
        <f>460/(2300)</f>
        <v>0.2</v>
      </c>
      <c r="K301" s="18">
        <f>6/((25+30)/2)</f>
        <v>0.21818181818181817</v>
      </c>
      <c r="L301" s="18">
        <f t="shared" ref="L301:L302" si="249">0/(300)</f>
        <v>0</v>
      </c>
      <c r="M301" s="22" t="s">
        <v>1007</v>
      </c>
      <c r="N301" s="2"/>
      <c r="O301" s="2"/>
      <c r="P301" s="2"/>
      <c r="Q301" s="2"/>
      <c r="R301" s="2"/>
      <c r="S301" s="2"/>
      <c r="T301" s="2"/>
      <c r="U301" s="2"/>
      <c r="V301" s="2"/>
      <c r="W301" s="2"/>
      <c r="X301" s="2"/>
      <c r="Y301" s="2"/>
      <c r="Z301" s="2"/>
    </row>
    <row r="302" spans="1:26" ht="19.5" customHeight="1">
      <c r="A302" s="19" t="s">
        <v>1008</v>
      </c>
      <c r="B302" s="20" t="s">
        <v>1009</v>
      </c>
      <c r="C302" s="21">
        <v>1</v>
      </c>
      <c r="D302" s="22" t="s">
        <v>17</v>
      </c>
      <c r="E302" s="18">
        <v>0.11</v>
      </c>
      <c r="F302" s="18">
        <f>36/((225+325)/2)</f>
        <v>0.13090909090909092</v>
      </c>
      <c r="G302" s="18">
        <f>6/((56+46)/2)</f>
        <v>0.11764705882352941</v>
      </c>
      <c r="H302" s="18">
        <f>6/((44+77)/2)</f>
        <v>9.9173553719008267E-2</v>
      </c>
      <c r="I302" s="18">
        <f>3/((36+25)/2)</f>
        <v>9.8360655737704916E-2</v>
      </c>
      <c r="J302" s="18">
        <f>260/(2300)</f>
        <v>0.11304347826086956</v>
      </c>
      <c r="K302" s="18">
        <f>4/((25+30)/2)</f>
        <v>0.14545454545454545</v>
      </c>
      <c r="L302" s="18">
        <f t="shared" si="249"/>
        <v>0</v>
      </c>
      <c r="M302" s="22" t="s">
        <v>1011</v>
      </c>
      <c r="N302" s="2"/>
      <c r="O302" s="2"/>
      <c r="P302" s="2"/>
      <c r="Q302" s="2"/>
      <c r="R302" s="2"/>
      <c r="S302" s="2"/>
      <c r="T302" s="2"/>
      <c r="U302" s="2"/>
      <c r="V302" s="2"/>
      <c r="W302" s="2"/>
      <c r="X302" s="2"/>
      <c r="Y302" s="2"/>
      <c r="Z302" s="2"/>
    </row>
    <row r="303" spans="1:26" ht="19.5" customHeight="1">
      <c r="A303" s="19" t="s">
        <v>594</v>
      </c>
      <c r="B303" s="20" t="s">
        <v>595</v>
      </c>
      <c r="C303" s="21">
        <v>1.25</v>
      </c>
      <c r="D303" s="22" t="s">
        <v>17</v>
      </c>
      <c r="E303" s="18">
        <v>0.08</v>
      </c>
      <c r="F303" s="18">
        <f>18/((225+325)/2)</f>
        <v>6.545454545454546E-2</v>
      </c>
      <c r="G303" s="18">
        <f>10/((56+46)/2)</f>
        <v>0.19607843137254902</v>
      </c>
      <c r="H303" s="18">
        <f>5/((44+77)/2)</f>
        <v>8.2644628099173556E-2</v>
      </c>
      <c r="I303" s="18">
        <f>2/((36+25)/2)</f>
        <v>6.5573770491803282E-2</v>
      </c>
      <c r="J303" s="18">
        <f>330/(2300)</f>
        <v>0.14347826086956522</v>
      </c>
      <c r="K303" s="18">
        <f>1/((25+30)/2)</f>
        <v>3.6363636363636362E-2</v>
      </c>
      <c r="L303" s="18">
        <f>15/(300)</f>
        <v>0.05</v>
      </c>
      <c r="M303" s="22" t="s">
        <v>596</v>
      </c>
      <c r="N303" s="2"/>
      <c r="O303" s="2"/>
      <c r="P303" s="2"/>
      <c r="Q303" s="2"/>
      <c r="R303" s="2"/>
      <c r="S303" s="2"/>
      <c r="T303" s="2"/>
      <c r="U303" s="2"/>
      <c r="V303" s="2"/>
      <c r="W303" s="2"/>
      <c r="X303" s="2"/>
      <c r="Y303" s="2"/>
      <c r="Z303" s="2"/>
    </row>
    <row r="304" spans="1:26" ht="19.5" customHeight="1">
      <c r="A304" s="19" t="s">
        <v>1012</v>
      </c>
      <c r="B304" s="20" t="s">
        <v>1013</v>
      </c>
      <c r="C304" s="21">
        <v>1</v>
      </c>
      <c r="D304" s="22" t="s">
        <v>613</v>
      </c>
      <c r="E304" s="18">
        <v>9.5000000000000001E-2</v>
      </c>
      <c r="F304" s="18">
        <f>19/((225+325)/2)</f>
        <v>6.9090909090909092E-2</v>
      </c>
      <c r="G304" s="18">
        <f>15/((56+46)/2)</f>
        <v>0.29411764705882354</v>
      </c>
      <c r="H304" s="18">
        <f>6/((44+77)/2)</f>
        <v>9.9173553719008267E-2</v>
      </c>
      <c r="I304" s="18">
        <f>8/((36+25)/2)</f>
        <v>0.26229508196721313</v>
      </c>
      <c r="J304" s="18">
        <f>670/(2300)</f>
        <v>0.29130434782608694</v>
      </c>
      <c r="K304" s="18">
        <f>4/((25+30)/2)</f>
        <v>0.14545454545454545</v>
      </c>
      <c r="L304" s="18">
        <f>25/(300)</f>
        <v>8.3333333333333329E-2</v>
      </c>
      <c r="M304" s="22" t="s">
        <v>1017</v>
      </c>
      <c r="N304" s="2"/>
      <c r="O304" s="2"/>
      <c r="P304" s="2"/>
      <c r="Q304" s="2"/>
      <c r="R304" s="2"/>
      <c r="S304" s="2"/>
      <c r="T304" s="2"/>
      <c r="U304" s="2"/>
      <c r="V304" s="2"/>
      <c r="W304" s="2"/>
      <c r="X304" s="2"/>
      <c r="Y304" s="2"/>
      <c r="Z304" s="2"/>
    </row>
    <row r="305" spans="1:26" ht="19.5" customHeight="1">
      <c r="A305" s="19" t="s">
        <v>395</v>
      </c>
      <c r="B305" s="20" t="s">
        <v>396</v>
      </c>
      <c r="C305" s="21">
        <v>8</v>
      </c>
      <c r="D305" s="22" t="s">
        <v>205</v>
      </c>
      <c r="E305" s="18">
        <v>0</v>
      </c>
      <c r="F305" s="18">
        <f>0/((225+325)/2)</f>
        <v>0</v>
      </c>
      <c r="G305" s="18">
        <f t="shared" ref="G305:G306" si="250">0/((56+46)/2)</f>
        <v>0</v>
      </c>
      <c r="H305" s="18">
        <f t="shared" ref="H305:H306" si="251">0/((44+77)/2)</f>
        <v>0</v>
      </c>
      <c r="I305" s="18">
        <f>0/((36+25)/2)</f>
        <v>0</v>
      </c>
      <c r="J305" s="18">
        <f>0/(2300)</f>
        <v>0</v>
      </c>
      <c r="K305" s="18">
        <f t="shared" ref="K305:K306" si="252">0/((25+30)/2)</f>
        <v>0</v>
      </c>
      <c r="L305" s="18">
        <f t="shared" ref="L305:L306" si="253">0/(300)</f>
        <v>0</v>
      </c>
      <c r="M305" s="22" t="s">
        <v>397</v>
      </c>
      <c r="N305" s="2"/>
      <c r="O305" s="2"/>
      <c r="P305" s="2"/>
      <c r="Q305" s="2"/>
      <c r="R305" s="2"/>
      <c r="S305" s="2"/>
      <c r="T305" s="2"/>
      <c r="U305" s="2"/>
      <c r="V305" s="2"/>
      <c r="W305" s="2"/>
      <c r="X305" s="2"/>
      <c r="Y305" s="2"/>
      <c r="Z305" s="2"/>
    </row>
    <row r="306" spans="1:26" ht="19.5" customHeight="1">
      <c r="A306" s="19" t="s">
        <v>220</v>
      </c>
      <c r="B306" s="20" t="s">
        <v>221</v>
      </c>
      <c r="C306" s="21">
        <v>240</v>
      </c>
      <c r="D306" s="22" t="s">
        <v>222</v>
      </c>
      <c r="E306" s="18">
        <v>0.01</v>
      </c>
      <c r="F306" s="18">
        <f>6/((225+325)/2)</f>
        <v>2.181818181818182E-2</v>
      </c>
      <c r="G306" s="18">
        <f t="shared" si="250"/>
        <v>0</v>
      </c>
      <c r="H306" s="18">
        <f t="shared" si="251"/>
        <v>0</v>
      </c>
      <c r="I306" s="18">
        <f>4/((36+25)/2)</f>
        <v>0.13114754098360656</v>
      </c>
      <c r="J306" s="18">
        <f>50/(2300)</f>
        <v>2.1739130434782608E-2</v>
      </c>
      <c r="K306" s="18">
        <f t="shared" si="252"/>
        <v>0</v>
      </c>
      <c r="L306" s="18">
        <f t="shared" si="253"/>
        <v>0</v>
      </c>
      <c r="M306" s="22" t="s">
        <v>223</v>
      </c>
      <c r="N306" s="2"/>
      <c r="O306" s="2"/>
      <c r="P306" s="2"/>
      <c r="Q306" s="2"/>
      <c r="R306" s="2"/>
      <c r="S306" s="2"/>
      <c r="T306" s="2"/>
      <c r="U306" s="2"/>
      <c r="V306" s="2"/>
      <c r="W306" s="2"/>
      <c r="X306" s="2"/>
      <c r="Y306" s="2"/>
      <c r="Z306" s="2"/>
    </row>
    <row r="307" spans="1:26" ht="19.5" customHeight="1">
      <c r="A307" s="19" t="s">
        <v>1111</v>
      </c>
      <c r="B307" s="20" t="s">
        <v>1112</v>
      </c>
      <c r="C307" s="21">
        <v>8</v>
      </c>
      <c r="D307" s="22" t="s">
        <v>306</v>
      </c>
      <c r="E307" s="18" t="s">
        <v>218</v>
      </c>
      <c r="F307" s="18" t="s">
        <v>218</v>
      </c>
      <c r="G307" s="18" t="s">
        <v>218</v>
      </c>
      <c r="H307" s="18" t="s">
        <v>218</v>
      </c>
      <c r="I307" s="18" t="s">
        <v>218</v>
      </c>
      <c r="J307" s="18" t="s">
        <v>218</v>
      </c>
      <c r="K307" s="18" t="s">
        <v>218</v>
      </c>
      <c r="L307" s="18" t="s">
        <v>218</v>
      </c>
      <c r="M307" s="22" t="s">
        <v>1113</v>
      </c>
      <c r="N307" s="2"/>
      <c r="O307" s="2"/>
      <c r="P307" s="2"/>
      <c r="Q307" s="2"/>
      <c r="R307" s="2"/>
      <c r="S307" s="2"/>
      <c r="T307" s="2"/>
      <c r="U307" s="2"/>
      <c r="V307" s="2"/>
      <c r="W307" s="2"/>
      <c r="X307" s="2"/>
      <c r="Y307" s="2"/>
      <c r="Z307" s="2"/>
    </row>
    <row r="308" spans="1:26" ht="19.5" customHeight="1">
      <c r="A308" s="19" t="s">
        <v>1018</v>
      </c>
      <c r="B308" s="20" t="s">
        <v>1019</v>
      </c>
      <c r="C308" s="21">
        <v>1</v>
      </c>
      <c r="D308" s="22" t="s">
        <v>606</v>
      </c>
      <c r="E308" s="18">
        <v>0</v>
      </c>
      <c r="F308" s="18">
        <f>0/((225+325)/2)</f>
        <v>0</v>
      </c>
      <c r="G308" s="18">
        <f>0/((56+46)/2)</f>
        <v>0</v>
      </c>
      <c r="H308" s="18">
        <f>0/((44+77)/2)</f>
        <v>0</v>
      </c>
      <c r="I308" s="18">
        <f>0/((36+25)/2)</f>
        <v>0</v>
      </c>
      <c r="J308" s="18">
        <f>0/(2300)</f>
        <v>0</v>
      </c>
      <c r="K308" s="18">
        <f>0/((25+30)/2)</f>
        <v>0</v>
      </c>
      <c r="L308" s="18">
        <f t="shared" ref="L308:L309" si="254">0/(300)</f>
        <v>0</v>
      </c>
      <c r="M308" s="22" t="s">
        <v>1020</v>
      </c>
      <c r="N308" s="2"/>
      <c r="O308" s="2"/>
      <c r="P308" s="2"/>
      <c r="Q308" s="2"/>
      <c r="R308" s="2"/>
      <c r="S308" s="2"/>
      <c r="T308" s="2"/>
      <c r="U308" s="2"/>
      <c r="V308" s="2"/>
      <c r="W308" s="2"/>
      <c r="X308" s="2"/>
      <c r="Y308" s="2"/>
      <c r="Z308" s="2"/>
    </row>
    <row r="309" spans="1:26" ht="19.5" customHeight="1">
      <c r="A309" s="19" t="s">
        <v>1021</v>
      </c>
      <c r="B309" s="20" t="s">
        <v>1022</v>
      </c>
      <c r="C309" s="21">
        <v>1</v>
      </c>
      <c r="D309" s="22" t="s">
        <v>17</v>
      </c>
      <c r="E309" s="18">
        <v>0.06</v>
      </c>
      <c r="F309" s="18">
        <f>16/((225+325)/2)</f>
        <v>5.8181818181818182E-2</v>
      </c>
      <c r="G309" s="18">
        <f>3/((56+46)/2)</f>
        <v>5.8823529411764705E-2</v>
      </c>
      <c r="H309" s="18">
        <f>5/((44+77)/2)</f>
        <v>8.2644628099173556E-2</v>
      </c>
      <c r="I309" s="18">
        <f>7/((36+25)/2)</f>
        <v>0.22950819672131148</v>
      </c>
      <c r="J309" s="18">
        <f>100/(2300)</f>
        <v>4.3478260869565216E-2</v>
      </c>
      <c r="K309" s="18">
        <f>1/((25+30)/2)</f>
        <v>3.6363636363636362E-2</v>
      </c>
      <c r="L309" s="18">
        <f t="shared" si="254"/>
        <v>0</v>
      </c>
      <c r="M309" s="22" t="s">
        <v>1023</v>
      </c>
      <c r="N309" s="2"/>
      <c r="O309" s="2"/>
      <c r="P309" s="2"/>
      <c r="Q309" s="2"/>
      <c r="R309" s="2"/>
      <c r="S309" s="2"/>
      <c r="T309" s="2"/>
      <c r="U309" s="2"/>
      <c r="V309" s="2"/>
      <c r="W309" s="2"/>
      <c r="X309" s="2"/>
      <c r="Y309" s="2"/>
      <c r="Z309" s="2"/>
    </row>
    <row r="310" spans="1:26" ht="19.5" customHeight="1">
      <c r="A310" s="19" t="s">
        <v>1024</v>
      </c>
      <c r="B310" s="20" t="s">
        <v>1025</v>
      </c>
      <c r="C310" s="21">
        <v>1</v>
      </c>
      <c r="D310" s="22" t="s">
        <v>606</v>
      </c>
      <c r="E310" s="18">
        <v>8.5000000000000006E-3</v>
      </c>
      <c r="F310" s="18">
        <f>4/((225+325)/2)</f>
        <v>1.4545454545454545E-2</v>
      </c>
      <c r="G310" s="18">
        <f>0/((56+46)/2)</f>
        <v>0</v>
      </c>
      <c r="H310" s="18">
        <f>0/((44+77)/2)</f>
        <v>0</v>
      </c>
      <c r="I310" s="18">
        <f>3/((36+25)/2)</f>
        <v>9.8360655737704916E-2</v>
      </c>
      <c r="J310" s="18" t="s">
        <v>218</v>
      </c>
      <c r="K310" s="18" t="s">
        <v>218</v>
      </c>
      <c r="L310" s="18" t="s">
        <v>218</v>
      </c>
      <c r="M310" s="22" t="s">
        <v>1026</v>
      </c>
      <c r="N310" s="2"/>
      <c r="O310" s="2"/>
      <c r="P310" s="2"/>
      <c r="Q310" s="2"/>
      <c r="R310" s="2"/>
      <c r="S310" s="2"/>
      <c r="T310" s="2"/>
      <c r="U310" s="2"/>
      <c r="V310" s="2"/>
      <c r="W310" s="2"/>
      <c r="X310" s="2"/>
      <c r="Y310" s="2"/>
      <c r="Z310" s="2"/>
    </row>
    <row r="311" spans="1:26" ht="19.5" customHeight="1">
      <c r="A311" s="19" t="s">
        <v>1114</v>
      </c>
      <c r="B311" s="20" t="s">
        <v>1115</v>
      </c>
      <c r="C311" s="21">
        <v>8</v>
      </c>
      <c r="D311" s="22" t="s">
        <v>306</v>
      </c>
      <c r="E311" s="18" t="s">
        <v>218</v>
      </c>
      <c r="F311" s="18" t="s">
        <v>218</v>
      </c>
      <c r="G311" s="18" t="s">
        <v>218</v>
      </c>
      <c r="H311" s="18" t="s">
        <v>218</v>
      </c>
      <c r="I311" s="18" t="s">
        <v>218</v>
      </c>
      <c r="J311" s="18" t="s">
        <v>218</v>
      </c>
      <c r="K311" s="18" t="s">
        <v>218</v>
      </c>
      <c r="L311" s="18" t="s">
        <v>218</v>
      </c>
      <c r="M311" s="22" t="s">
        <v>1116</v>
      </c>
      <c r="N311" s="2"/>
      <c r="O311" s="2"/>
      <c r="P311" s="2"/>
      <c r="Q311" s="2"/>
      <c r="R311" s="2"/>
      <c r="S311" s="2"/>
      <c r="T311" s="2"/>
      <c r="U311" s="2"/>
      <c r="V311" s="2"/>
      <c r="W311" s="2"/>
      <c r="X311" s="2"/>
      <c r="Y311" s="2"/>
      <c r="Z311" s="2"/>
    </row>
    <row r="312" spans="1:26" ht="19.5" customHeight="1">
      <c r="A312" s="19" t="s">
        <v>304</v>
      </c>
      <c r="B312" s="20" t="s">
        <v>305</v>
      </c>
      <c r="C312" s="21">
        <v>16</v>
      </c>
      <c r="D312" s="22" t="s">
        <v>306</v>
      </c>
      <c r="E312" s="18">
        <v>1.6E-2</v>
      </c>
      <c r="F312" s="18">
        <f>8/((225+325)/2)</f>
        <v>2.9090909090909091E-2</v>
      </c>
      <c r="G312" s="18">
        <f t="shared" ref="G312:G315" si="255">0/((56+46)/2)</f>
        <v>0</v>
      </c>
      <c r="H312" s="18">
        <f t="shared" ref="H312:H313" si="256">0/((44+77)/2)</f>
        <v>0</v>
      </c>
      <c r="I312" s="18">
        <f>8/((36+25)/2)</f>
        <v>0.26229508196721313</v>
      </c>
      <c r="J312" s="18">
        <f t="shared" ref="J312:J315" si="257">0/(2300)</f>
        <v>0</v>
      </c>
      <c r="K312" s="18">
        <f t="shared" ref="K312:K314" si="258">0/((25+30)/2)</f>
        <v>0</v>
      </c>
      <c r="L312" s="18">
        <f t="shared" ref="L312:L317" si="259">0/(300)</f>
        <v>0</v>
      </c>
      <c r="M312" s="22" t="s">
        <v>307</v>
      </c>
      <c r="N312" s="2"/>
      <c r="O312" s="2"/>
      <c r="P312" s="2"/>
      <c r="Q312" s="2"/>
      <c r="R312" s="2"/>
      <c r="S312" s="2"/>
      <c r="T312" s="2"/>
      <c r="U312" s="2"/>
      <c r="V312" s="2"/>
      <c r="W312" s="2"/>
      <c r="X312" s="2"/>
      <c r="Y312" s="2"/>
      <c r="Z312" s="2"/>
    </row>
    <row r="313" spans="1:26" ht="19.5" customHeight="1">
      <c r="A313" s="19" t="s">
        <v>308</v>
      </c>
      <c r="B313" s="20" t="s">
        <v>309</v>
      </c>
      <c r="C313" s="21">
        <v>16</v>
      </c>
      <c r="D313" s="22" t="s">
        <v>306</v>
      </c>
      <c r="E313" s="18">
        <v>1.7999999999999999E-2</v>
      </c>
      <c r="F313" s="18">
        <f>9/((225+325)/2)</f>
        <v>3.272727272727273E-2</v>
      </c>
      <c r="G313" s="18">
        <f t="shared" si="255"/>
        <v>0</v>
      </c>
      <c r="H313" s="18">
        <f t="shared" si="256"/>
        <v>0</v>
      </c>
      <c r="I313" s="18">
        <f>9/((36+25)/2)</f>
        <v>0.29508196721311475</v>
      </c>
      <c r="J313" s="18">
        <f t="shared" si="257"/>
        <v>0</v>
      </c>
      <c r="K313" s="18">
        <f t="shared" si="258"/>
        <v>0</v>
      </c>
      <c r="L313" s="18">
        <f t="shared" si="259"/>
        <v>0</v>
      </c>
      <c r="M313" s="22" t="s">
        <v>310</v>
      </c>
      <c r="N313" s="2"/>
      <c r="O313" s="2"/>
      <c r="P313" s="2"/>
      <c r="Q313" s="2"/>
      <c r="R313" s="2"/>
      <c r="S313" s="2"/>
      <c r="T313" s="2"/>
      <c r="U313" s="2"/>
      <c r="V313" s="2"/>
      <c r="W313" s="2"/>
      <c r="X313" s="2"/>
      <c r="Y313" s="2"/>
      <c r="Z313" s="2"/>
    </row>
    <row r="314" spans="1:26" ht="19.5" customHeight="1">
      <c r="A314" s="19" t="s">
        <v>1027</v>
      </c>
      <c r="B314" s="20" t="s">
        <v>1028</v>
      </c>
      <c r="C314" s="21">
        <v>1</v>
      </c>
      <c r="D314" s="22" t="s">
        <v>31</v>
      </c>
      <c r="E314" s="18">
        <v>0.06</v>
      </c>
      <c r="F314" s="18">
        <f t="shared" ref="F314:F315" si="260">0/((225+325)/2)</f>
        <v>0</v>
      </c>
      <c r="G314" s="18">
        <f t="shared" si="255"/>
        <v>0</v>
      </c>
      <c r="H314" s="18">
        <f>14/((44+77)/2)</f>
        <v>0.23140495867768596</v>
      </c>
      <c r="I314" s="18">
        <f t="shared" ref="I314:I315" si="261">0/((36+25)/2)</f>
        <v>0</v>
      </c>
      <c r="J314" s="18">
        <f t="shared" si="257"/>
        <v>0</v>
      </c>
      <c r="K314" s="18">
        <f t="shared" si="258"/>
        <v>0</v>
      </c>
      <c r="L314" s="18">
        <f t="shared" si="259"/>
        <v>0</v>
      </c>
      <c r="M314" s="22" t="s">
        <v>1029</v>
      </c>
      <c r="N314" s="2"/>
      <c r="O314" s="2"/>
      <c r="P314" s="2"/>
      <c r="Q314" s="2"/>
      <c r="R314" s="2"/>
      <c r="S314" s="2"/>
      <c r="T314" s="2"/>
      <c r="U314" s="2"/>
      <c r="V314" s="2"/>
      <c r="W314" s="2"/>
      <c r="X314" s="2"/>
      <c r="Y314" s="2"/>
      <c r="Z314" s="2"/>
    </row>
    <row r="315" spans="1:26" ht="19.5" customHeight="1">
      <c r="A315" s="19" t="s">
        <v>1030</v>
      </c>
      <c r="B315" s="20" t="s">
        <v>1031</v>
      </c>
      <c r="C315" s="21">
        <v>1</v>
      </c>
      <c r="D315" s="22" t="s">
        <v>76</v>
      </c>
      <c r="E315" s="18">
        <v>7.4999999999999997E-3</v>
      </c>
      <c r="F315" s="18">
        <f t="shared" si="260"/>
        <v>0</v>
      </c>
      <c r="G315" s="18">
        <f t="shared" si="255"/>
        <v>0</v>
      </c>
      <c r="H315" s="18">
        <f>1.5/((44+77)/2)</f>
        <v>2.4793388429752067E-2</v>
      </c>
      <c r="I315" s="18">
        <f t="shared" si="261"/>
        <v>0</v>
      </c>
      <c r="J315" s="18">
        <f t="shared" si="257"/>
        <v>0</v>
      </c>
      <c r="K315" s="18">
        <f>80/((25+30)/2)</f>
        <v>2.9090909090909092</v>
      </c>
      <c r="L315" s="18">
        <f t="shared" si="259"/>
        <v>0</v>
      </c>
      <c r="M315" s="22" t="s">
        <v>1032</v>
      </c>
      <c r="N315" s="2"/>
      <c r="O315" s="2"/>
      <c r="P315" s="2"/>
      <c r="Q315" s="2"/>
      <c r="R315" s="2"/>
      <c r="S315" s="2"/>
      <c r="T315" s="2"/>
      <c r="U315" s="2"/>
      <c r="V315" s="2"/>
      <c r="W315" s="2"/>
      <c r="X315" s="2"/>
      <c r="Y315" s="2"/>
      <c r="Z315" s="2"/>
    </row>
    <row r="316" spans="1:26" ht="19.5" customHeight="1">
      <c r="A316" s="19" t="s">
        <v>114</v>
      </c>
      <c r="B316" s="20" t="s">
        <v>115</v>
      </c>
      <c r="C316" s="22" t="s">
        <v>69</v>
      </c>
      <c r="D316" s="22" t="s">
        <v>17</v>
      </c>
      <c r="E316" s="18">
        <v>8.5000000000000006E-2</v>
      </c>
      <c r="F316" s="18">
        <f>7/((225+325)/2)</f>
        <v>2.5454545454545455E-2</v>
      </c>
      <c r="G316" s="18">
        <f>4/((56+46)/2)</f>
        <v>7.8431372549019607E-2</v>
      </c>
      <c r="H316" s="18">
        <f>15/((44+77)/2)</f>
        <v>0.24793388429752067</v>
      </c>
      <c r="I316" s="18">
        <f>4/((36+25)/2)</f>
        <v>0.13114754098360656</v>
      </c>
      <c r="J316" s="18">
        <f>10/(2300)</f>
        <v>4.3478260869565218E-3</v>
      </c>
      <c r="K316" s="18">
        <f>2/((25+30)/2)</f>
        <v>7.2727272727272724E-2</v>
      </c>
      <c r="L316" s="18">
        <f t="shared" si="259"/>
        <v>0</v>
      </c>
      <c r="M316" s="22" t="s">
        <v>116</v>
      </c>
      <c r="N316" s="2"/>
      <c r="O316" s="2"/>
      <c r="P316" s="2"/>
      <c r="Q316" s="2"/>
      <c r="R316" s="2"/>
      <c r="S316" s="2"/>
      <c r="T316" s="2"/>
      <c r="U316" s="2"/>
      <c r="V316" s="2"/>
      <c r="W316" s="2"/>
      <c r="X316" s="2"/>
      <c r="Y316" s="2"/>
      <c r="Z316" s="2"/>
    </row>
    <row r="317" spans="1:26" ht="19.5" customHeight="1">
      <c r="A317" s="19" t="s">
        <v>117</v>
      </c>
      <c r="B317" s="20" t="s">
        <v>118</v>
      </c>
      <c r="C317" s="22" t="s">
        <v>69</v>
      </c>
      <c r="D317" s="22" t="s">
        <v>17</v>
      </c>
      <c r="E317" s="18">
        <v>7.0000000000000007E-2</v>
      </c>
      <c r="F317" s="18">
        <f>9/((225+325)/2)</f>
        <v>3.272727272727273E-2</v>
      </c>
      <c r="G317" s="18">
        <f>3/((56+46)/2)</f>
        <v>5.8823529411764705E-2</v>
      </c>
      <c r="H317" s="18">
        <f>10/((44+77)/2)</f>
        <v>0.16528925619834711</v>
      </c>
      <c r="I317" s="18">
        <f>3/((36+25)/2)</f>
        <v>9.8360655737704916E-2</v>
      </c>
      <c r="J317" s="18">
        <f>0/(2300)</f>
        <v>0</v>
      </c>
      <c r="K317" s="18">
        <f>4/((25+30)/2)</f>
        <v>0.14545454545454545</v>
      </c>
      <c r="L317" s="18">
        <f t="shared" si="259"/>
        <v>0</v>
      </c>
      <c r="M317" s="22" t="s">
        <v>119</v>
      </c>
      <c r="N317" s="2"/>
      <c r="O317" s="2"/>
      <c r="P317" s="2"/>
      <c r="Q317" s="2"/>
      <c r="R317" s="2"/>
      <c r="S317" s="2"/>
      <c r="T317" s="2"/>
      <c r="U317" s="2"/>
      <c r="V317" s="2"/>
      <c r="W317" s="2"/>
      <c r="X317" s="2"/>
      <c r="Y317" s="2"/>
      <c r="Z317" s="2"/>
    </row>
    <row r="318" spans="1:26" ht="19.5" customHeight="1">
      <c r="A318" s="19" t="s">
        <v>1033</v>
      </c>
      <c r="B318" s="20" t="s">
        <v>1034</v>
      </c>
      <c r="C318" s="21">
        <v>1</v>
      </c>
      <c r="D318" s="22" t="s">
        <v>909</v>
      </c>
      <c r="E318" s="18">
        <v>9.5000000000000001E-2</v>
      </c>
      <c r="F318" s="18">
        <f>16/((225+325)/2)</f>
        <v>5.8181818181818182E-2</v>
      </c>
      <c r="G318" s="18">
        <f>13/((56+46)/2)</f>
        <v>0.25490196078431371</v>
      </c>
      <c r="H318" s="18">
        <f>8/((44+77)/2)</f>
        <v>0.13223140495867769</v>
      </c>
      <c r="I318" s="18">
        <f>1/((36+25)/2)</f>
        <v>3.2786885245901641E-2</v>
      </c>
      <c r="J318" s="18">
        <f>460/(2300)</f>
        <v>0.2</v>
      </c>
      <c r="K318" s="18">
        <f>2/((25+30)/2)</f>
        <v>7.2727272727272724E-2</v>
      </c>
      <c r="L318" s="18">
        <f>90/(300)</f>
        <v>0.3</v>
      </c>
      <c r="M318" s="22" t="s">
        <v>1035</v>
      </c>
      <c r="N318" s="2"/>
      <c r="O318" s="2"/>
      <c r="P318" s="2"/>
      <c r="Q318" s="2"/>
      <c r="R318" s="2"/>
      <c r="S318" s="2"/>
      <c r="T318" s="2"/>
      <c r="U318" s="2"/>
      <c r="V318" s="2"/>
      <c r="W318" s="2"/>
      <c r="X318" s="2"/>
      <c r="Y318" s="2"/>
      <c r="Z318" s="2"/>
    </row>
    <row r="319" spans="1:26" ht="19.5" customHeight="1">
      <c r="A319" s="19" t="s">
        <v>294</v>
      </c>
      <c r="B319" s="20" t="s">
        <v>295</v>
      </c>
      <c r="C319" s="21">
        <v>25</v>
      </c>
      <c r="D319" s="22" t="s">
        <v>286</v>
      </c>
      <c r="E319" s="18">
        <v>0.03</v>
      </c>
      <c r="F319" s="18">
        <f>7/((225+325)/2)</f>
        <v>2.5454545454545455E-2</v>
      </c>
      <c r="G319" s="18">
        <f>7/((56+46)/2)</f>
        <v>0.13725490196078433</v>
      </c>
      <c r="H319" s="18">
        <f>1/((44+77)/2)</f>
        <v>1.6528925619834711E-2</v>
      </c>
      <c r="I319" s="18">
        <f t="shared" ref="I319:I320" si="262">0/((36+25)/2)</f>
        <v>0</v>
      </c>
      <c r="J319" s="18">
        <f>321/(2300)</f>
        <v>0.13956521739130434</v>
      </c>
      <c r="K319" s="18">
        <f>7/((25+30)/2)</f>
        <v>0.25454545454545452</v>
      </c>
      <c r="L319" s="18">
        <f t="shared" ref="L319:L328" si="263">0/(300)</f>
        <v>0</v>
      </c>
      <c r="M319" s="22" t="s">
        <v>287</v>
      </c>
      <c r="N319" s="2"/>
      <c r="O319" s="2"/>
      <c r="P319" s="2"/>
      <c r="Q319" s="2"/>
      <c r="R319" s="2"/>
      <c r="S319" s="2"/>
      <c r="T319" s="2"/>
      <c r="U319" s="2"/>
      <c r="V319" s="2"/>
      <c r="W319" s="2"/>
      <c r="X319" s="2"/>
      <c r="Y319" s="2"/>
      <c r="Z319" s="2"/>
    </row>
    <row r="320" spans="1:26" ht="19.5" customHeight="1">
      <c r="A320" s="19" t="s">
        <v>587</v>
      </c>
      <c r="B320" s="20" t="s">
        <v>1117</v>
      </c>
      <c r="C320" s="21">
        <v>2</v>
      </c>
      <c r="D320" s="22" t="s">
        <v>467</v>
      </c>
      <c r="E320" s="18">
        <v>0.03</v>
      </c>
      <c r="F320" s="18">
        <f>15/((225+325)/2)</f>
        <v>5.4545454545454543E-2</v>
      </c>
      <c r="G320" s="18">
        <f t="shared" ref="G320:G321" si="264">2/((56+46)/2)</f>
        <v>3.9215686274509803E-2</v>
      </c>
      <c r="H320" s="18">
        <f>0/((44+77)/2)</f>
        <v>0</v>
      </c>
      <c r="I320" s="18">
        <f t="shared" si="262"/>
        <v>0</v>
      </c>
      <c r="J320" s="18">
        <f>70/(2300)</f>
        <v>3.0434782608695653E-2</v>
      </c>
      <c r="K320" s="18">
        <f>3/((25+30)/2)</f>
        <v>0.10909090909090909</v>
      </c>
      <c r="L320" s="18">
        <f t="shared" si="263"/>
        <v>0</v>
      </c>
      <c r="M320" s="22" t="s">
        <v>576</v>
      </c>
      <c r="N320" s="2"/>
      <c r="O320" s="2"/>
      <c r="P320" s="2"/>
      <c r="Q320" s="2"/>
      <c r="R320" s="2"/>
      <c r="S320" s="2"/>
      <c r="T320" s="2"/>
      <c r="U320" s="2"/>
      <c r="V320" s="2"/>
      <c r="W320" s="2"/>
      <c r="X320" s="2"/>
      <c r="Y320" s="2"/>
      <c r="Z320" s="2"/>
    </row>
    <row r="321" spans="1:26" ht="19.5" customHeight="1">
      <c r="A321" s="19" t="s">
        <v>588</v>
      </c>
      <c r="B321" s="20" t="s">
        <v>589</v>
      </c>
      <c r="C321" s="21">
        <v>2</v>
      </c>
      <c r="D321" s="22" t="s">
        <v>236</v>
      </c>
      <c r="E321" s="18">
        <v>0.04</v>
      </c>
      <c r="F321" s="18">
        <f>12/((225+325)/2)</f>
        <v>4.363636363636364E-2</v>
      </c>
      <c r="G321" s="18">
        <f t="shared" si="264"/>
        <v>3.9215686274509803E-2</v>
      </c>
      <c r="H321" s="18">
        <f>2.5/((44+77)/2)</f>
        <v>4.1322314049586778E-2</v>
      </c>
      <c r="I321" s="18">
        <f>7/((36+25)/2)</f>
        <v>0.22950819672131148</v>
      </c>
      <c r="J321" s="18">
        <f t="shared" ref="J321:J322" si="265">0/(2300)</f>
        <v>0</v>
      </c>
      <c r="K321" s="18">
        <f>2/((25+30)/2)</f>
        <v>7.2727272727272724E-2</v>
      </c>
      <c r="L321" s="18">
        <f t="shared" si="263"/>
        <v>0</v>
      </c>
      <c r="M321" s="22" t="s">
        <v>590</v>
      </c>
      <c r="N321" s="2"/>
      <c r="O321" s="2"/>
      <c r="P321" s="2"/>
      <c r="Q321" s="2"/>
      <c r="R321" s="2"/>
      <c r="S321" s="2"/>
      <c r="T321" s="2"/>
      <c r="U321" s="2"/>
      <c r="V321" s="2"/>
      <c r="W321" s="2"/>
      <c r="X321" s="2"/>
      <c r="Y321" s="2"/>
      <c r="Z321" s="2"/>
    </row>
    <row r="322" spans="1:26" ht="19.5" customHeight="1">
      <c r="A322" s="19" t="s">
        <v>398</v>
      </c>
      <c r="B322" s="20" t="s">
        <v>399</v>
      </c>
      <c r="C322" s="21">
        <v>8</v>
      </c>
      <c r="D322" s="22" t="s">
        <v>306</v>
      </c>
      <c r="E322" s="18">
        <v>0</v>
      </c>
      <c r="F322" s="18">
        <f>0/((225+325)/2)</f>
        <v>0</v>
      </c>
      <c r="G322" s="18">
        <f>0/((56+46)/2)</f>
        <v>0</v>
      </c>
      <c r="H322" s="18">
        <f>0/((44+77)/2)</f>
        <v>0</v>
      </c>
      <c r="I322" s="18">
        <f>0/((36+25)/2)</f>
        <v>0</v>
      </c>
      <c r="J322" s="18">
        <f t="shared" si="265"/>
        <v>0</v>
      </c>
      <c r="K322" s="18">
        <f t="shared" ref="K322:K326" si="266">0/((25+30)/2)</f>
        <v>0</v>
      </c>
      <c r="L322" s="18">
        <f t="shared" si="263"/>
        <v>0</v>
      </c>
      <c r="M322" s="22" t="s">
        <v>391</v>
      </c>
      <c r="N322" s="2"/>
      <c r="O322" s="2"/>
      <c r="P322" s="2"/>
      <c r="Q322" s="2"/>
      <c r="R322" s="2"/>
      <c r="S322" s="2"/>
      <c r="T322" s="2"/>
      <c r="U322" s="2"/>
      <c r="V322" s="2"/>
      <c r="W322" s="2"/>
      <c r="X322" s="2"/>
      <c r="Y322" s="2"/>
      <c r="Z322" s="2"/>
    </row>
    <row r="323" spans="1:26" ht="19.5" customHeight="1">
      <c r="A323" s="19" t="s">
        <v>401</v>
      </c>
      <c r="B323" s="20" t="s">
        <v>402</v>
      </c>
      <c r="C323" s="21">
        <v>8</v>
      </c>
      <c r="D323" s="22" t="s">
        <v>306</v>
      </c>
      <c r="E323" s="18">
        <v>7.0000000000000007E-2</v>
      </c>
      <c r="F323" s="18">
        <f>7/((225+325)/2)</f>
        <v>2.5454545454545455E-2</v>
      </c>
      <c r="G323" s="18">
        <f>2/((56+46)/2)</f>
        <v>3.9215686274509803E-2</v>
      </c>
      <c r="H323" s="18">
        <f>11/((44+77)/2)</f>
        <v>0.18181818181818182</v>
      </c>
      <c r="I323" s="18">
        <f>6/((36+25)/2)</f>
        <v>0.19672131147540983</v>
      </c>
      <c r="J323" s="18">
        <f>75/(2300)</f>
        <v>3.2608695652173912E-2</v>
      </c>
      <c r="K323" s="18">
        <f t="shared" si="266"/>
        <v>0</v>
      </c>
      <c r="L323" s="18">
        <f t="shared" si="263"/>
        <v>0</v>
      </c>
      <c r="M323" s="22" t="s">
        <v>405</v>
      </c>
      <c r="N323" s="2"/>
      <c r="O323" s="2"/>
      <c r="P323" s="2"/>
      <c r="Q323" s="2"/>
      <c r="R323" s="2"/>
      <c r="S323" s="2"/>
      <c r="T323" s="2"/>
      <c r="U323" s="2"/>
      <c r="V323" s="2"/>
      <c r="W323" s="2"/>
      <c r="X323" s="2"/>
      <c r="Y323" s="2"/>
      <c r="Z323" s="2"/>
    </row>
    <row r="324" spans="1:26" ht="19.5" customHeight="1">
      <c r="A324" s="19" t="s">
        <v>406</v>
      </c>
      <c r="B324" s="20" t="s">
        <v>407</v>
      </c>
      <c r="C324" s="21">
        <v>8</v>
      </c>
      <c r="D324" s="22" t="s">
        <v>306</v>
      </c>
      <c r="E324" s="18">
        <v>6.5000000000000002E-2</v>
      </c>
      <c r="F324" s="18">
        <f>14/((225+325)/2)</f>
        <v>5.0909090909090911E-2</v>
      </c>
      <c r="G324" s="18">
        <f>1/((56+46)/2)</f>
        <v>1.9607843137254902E-2</v>
      </c>
      <c r="H324" s="18">
        <f>7/((44+77)/2)</f>
        <v>0.11570247933884298</v>
      </c>
      <c r="I324" s="18">
        <f>3/((36+25)/2)</f>
        <v>9.8360655737704916E-2</v>
      </c>
      <c r="J324" s="18">
        <f>105/(2300)</f>
        <v>4.5652173913043478E-2</v>
      </c>
      <c r="K324" s="18">
        <f t="shared" si="266"/>
        <v>0</v>
      </c>
      <c r="L324" s="18">
        <f t="shared" si="263"/>
        <v>0</v>
      </c>
      <c r="M324" s="22" t="s">
        <v>408</v>
      </c>
      <c r="N324" s="2"/>
      <c r="O324" s="2"/>
      <c r="P324" s="2"/>
      <c r="Q324" s="2"/>
      <c r="R324" s="2"/>
      <c r="S324" s="2"/>
      <c r="T324" s="2"/>
      <c r="U324" s="2"/>
      <c r="V324" s="2"/>
      <c r="W324" s="2"/>
      <c r="X324" s="2"/>
      <c r="Y324" s="2"/>
      <c r="Z324" s="2"/>
    </row>
    <row r="325" spans="1:26" ht="19.5" customHeight="1">
      <c r="A325" s="19" t="s">
        <v>331</v>
      </c>
      <c r="B325" s="20" t="s">
        <v>332</v>
      </c>
      <c r="C325" s="21">
        <v>12</v>
      </c>
      <c r="D325" s="22" t="s">
        <v>306</v>
      </c>
      <c r="E325" s="18">
        <v>0</v>
      </c>
      <c r="F325" s="18">
        <f>0/((225+325)/2)</f>
        <v>0</v>
      </c>
      <c r="G325" s="18">
        <f t="shared" ref="G325:G326" si="267">0/((56+46)/2)</f>
        <v>0</v>
      </c>
      <c r="H325" s="18">
        <f t="shared" ref="H325:H326" si="268">0/((44+77)/2)</f>
        <v>0</v>
      </c>
      <c r="I325" s="18">
        <f t="shared" ref="I325:I327" si="269">0/((36+25)/2)</f>
        <v>0</v>
      </c>
      <c r="J325" s="18">
        <f>15/(2300)</f>
        <v>6.5217391304347823E-3</v>
      </c>
      <c r="K325" s="18">
        <f t="shared" si="266"/>
        <v>0</v>
      </c>
      <c r="L325" s="18">
        <f t="shared" si="263"/>
        <v>0</v>
      </c>
      <c r="M325" s="22" t="s">
        <v>333</v>
      </c>
      <c r="N325" s="2"/>
      <c r="O325" s="2"/>
      <c r="P325" s="2"/>
      <c r="Q325" s="2"/>
      <c r="R325" s="2"/>
      <c r="S325" s="2"/>
      <c r="T325" s="2"/>
      <c r="U325" s="2"/>
      <c r="V325" s="2"/>
      <c r="W325" s="2"/>
      <c r="X325" s="2"/>
      <c r="Y325" s="2"/>
      <c r="Z325" s="2"/>
    </row>
    <row r="326" spans="1:26" ht="19.5" customHeight="1">
      <c r="A326" s="19" t="s">
        <v>1036</v>
      </c>
      <c r="B326" s="20" t="s">
        <v>1037</v>
      </c>
      <c r="C326" s="21">
        <v>1</v>
      </c>
      <c r="D326" s="22" t="s">
        <v>31</v>
      </c>
      <c r="E326" s="18">
        <v>2.5000000000000001E-3</v>
      </c>
      <c r="F326" s="18">
        <f>1/((225+325)/2)</f>
        <v>3.6363636363636364E-3</v>
      </c>
      <c r="G326" s="18">
        <f t="shared" si="267"/>
        <v>0</v>
      </c>
      <c r="H326" s="18">
        <f t="shared" si="268"/>
        <v>0</v>
      </c>
      <c r="I326" s="18">
        <f t="shared" si="269"/>
        <v>0</v>
      </c>
      <c r="J326" s="18">
        <f>50/(2300)</f>
        <v>2.1739130434782608E-2</v>
      </c>
      <c r="K326" s="18">
        <f t="shared" si="266"/>
        <v>0</v>
      </c>
      <c r="L326" s="18">
        <f t="shared" si="263"/>
        <v>0</v>
      </c>
      <c r="M326" s="22" t="s">
        <v>1038</v>
      </c>
      <c r="N326" s="2"/>
      <c r="O326" s="2"/>
      <c r="P326" s="2"/>
      <c r="Q326" s="2"/>
      <c r="R326" s="2"/>
      <c r="S326" s="2"/>
      <c r="T326" s="2"/>
      <c r="U326" s="2"/>
      <c r="V326" s="2"/>
      <c r="W326" s="2"/>
      <c r="X326" s="2"/>
      <c r="Y326" s="2"/>
      <c r="Z326" s="2"/>
    </row>
    <row r="327" spans="1:26" ht="19.5" customHeight="1">
      <c r="A327" s="19" t="s">
        <v>214</v>
      </c>
      <c r="B327" s="20" t="s">
        <v>215</v>
      </c>
      <c r="C327" s="22" t="s">
        <v>155</v>
      </c>
      <c r="D327" s="22" t="s">
        <v>200</v>
      </c>
      <c r="E327" s="18">
        <v>0.04</v>
      </c>
      <c r="F327" s="18">
        <f>15/((225+325)/2)</f>
        <v>5.4545454545454543E-2</v>
      </c>
      <c r="G327" s="18">
        <f>4/((56+46)/2)</f>
        <v>7.8431372549019607E-2</v>
      </c>
      <c r="H327" s="18">
        <f>0.5/((44+77)/2)</f>
        <v>8.2644628099173556E-3</v>
      </c>
      <c r="I327" s="18">
        <f t="shared" si="269"/>
        <v>0</v>
      </c>
      <c r="J327" s="18">
        <f>75/(2300)</f>
        <v>3.2608695652173912E-2</v>
      </c>
      <c r="K327" s="18">
        <f t="shared" ref="K327:K328" si="270">3/((25+30)/2)</f>
        <v>0.10909090909090909</v>
      </c>
      <c r="L327" s="18">
        <f t="shared" si="263"/>
        <v>0</v>
      </c>
      <c r="M327" s="22" t="s">
        <v>202</v>
      </c>
      <c r="N327" s="2"/>
      <c r="O327" s="2"/>
      <c r="P327" s="2"/>
      <c r="Q327" s="2"/>
      <c r="R327" s="2"/>
      <c r="S327" s="2"/>
      <c r="T327" s="2"/>
      <c r="U327" s="2"/>
      <c r="V327" s="2"/>
      <c r="W327" s="2"/>
      <c r="X327" s="2"/>
      <c r="Y327" s="2"/>
      <c r="Z327" s="2"/>
    </row>
    <row r="328" spans="1:26" ht="19.5" customHeight="1">
      <c r="A328" s="19" t="s">
        <v>147</v>
      </c>
      <c r="B328" s="20" t="s">
        <v>148</v>
      </c>
      <c r="C328" s="22" t="s">
        <v>145</v>
      </c>
      <c r="D328" s="22" t="s">
        <v>17</v>
      </c>
      <c r="E328" s="18">
        <v>9.5000000000000001E-2</v>
      </c>
      <c r="F328" s="18">
        <f>20/((225+325)/2)</f>
        <v>7.2727272727272724E-2</v>
      </c>
      <c r="G328" s="18">
        <f>7/((56+46)/2)</f>
        <v>0.13725490196078433</v>
      </c>
      <c r="H328" s="18">
        <f>9/((44+77)/2)</f>
        <v>0.1487603305785124</v>
      </c>
      <c r="I328" s="18">
        <f>3/((36+25)/2)</f>
        <v>9.8360655737704916E-2</v>
      </c>
      <c r="J328" s="18">
        <f>250/(2300)</f>
        <v>0.10869565217391304</v>
      </c>
      <c r="K328" s="18">
        <f t="shared" si="270"/>
        <v>0.10909090909090909</v>
      </c>
      <c r="L328" s="18">
        <f t="shared" si="263"/>
        <v>0</v>
      </c>
      <c r="M328" s="22" t="s">
        <v>149</v>
      </c>
      <c r="N328" s="2"/>
      <c r="O328" s="2"/>
      <c r="P328" s="2"/>
      <c r="Q328" s="2"/>
      <c r="R328" s="2"/>
      <c r="S328" s="2"/>
      <c r="T328" s="2"/>
      <c r="U328" s="2"/>
      <c r="V328" s="2"/>
      <c r="W328" s="2"/>
      <c r="X328" s="2"/>
      <c r="Y328" s="2"/>
      <c r="Z328" s="2"/>
    </row>
    <row r="329" spans="1:26" ht="19.5" customHeight="1">
      <c r="A329" s="19" t="s">
        <v>1118</v>
      </c>
      <c r="B329" s="20" t="s">
        <v>1119</v>
      </c>
      <c r="C329" s="21">
        <v>1</v>
      </c>
      <c r="D329" s="22" t="s">
        <v>31</v>
      </c>
      <c r="E329" s="18" t="s">
        <v>218</v>
      </c>
      <c r="F329" s="18" t="s">
        <v>218</v>
      </c>
      <c r="G329" s="18" t="s">
        <v>218</v>
      </c>
      <c r="H329" s="18" t="s">
        <v>218</v>
      </c>
      <c r="I329" s="18" t="s">
        <v>218</v>
      </c>
      <c r="J329" s="18" t="s">
        <v>218</v>
      </c>
      <c r="K329" s="18" t="s">
        <v>218</v>
      </c>
      <c r="L329" s="18" t="s">
        <v>218</v>
      </c>
      <c r="M329" s="22" t="s">
        <v>1120</v>
      </c>
      <c r="N329" s="2"/>
      <c r="O329" s="2"/>
      <c r="P329" s="2"/>
      <c r="Q329" s="2"/>
      <c r="R329" s="2"/>
      <c r="S329" s="2"/>
      <c r="T329" s="2"/>
      <c r="U329" s="2"/>
      <c r="V329" s="2"/>
      <c r="W329" s="2"/>
      <c r="X329" s="2"/>
      <c r="Y329" s="2"/>
      <c r="Z329" s="2"/>
    </row>
    <row r="330" spans="1:26" ht="19.5" customHeight="1">
      <c r="A330" s="19" t="s">
        <v>1039</v>
      </c>
      <c r="B330" s="20" t="s">
        <v>1040</v>
      </c>
      <c r="C330" s="21">
        <v>1</v>
      </c>
      <c r="D330" s="22" t="s">
        <v>31</v>
      </c>
      <c r="E330" s="18">
        <v>0.06</v>
      </c>
      <c r="F330" s="18">
        <f>0/((225+325)/2)</f>
        <v>0</v>
      </c>
      <c r="G330" s="18">
        <f t="shared" ref="G330:G331" si="271">0/((56+46)/2)</f>
        <v>0</v>
      </c>
      <c r="H330" s="18">
        <f>14/((44+77)/2)</f>
        <v>0.23140495867768596</v>
      </c>
      <c r="I330" s="18">
        <f t="shared" ref="I330:I334" si="272">0/((36+25)/2)</f>
        <v>0</v>
      </c>
      <c r="J330" s="18">
        <f>0/(2300)</f>
        <v>0</v>
      </c>
      <c r="K330" s="18">
        <f t="shared" ref="K330:K334" si="273">0/((25+30)/2)</f>
        <v>0</v>
      </c>
      <c r="L330" s="18">
        <f t="shared" ref="L330:L338" si="274">0/(300)</f>
        <v>0</v>
      </c>
      <c r="M330" s="22" t="s">
        <v>1029</v>
      </c>
      <c r="N330" s="2"/>
      <c r="O330" s="2"/>
      <c r="P330" s="2"/>
      <c r="Q330" s="2"/>
      <c r="R330" s="2"/>
      <c r="S330" s="2"/>
      <c r="T330" s="2"/>
      <c r="U330" s="2"/>
      <c r="V330" s="2"/>
      <c r="W330" s="2"/>
      <c r="X330" s="2"/>
      <c r="Y330" s="2"/>
      <c r="Z330" s="2"/>
    </row>
    <row r="331" spans="1:26" ht="19.5" customHeight="1">
      <c r="A331" s="19" t="s">
        <v>1041</v>
      </c>
      <c r="B331" s="20" t="s">
        <v>1042</v>
      </c>
      <c r="C331" s="21">
        <v>1</v>
      </c>
      <c r="D331" s="22" t="s">
        <v>76</v>
      </c>
      <c r="E331" s="18">
        <v>5.0000000000000001E-3</v>
      </c>
      <c r="F331" s="18">
        <f>1/((225+325)/2)</f>
        <v>3.6363636363636364E-3</v>
      </c>
      <c r="G331" s="18">
        <f t="shared" si="271"/>
        <v>0</v>
      </c>
      <c r="H331" s="18">
        <f>0.5/((44+77)/2)</f>
        <v>8.2644628099173556E-3</v>
      </c>
      <c r="I331" s="18">
        <f t="shared" si="272"/>
        <v>0</v>
      </c>
      <c r="J331" s="18">
        <f>130/(2300)</f>
        <v>5.6521739130434782E-2</v>
      </c>
      <c r="K331" s="18">
        <f t="shared" si="273"/>
        <v>0</v>
      </c>
      <c r="L331" s="18">
        <f t="shared" si="274"/>
        <v>0</v>
      </c>
      <c r="M331" s="22" t="s">
        <v>1043</v>
      </c>
      <c r="N331" s="2"/>
      <c r="O331" s="2"/>
      <c r="P331" s="2"/>
      <c r="Q331" s="2"/>
      <c r="R331" s="2"/>
      <c r="S331" s="2"/>
      <c r="T331" s="2"/>
      <c r="U331" s="2"/>
      <c r="V331" s="2"/>
      <c r="W331" s="2"/>
      <c r="X331" s="2"/>
      <c r="Y331" s="2"/>
      <c r="Z331" s="2"/>
    </row>
    <row r="332" spans="1:26" ht="19.5" customHeight="1">
      <c r="A332" s="19" t="s">
        <v>1044</v>
      </c>
      <c r="B332" s="20" t="s">
        <v>1045</v>
      </c>
      <c r="C332" s="21">
        <v>1</v>
      </c>
      <c r="D332" s="22" t="s">
        <v>31</v>
      </c>
      <c r="E332" s="18">
        <v>7.4999999999999997E-3</v>
      </c>
      <c r="F332" s="18">
        <f t="shared" ref="F332:F333" si="275">0/((225+325)/2)</f>
        <v>0</v>
      </c>
      <c r="G332" s="18">
        <f>3/((56+46)/2)</f>
        <v>5.8823529411764705E-2</v>
      </c>
      <c r="H332" s="18">
        <f t="shared" ref="H332:H333" si="276">0/((44+77)/2)</f>
        <v>0</v>
      </c>
      <c r="I332" s="18">
        <f t="shared" si="272"/>
        <v>0</v>
      </c>
      <c r="J332" s="18">
        <f>1570/(2300)</f>
        <v>0.68260869565217386</v>
      </c>
      <c r="K332" s="18">
        <f t="shared" si="273"/>
        <v>0</v>
      </c>
      <c r="L332" s="18">
        <f t="shared" si="274"/>
        <v>0</v>
      </c>
      <c r="M332" s="22" t="s">
        <v>1046</v>
      </c>
      <c r="N332" s="2"/>
      <c r="O332" s="2"/>
      <c r="P332" s="2"/>
      <c r="Q332" s="2"/>
      <c r="R332" s="2"/>
      <c r="S332" s="2"/>
      <c r="T332" s="2"/>
      <c r="U332" s="2"/>
      <c r="V332" s="2"/>
      <c r="W332" s="2"/>
      <c r="X332" s="2"/>
      <c r="Y332" s="2"/>
      <c r="Z332" s="2"/>
    </row>
    <row r="333" spans="1:26" ht="19.5" customHeight="1">
      <c r="A333" s="19" t="s">
        <v>120</v>
      </c>
      <c r="B333" s="20" t="s">
        <v>121</v>
      </c>
      <c r="C333" s="22" t="s">
        <v>69</v>
      </c>
      <c r="D333" s="22" t="s">
        <v>76</v>
      </c>
      <c r="E333" s="18">
        <v>0</v>
      </c>
      <c r="F333" s="18">
        <f t="shared" si="275"/>
        <v>0</v>
      </c>
      <c r="G333" s="18">
        <f>0/((56+46)/2)</f>
        <v>0</v>
      </c>
      <c r="H333" s="18">
        <f t="shared" si="276"/>
        <v>0</v>
      </c>
      <c r="I333" s="18">
        <f t="shared" si="272"/>
        <v>0</v>
      </c>
      <c r="J333" s="18">
        <f>390/(2300)</f>
        <v>0.16956521739130434</v>
      </c>
      <c r="K333" s="18">
        <f t="shared" si="273"/>
        <v>0</v>
      </c>
      <c r="L333" s="18">
        <f t="shared" si="274"/>
        <v>0</v>
      </c>
      <c r="M333" s="22" t="s">
        <v>122</v>
      </c>
      <c r="N333" s="2"/>
      <c r="O333" s="2"/>
      <c r="P333" s="2"/>
      <c r="Q333" s="2"/>
      <c r="R333" s="2"/>
      <c r="S333" s="2"/>
      <c r="T333" s="2"/>
      <c r="U333" s="2"/>
      <c r="V333" s="2"/>
      <c r="W333" s="2"/>
      <c r="X333" s="2"/>
      <c r="Y333" s="2"/>
      <c r="Z333" s="2"/>
    </row>
    <row r="334" spans="1:26" ht="19.5" customHeight="1">
      <c r="A334" s="19" t="s">
        <v>1047</v>
      </c>
      <c r="B334" s="20" t="s">
        <v>1121</v>
      </c>
      <c r="C334" s="21">
        <v>1</v>
      </c>
      <c r="D334" s="22" t="s">
        <v>76</v>
      </c>
      <c r="E334" s="18">
        <v>7.4999999999999997E-3</v>
      </c>
      <c r="F334" s="18">
        <f>1/((225+325)/2)</f>
        <v>3.6363636363636364E-3</v>
      </c>
      <c r="G334" s="18">
        <f>1/((56+46)/2)</f>
        <v>1.9607843137254902E-2</v>
      </c>
      <c r="H334" s="18">
        <f>1.5/((44+77)/2)</f>
        <v>2.4793388429752067E-2</v>
      </c>
      <c r="I334" s="18">
        <f t="shared" si="272"/>
        <v>0</v>
      </c>
      <c r="J334" s="18">
        <f>80/(2300)</f>
        <v>3.4782608695652174E-2</v>
      </c>
      <c r="K334" s="18">
        <f t="shared" si="273"/>
        <v>0</v>
      </c>
      <c r="L334" s="18">
        <f t="shared" si="274"/>
        <v>0</v>
      </c>
      <c r="M334" s="22" t="s">
        <v>1032</v>
      </c>
      <c r="N334" s="2"/>
      <c r="O334" s="2"/>
      <c r="P334" s="2"/>
      <c r="Q334" s="2"/>
      <c r="R334" s="2"/>
      <c r="S334" s="2"/>
      <c r="T334" s="2"/>
      <c r="U334" s="2"/>
      <c r="V334" s="2"/>
      <c r="W334" s="2"/>
      <c r="X334" s="2"/>
      <c r="Y334" s="2"/>
      <c r="Z334" s="2"/>
    </row>
    <row r="335" spans="1:26" ht="19.5" customHeight="1">
      <c r="A335" s="19" t="s">
        <v>123</v>
      </c>
      <c r="B335" s="20" t="s">
        <v>1122</v>
      </c>
      <c r="C335" s="22" t="s">
        <v>69</v>
      </c>
      <c r="D335" s="22" t="s">
        <v>17</v>
      </c>
      <c r="E335" s="18">
        <v>7.4999999999999997E-2</v>
      </c>
      <c r="F335" s="18">
        <f>32/((225+325)/2)</f>
        <v>0.11636363636363636</v>
      </c>
      <c r="G335" s="18">
        <f>7/((56+46)/2)</f>
        <v>0.13725490196078433</v>
      </c>
      <c r="H335" s="18">
        <f>0.5/((44+77)/2)</f>
        <v>8.2644628099173556E-3</v>
      </c>
      <c r="I335" s="18">
        <f>1/((36+25)/2)</f>
        <v>3.2786885245901641E-2</v>
      </c>
      <c r="J335" s="18">
        <f>0/(2300)</f>
        <v>0</v>
      </c>
      <c r="K335" s="18">
        <f>6/((25+30)/2)</f>
        <v>0.21818181818181817</v>
      </c>
      <c r="L335" s="18">
        <f t="shared" si="274"/>
        <v>0</v>
      </c>
      <c r="M335" s="22" t="s">
        <v>126</v>
      </c>
      <c r="N335" s="2"/>
      <c r="O335" s="2"/>
      <c r="P335" s="2"/>
      <c r="Q335" s="2"/>
      <c r="R335" s="2"/>
      <c r="S335" s="2"/>
      <c r="T335" s="2"/>
      <c r="U335" s="2"/>
      <c r="V335" s="2"/>
      <c r="W335" s="2"/>
      <c r="X335" s="2"/>
      <c r="Y335" s="2"/>
      <c r="Z335" s="2"/>
    </row>
    <row r="336" spans="1:26" ht="19.5" customHeight="1">
      <c r="A336" s="19" t="s">
        <v>1048</v>
      </c>
      <c r="B336" s="20" t="s">
        <v>1123</v>
      </c>
      <c r="C336" s="21">
        <v>1</v>
      </c>
      <c r="D336" s="22" t="s">
        <v>205</v>
      </c>
      <c r="E336" s="18">
        <v>5.0000000000000001E-3</v>
      </c>
      <c r="F336" s="18">
        <f>2/((225+325)/2)</f>
        <v>7.2727272727272727E-3</v>
      </c>
      <c r="G336" s="18">
        <f>1/((56+46)/2)</f>
        <v>1.9607843137254902E-2</v>
      </c>
      <c r="H336" s="18">
        <f t="shared" ref="H336:H337" si="277">0/((44+77)/2)</f>
        <v>0</v>
      </c>
      <c r="I336" s="18">
        <f t="shared" ref="I336:I338" si="278">0/((36+25)/2)</f>
        <v>0</v>
      </c>
      <c r="J336" s="18">
        <f>180/(2300)</f>
        <v>7.8260869565217397E-2</v>
      </c>
      <c r="K336" s="18">
        <f>1/((25+30)/2)</f>
        <v>3.6363636363636362E-2</v>
      </c>
      <c r="L336" s="18">
        <f t="shared" si="274"/>
        <v>0</v>
      </c>
      <c r="M336" s="22" t="s">
        <v>1050</v>
      </c>
      <c r="N336" s="2"/>
      <c r="O336" s="2"/>
      <c r="P336" s="2"/>
      <c r="Q336" s="2"/>
      <c r="R336" s="2"/>
      <c r="S336" s="2"/>
      <c r="T336" s="2"/>
      <c r="U336" s="2"/>
      <c r="V336" s="2"/>
      <c r="W336" s="2"/>
      <c r="X336" s="2"/>
      <c r="Y336" s="2"/>
      <c r="Z336" s="2"/>
    </row>
    <row r="337" spans="1:26" ht="19.5" customHeight="1">
      <c r="A337" s="19" t="s">
        <v>1051</v>
      </c>
      <c r="B337" s="20" t="s">
        <v>1052</v>
      </c>
      <c r="C337" s="21">
        <v>1</v>
      </c>
      <c r="D337" s="22" t="s">
        <v>76</v>
      </c>
      <c r="E337" s="18">
        <v>2.5000000000000001E-3</v>
      </c>
      <c r="F337" s="18">
        <f>0/((225+325)/2)</f>
        <v>0</v>
      </c>
      <c r="G337" s="18">
        <f t="shared" ref="G337:G338" si="279">0/((56+46)/2)</f>
        <v>0</v>
      </c>
      <c r="H337" s="18">
        <f t="shared" si="277"/>
        <v>0</v>
      </c>
      <c r="I337" s="18">
        <f t="shared" si="278"/>
        <v>0</v>
      </c>
      <c r="J337" s="18">
        <f>120/(2300)</f>
        <v>5.2173913043478258E-2</v>
      </c>
      <c r="K337" s="18">
        <f t="shared" ref="K337:K338" si="280">0/((25+30)/2)</f>
        <v>0</v>
      </c>
      <c r="L337" s="18">
        <f t="shared" si="274"/>
        <v>0</v>
      </c>
      <c r="M337" s="22" t="s">
        <v>1053</v>
      </c>
      <c r="N337" s="2"/>
      <c r="O337" s="2"/>
      <c r="P337" s="2"/>
      <c r="Q337" s="2"/>
      <c r="R337" s="2"/>
      <c r="S337" s="2"/>
      <c r="T337" s="2"/>
      <c r="U337" s="2"/>
      <c r="V337" s="2"/>
      <c r="W337" s="2"/>
      <c r="X337" s="2"/>
      <c r="Y337" s="2"/>
      <c r="Z337" s="2"/>
    </row>
    <row r="338" spans="1:26" ht="19.5" customHeight="1">
      <c r="A338" s="19" t="s">
        <v>1054</v>
      </c>
      <c r="B338" s="20" t="s">
        <v>1055</v>
      </c>
      <c r="C338" s="21">
        <v>1</v>
      </c>
      <c r="D338" s="22" t="s">
        <v>76</v>
      </c>
      <c r="E338" s="18">
        <v>5.0000000000000001E-3</v>
      </c>
      <c r="F338" s="18">
        <f>1/((225+325)/2)</f>
        <v>3.6363636363636364E-3</v>
      </c>
      <c r="G338" s="18">
        <f t="shared" si="279"/>
        <v>0</v>
      </c>
      <c r="H338" s="18">
        <f>0.5/((44+77)/2)</f>
        <v>8.2644628099173556E-3</v>
      </c>
      <c r="I338" s="18">
        <f t="shared" si="278"/>
        <v>0</v>
      </c>
      <c r="J338" s="18">
        <f>100/(2300)</f>
        <v>4.3478260869565216E-2</v>
      </c>
      <c r="K338" s="18">
        <f t="shared" si="280"/>
        <v>0</v>
      </c>
      <c r="L338" s="18">
        <f t="shared" si="274"/>
        <v>0</v>
      </c>
      <c r="M338" s="22" t="s">
        <v>1056</v>
      </c>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3:M338" xr:uid="{00000000-0009-0000-0000-000003000000}"/>
  <mergeCells count="1">
    <mergeCell ref="A1:M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 1 - gravy_food_info</vt:lpstr>
      <vt:lpstr>Standardized Values</vt:lpstr>
      <vt:lpstr>Standardized % w Formula</vt:lpstr>
      <vt:lpstr>No Formula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Liu</dc:creator>
  <cp:lastModifiedBy>Jeffrey Liu</cp:lastModifiedBy>
  <dcterms:created xsi:type="dcterms:W3CDTF">2020-11-15T23:20:29Z</dcterms:created>
  <dcterms:modified xsi:type="dcterms:W3CDTF">2020-11-15T23:20:29Z</dcterms:modified>
</cp:coreProperties>
</file>