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rinterSettings/printerSettings1.bin" ContentType="application/vnd.openxmlformats-officedocument.spreadsheetml.printerSettings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rinterSettings/printerSettings2.bin" ContentType="application/vnd.openxmlformats-officedocument.spreadsheetml.printerSettings"/>
  <Override PartName="/xl/printerSettings/printerSettings3.bin" ContentType="application/vnd.openxmlformats-officedocument.spreadsheetml.printerSettings"/>
  <Override PartName="/xl/comments1.xml" ContentType="application/vnd.openxmlformats-officedocument.spreadsheetml.comments+xml"/>
  <Override PartName="/xl/printerSettings/printerSettings4.bin" ContentType="application/vnd.openxmlformats-officedocument.spreadsheetml.printerSettings"/>
  <Override PartName="/xl/comments2.xml" ContentType="application/vnd.openxmlformats-officedocument.spreadsheetml.comments+xml"/>
  <Override PartName="/xl/printerSettings/printerSettings5.bin" ContentType="application/vnd.openxmlformats-officedocument.spreadsheetml.printerSettings"/>
  <Override PartName="/xl/printerSettings/printerSettings6.bin" ContentType="application/vnd.openxmlformats-officedocument.spreadsheetml.printerSettings"/>
  <Override PartName="/xl/printerSettings/printerSettings7.bin" ContentType="application/vnd.openxmlformats-officedocument.spreadsheetml.printerSettings"/>
  <Override PartName="/xl/printerSettings/printerSettings8.bin" ContentType="application/vnd.openxmlformats-officedocument.spreadsheetml.printerSettings"/>
  <Override PartName="/xl/printerSettings/printerSettings9.bin" ContentType="application/vnd.openxmlformats-officedocument.spreadsheetml.printerSettings"/>
  <Override PartName="/xl/printerSettings/printerSettings10.bin" ContentType="application/vnd.openxmlformats-officedocument.spreadsheetml.printerSettings"/>
  <Override PartName="/xl/printerSettings/printerSettings11.bin" ContentType="application/vnd.openxmlformats-officedocument.spreadsheetml.printerSettings"/>
  <Override PartName="/xl/printerSettings/printerSettings12.bin" ContentType="application/vnd.openxmlformats-officedocument.spreadsheetml.printerSettings"/>
  <Override PartName="/xl/printerSettings/printerSettings13.bin" ContentType="application/vnd.openxmlformats-officedocument.spreadsheetml.printerSettings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50774693\Box\Backup\WW Load\Load Education series\"/>
    </mc:Choice>
  </mc:AlternateContent>
  <xr:revisionPtr revIDLastSave="0" documentId="13_ncr:1_{B45F3D9A-D063-4A23-A2F8-2BFBEEFD8817}" xr6:coauthVersionLast="47" xr6:coauthVersionMax="47" xr10:uidLastSave="{00000000-0000-0000-0000-000000000000}"/>
  <bookViews>
    <workbookView xWindow="-108" yWindow="-108" windowWidth="23256" windowHeight="13896" tabRatio="885" firstSheet="2" activeTab="5" xr2:uid="{213A1510-7AA3-4E4F-8724-3681B95CDE97}"/>
  </bookViews>
  <sheets>
    <sheet name="Cognos_Office_Connection_Cache" sheetId="2" state="veryHidden" r:id="rId1"/>
    <sheet name="Summary page" sheetId="20" r:id="rId2"/>
    <sheet name="graph" sheetId="21" r:id="rId3"/>
    <sheet name="Ref" sheetId="51" r:id="rId4"/>
    <sheet name="INPUT" sheetId="3" r:id="rId5"/>
    <sheet name="WW" sheetId="45" r:id="rId6"/>
    <sheet name="Geos" sheetId="43" r:id="rId7"/>
    <sheet name="Consol Pull" sheetId="19" r:id="rId8"/>
    <sheet name="Consol expl" sheetId="18" state="hidden" r:id="rId9"/>
    <sheet name="FIRM Load Pull" sheetId="1" r:id="rId10"/>
    <sheet name="Ship Load Pull" sheetId="57" r:id="rId11"/>
    <sheet name="RETAIL Load Pull" sheetId="26" state="hidden" r:id="rId12"/>
    <sheet name="Tracks Pull" sheetId="31" r:id="rId13"/>
    <sheet name="Stream Pull" sheetId="49" r:id="rId14"/>
    <sheet name="Stream Ex" sheetId="46" state="hidden" r:id="rId15"/>
    <sheet name="Tracks expl" sheetId="11" state="hidden" r:id="rId16"/>
  </sheets>
  <externalReferences>
    <externalReference r:id="rId17"/>
  </externalReferences>
  <definedNames>
    <definedName name="_1_DtG" localSheetId="8">#REF!</definedName>
    <definedName name="_1_DtG" localSheetId="15">#REF!</definedName>
    <definedName name="_1_DtG">#REF!</definedName>
    <definedName name="_xlnm._FilterDatabase" localSheetId="7" hidden="1">'Consol Pull'!$C$12:$E$183</definedName>
    <definedName name="_xlnm._FilterDatabase" localSheetId="9" hidden="1">'FIRM Load Pull'!$C$12:$D$152</definedName>
    <definedName name="_xlnm._FilterDatabase" localSheetId="11" hidden="1">'RETAIL Load Pull'!$A$12:$AN$174</definedName>
    <definedName name="_xlnm._FilterDatabase" localSheetId="10" hidden="1">'Ship Load Pull'!$C$12:$D$196</definedName>
    <definedName name="_xlnm._FilterDatabase" localSheetId="13" hidden="1">'Stream Pull'!$A$12:$Q$109</definedName>
    <definedName name="_xlnm._FilterDatabase" localSheetId="12" hidden="1">'Tracks Pull'!$C$12:$S$135</definedName>
    <definedName name="actSheetName">"Manual Contract extract"</definedName>
    <definedName name="divgrp" localSheetId="8">#REF!</definedName>
    <definedName name="divgrp" localSheetId="15">#REF!</definedName>
    <definedName name="divgrp">#REF!</definedName>
    <definedName name="divgrp1" localSheetId="8">#REF!</definedName>
    <definedName name="divgrp1">#REF!</definedName>
    <definedName name="divlst">#REF!</definedName>
    <definedName name="HlookupDTG">#REF!</definedName>
    <definedName name="ID" localSheetId="0" hidden="1">"8f4c8ca4-4f61-4820-babb-99929e360dfc"</definedName>
    <definedName name="ID" localSheetId="8" hidden="1">"e61e17a0-8868-4b3a-82bd-9f8b48695703"</definedName>
    <definedName name="ID" localSheetId="7" hidden="1">"fdd8aaa2-a46c-4232-8378-bb3d8dd59562"</definedName>
    <definedName name="ID" localSheetId="9" hidden="1">"63b8be34-a20e-4b69-b539-73482983b45f"</definedName>
    <definedName name="ID" localSheetId="6" hidden="1">"dfd36c20-fa97-41ea-98aa-bb0ef299c309"</definedName>
    <definedName name="ID" localSheetId="2" hidden="1">"aa9952d8-a007-4943-ab26-afab68411b89"</definedName>
    <definedName name="ID" localSheetId="4" hidden="1">"4add3c21-c0ee-4590-aeeb-5f3d9e48dc04"</definedName>
    <definedName name="ID" localSheetId="3" hidden="1">"9e3b8630-0c70-40be-a171-70afb2096c84"</definedName>
    <definedName name="ID" localSheetId="11" hidden="1">"06a5425e-2a3a-4361-80bc-9dc752aea951"</definedName>
    <definedName name="ID" localSheetId="10" hidden="1">"2da7aeea-364a-41a8-8215-5242b0905341"</definedName>
    <definedName name="ID" localSheetId="14" hidden="1">"6ce24f90-5718-437f-ba78-62482fb02bbd"</definedName>
    <definedName name="ID" localSheetId="13" hidden="1">"853c67eb-bbaa-4254-9116-eb56a8704f2b"</definedName>
    <definedName name="ID" localSheetId="1" hidden="1">"5fb56165-aab2-44ca-8541-a501e5004935"</definedName>
    <definedName name="ID" localSheetId="15" hidden="1">"590dc122-6d1b-4dd5-b986-11209b26491a"</definedName>
    <definedName name="ID" localSheetId="12" hidden="1">"fe86f164-b579-469e-99e7-4e25b1b041de"</definedName>
    <definedName name="ID" localSheetId="5" hidden="1">"75a80c89-0773-494c-bcf7-4f3537a0ee36"</definedName>
    <definedName name="majgrp" localSheetId="8">#REF!</definedName>
    <definedName name="majgrp" localSheetId="15">#REF!</definedName>
    <definedName name="majgrp">#REF!</definedName>
    <definedName name="majgrpp" localSheetId="8">#REF!</definedName>
    <definedName name="majgrpp">#REF!</definedName>
    <definedName name="majlst">#REF!</definedName>
    <definedName name="_xlnm.Print_Titles">#N/A</definedName>
    <definedName name="tm1\\_0_C">'FIRM Load Pull'!$E$9:$R$12</definedName>
    <definedName name="tm1\\_0_H">"{ ""server"" : ""https://paprd-wdc1-apexpaw-01.limited-use.ibm.com"", ""cube"" : ""{ \""server\"" : \""loadtgts\"", \""cube\"" : \""loadtgts\""}""}"</definedName>
    <definedName name="tm1\\_0_H_1">"{ ""server"" : ""https://b01acidbc002.ahe.pok.ibm.com:9514"", ""cube"" : ""{ \""server\"" : \""loadtgts\"", \""cube\"" : \""streamload\""}"", ""CubeCaption"" : ""streamload""}"</definedName>
    <definedName name="tm1\\_0_H_2">"{ ""server"" : ""https://prdpaw01.sl.bluecloud.ibm.com"", ""cube"" : ""{ \""server\"" : \""loadtgts\"", \""cube\"" : \""streamload\""}"", ""CubeCaption"" : ""streamload""}"</definedName>
    <definedName name="tm1\\_0_R">'FIRM Load Pull'!$C$13:$D$146</definedName>
    <definedName name="tm1\\_0_S">'FIRM Load Pull'!$C$4:$C$8</definedName>
    <definedName name="tm1\\_1_C">graph!$D$11:$AD$14</definedName>
    <definedName name="tm1\\_1_H">"{ ""server"" : ""https://paprd-wdc1-apexpaw-01.limited-use.ibm.com"", ""cube"" : ""{ \""server\"" : \""loadtgts\"", \""cube\"" : \""loadtgts\""}""}"</definedName>
    <definedName name="tm1\\_1_H_1">"{ ""server"" : ""https://b01acidbc002.ahe.pok.ibm.com:9514"", ""cube"" : ""{ \""server\"" : \""loadtgts\"", \""cube\"" : \""streamload\""}"", ""CubeCaption"" : ""streamload""}"</definedName>
    <definedName name="tm1\\_1_H_2">"{ ""server"" : ""https://prdpaw01.sl.bluecloud.ibm.com"", ""cube"" : ""{ \""server\"" : \""loadtgts\"", \""cube\"" : \""streamload\""}"", ""CubeCaption"" : ""streamload""}"</definedName>
    <definedName name="tm1\\_1_R">graph!$B$15:$C$15</definedName>
    <definedName name="tm1\\_1_S">graph!$B$6:$B$10</definedName>
    <definedName name="tm1\\_10_C">'Tracks Pull'!$X$9:$BZ$12</definedName>
    <definedName name="tm1\\_10_H">"{ ""server"" : ""https://paprd-wdc1-apexpaw-01.limited-use.ibm.com"", ""cube"" : ""{ \""server\"" : \""loadtgts\"", \""cube\"" : \""tks_tgts\""}""}"</definedName>
    <definedName name="tm1\\_10_H_1">"{ ""server"" : ""https://b01acidbc002.ahe.pok.ibm.com:9514"", ""cube"" : ""{ \""server\"" : \""loadtgts\"", \""cube\"" : \""loadtgts\""}"", ""CubeCaption"" : ""loadtgts""}"</definedName>
    <definedName name="tm1\\_10_H_2">"{ ""server"" : ""https://prdpaw01.sl.bluecloud.ibm.com"", ""cube"" : ""{ \""server\"" : \""loadtgts\"", \""cube\"" : \""loadtgts\""}"", ""CubeCaption"" : ""loadtgts""}"</definedName>
    <definedName name="tm1\\_10_R">'Tracks Pull'!$U$13:$W$135</definedName>
    <definedName name="tm1\\_10_S">'Tracks Pull'!$V$4:$V$7</definedName>
    <definedName name="tm1\\_100_C">#REF!</definedName>
    <definedName name="tm1\\_100_R">#REF!</definedName>
    <definedName name="tm1\\_101_C">#REF!</definedName>
    <definedName name="tm1\\_101_R">#REF!</definedName>
    <definedName name="tm1\\_102_H">"{ ""server"" : ""https://prdpaw01.sl.bluecloud.ibm.com"", ""cube"" : ""{ \""server\"" : \""loadtgts\"", \""cube\"" : \""loadtgts\""}""}"</definedName>
    <definedName name="tm1\\_103_C">#REF!</definedName>
    <definedName name="tm1\\_103_H">"{ ""server"" : ""https://prdpaw03.sl.bluecloud.ibm.com"", ""cube"" : ""{ \""server\"" : \""wwconsol\"", \""cube\"" : \""wwconsol\""}""}"</definedName>
    <definedName name="tm1\\_103_R">#REF!</definedName>
    <definedName name="tm1\\_104_C">#REF!</definedName>
    <definedName name="tm1\\_104_R">#REF!</definedName>
    <definedName name="tm1\\_105_C">#REF!</definedName>
    <definedName name="tm1\\_105_R">#REF!</definedName>
    <definedName name="tm1\\_106_C">#REF!</definedName>
    <definedName name="tm1\\_106_R">#REF!</definedName>
    <definedName name="tm1\\_107_C">#REF!</definedName>
    <definedName name="tm1\\_107_R">#REF!</definedName>
    <definedName name="tm1\\_108_C">#REF!</definedName>
    <definedName name="tm1\\_108_H">"{ ""server"" : ""https://b01acidbc005.ahe.pok.ibm.com:9514"", ""cube"" : ""{ \""server\"" : \""wwconsol\"", \""cube\"" : \""wwconsol\""}"", ""CubeCaption"" : ""wwconsol""}"</definedName>
    <definedName name="tm1\\_108_R">#REF!</definedName>
    <definedName name="tm1\\_109_C">#REF!</definedName>
    <definedName name="tm1\\_109_R">#REF!</definedName>
    <definedName name="tm1\\_11_H_1">"{ ""server"" : ""https://b01acidbc002.ahe.pok.ibm.com:9514"", ""cube"" : ""{ \""server\"" : \""loadtgts\"", \""cube\"" : \""loadtgts\""}"", ""CubeCaption"" : ""loadtgts""}"</definedName>
    <definedName name="tm1\\_11_H_2">"{ ""server"" : ""https://prdpaw01.sl.bluecloud.ibm.com"", ""cube"" : ""{ \""server\"" : \""loadtgts\"", \""cube\"" : \""loadtgts\""}"", ""CubeCaption"" : ""loadtgts""}"</definedName>
    <definedName name="tm1\\_110_C">#REF!</definedName>
    <definedName name="tm1\\_110_H">"{ ""server"" : ""https://b01acidbc002.ahe.pok.ibm.com:9514"", ""cube"" : ""{ \""server\"" : \""loadtgts\"", \""cube\"" : \""loadtgts\""}"", ""CubeCaption"" : ""loadtgts""}"</definedName>
    <definedName name="tm1\\_110_R">#REF!</definedName>
    <definedName name="tm1\\_111_C">#REF!</definedName>
    <definedName name="tm1\\_111_H">"{ ""server"" : ""https://prdpaw03.sl.bluecloud.ibm.com"", ""cube"" : ""{ \""server\"" : \""wwconsol\"", \""cube\"" : \""wwconsol\""}""}"</definedName>
    <definedName name="tm1\\_111_R">#REF!</definedName>
    <definedName name="tm1\\_112_C">#REF!</definedName>
    <definedName name="tm1\\_112_R">#REF!</definedName>
    <definedName name="tm1\\_115_C">#REF!</definedName>
    <definedName name="tm1\\_115_R">#REF!</definedName>
    <definedName name="tm1\\_117_C">#REF!</definedName>
    <definedName name="tm1\\_117_R">#REF!</definedName>
    <definedName name="tm1\\_118_C">#REF!</definedName>
    <definedName name="tm1\\_118_R">#REF!</definedName>
    <definedName name="tm1\\_119_H_1">"{ ""server"" : ""https://b01acidbc005.ahe.pok.ibm.com:9514"", ""cube"" : ""{ \""server\"" : \""wwconsol\"", \""cube\"" : \""wwconsol\""}"", ""CubeCaption"" : ""wwconsol""}"</definedName>
    <definedName name="tm1\\_12_H_1">"{ ""server"" : ""https://b01acidbc002.ahe.pok.ibm.com:9514"", ""cube"" : ""{ \""server\"" : \""loadtgts\"", \""cube\"" : \""loadtgts\""}"", ""CubeCaption"" : ""loadtgts""}"</definedName>
    <definedName name="tm1\\_12_H_2">"{ ""server"" : ""https://prdpaw01.sl.bluecloud.ibm.com"", ""cube"" : ""{ \""server\"" : \""loadtgts\"", \""cube\"" : \""loadtgts\""}"", ""CubeCaption"" : ""loadtgts""}"</definedName>
    <definedName name="tm1\\_120_C">#REF!</definedName>
    <definedName name="tm1\\_120_H">"{ ""server"" : ""https://b01acidbc005.ahe.pok.ibm.com:9514"", ""cube"" : ""{ \""server\"" : \""wwconsol\"", \""cube\"" : \""wwconsol\""}"", ""CubeCaption"" : ""wwconsol""}"</definedName>
    <definedName name="tm1\\_120_H_1">"{ ""server"" : ""https://b01acidbc005.ahe.pok.ibm.com:9514"", ""cube"" : ""{ \""server\"" : \""wwconsol\"", \""cube\"" : \""wwconsol\""}"", ""CubeCaption"" : ""wwconsol""}"</definedName>
    <definedName name="tm1\\_120_R">#REF!</definedName>
    <definedName name="tm1\\_122_C">#REF!</definedName>
    <definedName name="tm1\\_122_R">#REF!</definedName>
    <definedName name="tm1\\_123_C">#REF!</definedName>
    <definedName name="tm1\\_123_R">#REF!</definedName>
    <definedName name="tm1\\_125_C">#REF!</definedName>
    <definedName name="tm1\\_125_H">"{ ""server"" : ""https://prdpaw03.sl.bluecloud.ibm.com"", ""cube"" : ""{ \""server\"" : \""wwconsol\"", \""cube\"" : \""wwconsol\""}""}"</definedName>
    <definedName name="tm1\\_125_R">#REF!</definedName>
    <definedName name="tm1\\_126_C">#REF!</definedName>
    <definedName name="tm1\\_126_H">"{ ""server"" : ""https://b01acidbc005.ahe.pok.ibm.com:9514"", ""cube"" : ""{ \""server\"" : \""wwconsol\"", \""cube\"" : \""wwconsol\""}"", ""CubeCaption"" : ""wwconsol""}"</definedName>
    <definedName name="tm1\\_126_H_1">"{ ""server"" : ""https://b01acidbc005.ahe.pok.ibm.com:9514"", ""cube"" : ""{ \""server\"" : \""wwconsol\"", \""cube\"" : \""wwconsol\""}"", ""CubeCaption"" : ""wwconsol""}"</definedName>
    <definedName name="tm1\\_126_R">#REF!</definedName>
    <definedName name="tm1\\_127_C">#REF!</definedName>
    <definedName name="tm1\\_127_H">"{ ""server"" : ""https://prdpaw01.sl.bluecloud.ibm.com"", ""cube"" : ""{ \""server\"" : \""loadtgts\"", \""cube\"" : \""tks_tgts\""}""}"</definedName>
    <definedName name="tm1\\_127_H_1">"{ ""server"" : ""https://b01acidbc005.ahe.pok.ibm.com:9514"", ""cube"" : ""{ \""server\"" : \""wwconsol\"", \""cube\"" : \""wwconsol\""}"", ""CubeCaption"" : ""wwconsol""}"</definedName>
    <definedName name="tm1\\_127_R">#REF!</definedName>
    <definedName name="tm1\\_127_S">#REF!</definedName>
    <definedName name="tm1\\_128_C">#REF!</definedName>
    <definedName name="tm1\\_128_R">#REF!</definedName>
    <definedName name="tm1\\_129_C">#REF!</definedName>
    <definedName name="tm1\\_129_H">"{ ""server"" : ""https://b01acidbc005.ahe.pok.ibm.com:9514"", ""cube"" : ""{ \""server\"" : \""wwconsol\"", \""cube\"" : \""wwconsol\""}"", ""CubeCaption"" : ""wwconsol""}"</definedName>
    <definedName name="tm1\\_129_H_1">"{ ""server"" : ""https://b01acidbc005.ahe.pok.ibm.com:9514"", ""cube"" : ""{ \""server\"" : \""wwconsol\"", \""cube\"" : \""wwconsol\""}"", ""CubeCaption"" : ""wwconsol""}"</definedName>
    <definedName name="tm1\\_129_R">#REF!</definedName>
    <definedName name="tm1\\_13_H">"{ ""server"" : ""https://prdpaw01.sl.bluecloud.ibm.com"", ""cube"" : ""{ \""server\"" : \""loadtgts\"", \""cube\"" : \""loadtgts\""}"", ""CubeCaption"" : ""loadtgts""}"</definedName>
    <definedName name="tm1\\_13_H_1">"{ ""server"" : ""https://b01acidbc005.ahe.pok.ibm.com:9514"", ""cube"" : ""{ \""server\"" : \""wwconsol\"", \""cube\"" : \""wwconsol\""}""}"</definedName>
    <definedName name="tm1\\_13_H_2">"{ ""server"" : ""https://prdpaw03.sl.bluecloud.ibm.com"", ""cube"" : ""{ \""server\"" : \""wwconsol\"", \""cube\"" : \""wwconsol\""}""}"</definedName>
    <definedName name="tm1\\_130_C">#REF!</definedName>
    <definedName name="tm1\\_130_R">#REF!</definedName>
    <definedName name="tm1\\_131_C">#REF!</definedName>
    <definedName name="tm1\\_131_H">"{ ""server"" : ""https://b01acidbc002.ahe.pok.ibm.com:9514"", ""cube"" : ""{ \""server\"" : \""loadtgts\"", \""cube\"" : \""loadtgts\""}"", ""CubeCaption"" : ""loadtgts""}"</definedName>
    <definedName name="tm1\\_131_R">#REF!</definedName>
    <definedName name="tm1\\_131_S">#REF!</definedName>
    <definedName name="tm1\\_132_C">#REF!</definedName>
    <definedName name="tm1\\_132_R">#REF!</definedName>
    <definedName name="tm1\\_133_C">#REF!</definedName>
    <definedName name="tm1\\_133_H">"{ ""server"" : ""https://b01acidbc002.ahe.pok.ibm.com:9514"", ""cube"" : ""{ \""server\"" : \""loadtgts\"", \""cube\"" : \""loadtgts\""}"", ""CubeCaption"" : ""loadtgts""}"</definedName>
    <definedName name="tm1\\_133_R">#REF!</definedName>
    <definedName name="tm1\\_133_S">#REF!</definedName>
    <definedName name="tm1\\_134_C">#REF!</definedName>
    <definedName name="tm1\\_134_H">"{ ""server"" : ""https://b01acidbc002.ahe.pok.ibm.com:9514"", ""cube"" : ""{ \""server\"" : \""loadtgts\"", \""cube\"" : \""loadtgts\""}"", ""CubeCaption"" : ""loadtgts""}"</definedName>
    <definedName name="tm1\\_134_R">#REF!</definedName>
    <definedName name="tm1\\_134_S">#REF!</definedName>
    <definedName name="tm1\\_135_C">#REF!</definedName>
    <definedName name="tm1\\_135_H">"{ ""server"" : ""https://prdpaw01.sl.bluecloud.ibm.com"", ""cube"" : ""{ \""server\"" : \""loadtgts\"", \""cube\"" : \""streamload\""}""}"</definedName>
    <definedName name="tm1\\_135_R">#REF!</definedName>
    <definedName name="tm1\\_135_S">#REF!</definedName>
    <definedName name="tm1\\_136_C">#REF!</definedName>
    <definedName name="tm1\\_136_H">"{ ""server"" : ""https://b01acidbc002.ahe.pok.ibm.com:9514"", ""cube"" : ""{ \""server\"" : \""loadtgts\"", \""cube\"" : \""loadtgts\""}"", ""CubeCaption"" : ""loadtgts""}"</definedName>
    <definedName name="tm1\\_136_R">#REF!</definedName>
    <definedName name="tm1\\_136_S">#REF!</definedName>
    <definedName name="tm1\\_137_C">#REF!</definedName>
    <definedName name="tm1\\_137_H">"{ ""server"" : ""https://b01acidbc005.ahe.pok.ibm.com:9514"", ""cube"" : ""{ \""server\"" : \""wwconsol\"", \""cube\"" : \""wwconsol\""}"", ""CubeCaption"" : ""wwconsol""}"</definedName>
    <definedName name="tm1\\_137_H_1">"{ ""server"" : ""https://b01acidbc005.ahe.pok.ibm.com:9514"", ""cube"" : ""{ \""server\"" : \""wwconsol\"", \""cube\"" : \""wwconsol\""}"", ""CubeCaption"" : ""wwconsol""}"</definedName>
    <definedName name="tm1\\_137_R">#REF!</definedName>
    <definedName name="tm1\\_138_H">"{ ""server"" : ""https://prdpaw01.sl.bluecloud.ibm.com"", ""cube"" : ""{ \""server\"" : \""loadtgts\"", \""cube\"" : \""streamload\""}""}"</definedName>
    <definedName name="tm1\\_139_C">#REF!</definedName>
    <definedName name="tm1\\_139_R">#REF!</definedName>
    <definedName name="tm1\\_14_H">"{ ""server"" : ""https://prdpaw01.sl.bluecloud.ibm.com"", ""cube"" : ""{ \""server\"" : \""loadtgts\"", \""cube\"" : \""loadtgts\""}""}"</definedName>
    <definedName name="tm1\\_14_H_1">"{ ""server"" : ""https://b01acidbc005.ahe.pok.ibm.com:9514"", ""cube"" : ""{ \""server\"" : \""wwconsol\"", \""cube\"" : \""wwconsol\""}""}"</definedName>
    <definedName name="tm1\\_14_H_2">"{ ""server"" : ""https://prdpaw03.sl.bluecloud.ibm.com"", ""cube"" : ""{ \""server\"" : \""wwconsol\"", \""cube\"" : \""wwconsol\""}""}"</definedName>
    <definedName name="tm1\\_140_H">"{ ""server"" : ""https://prdpaw01.sl.bluecloud.ibm.com"", ""cube"" : ""{ \""server\"" : \""loadtgts\"", \""cube\"" : \""streamload\""}""}"</definedName>
    <definedName name="tm1\\_141_C">#REF!</definedName>
    <definedName name="tm1\\_141_R">#REF!</definedName>
    <definedName name="tm1\\_142_H">"{ ""server"" : ""https://prdpaw01.sl.bluecloud.ibm.com"", ""cube"" : ""{ \""server\"" : \""loadtgts\"", \""cube\"" : \""streamload\""}""}"</definedName>
    <definedName name="tm1\\_143_C">#REF!</definedName>
    <definedName name="tm1\\_143_R">#REF!</definedName>
    <definedName name="tm1\\_144_C">#REF!</definedName>
    <definedName name="tm1\\_144_H">"{ ""server"" : ""https://b01acidbc005.ahe.pok.ibm.com:9514"", ""cube"" : ""{ \""server\"" : \""wwconsol\"", \""cube\"" : \""wwconsol\""}"", ""CubeCaption"" : ""wwconsol""}"</definedName>
    <definedName name="tm1\\_144_H_1">"{ ""server"" : ""https://b01acidbc005.ahe.pok.ibm.com:9514"", ""cube"" : ""{ \""server\"" : \""wwconsol\"", \""cube\"" : \""wwconsol\""}"", ""CubeCaption"" : ""wwconsol""}"</definedName>
    <definedName name="tm1\\_144_R">#REF!</definedName>
    <definedName name="tm1\\_145_C">#REF!</definedName>
    <definedName name="tm1\\_145_H">"{ ""server"" : ""https://b01acidbc005.ahe.pok.ibm.com:9514"", ""cube"" : ""{ \""server\"" : \""wwconsol\"", \""cube\"" : \""wwconsol\""}"", ""CubeCaption"" : ""wwconsol""}"</definedName>
    <definedName name="tm1\\_145_H_1">"{ ""server"" : ""https://b01acidbc005.ahe.pok.ibm.com:9514"", ""cube"" : ""{ \""server\"" : \""wwconsol\"", \""cube\"" : \""wwconsol\""}"", ""CubeCaption"" : ""wwconsol""}"</definedName>
    <definedName name="tm1\\_145_R">#REF!</definedName>
    <definedName name="tm1\\_146_C">#REF!</definedName>
    <definedName name="tm1\\_146_H">"{ ""server"" : ""https://b01acidbc005.ahe.pok.ibm.com:9514"", ""cube"" : ""{ \""server\"" : \""wwconsol\"", \""cube\"" : \""wwconsol\""}"", ""CubeCaption"" : ""wwconsol""}"</definedName>
    <definedName name="tm1\\_146_H_1">"{ ""server"" : ""https://b01acidbc005.ahe.pok.ibm.com:9514"", ""cube"" : ""{ \""server\"" : \""wwconsol\"", \""cube\"" : \""wwconsol\""}"", ""CubeCaption"" : ""wwconsol""}"</definedName>
    <definedName name="tm1\\_146_R">#REF!</definedName>
    <definedName name="tm1\\_147_C">#REF!</definedName>
    <definedName name="tm1\\_147_R">#REF!</definedName>
    <definedName name="tm1\\_148_C">#REF!</definedName>
    <definedName name="tm1\\_148_R">#REF!</definedName>
    <definedName name="tm1\\_149_C">#REF!</definedName>
    <definedName name="tm1\\_149_R">#REF!</definedName>
    <definedName name="tm1\\_15_H">"{ ""server"" : ""https://prdpaw03.sl.bluecloud.ibm.com"", ""cube"" : ""{ \""server\"" : \""wwconsol\"", \""cube\"" : \""wwconsol\""}""}"</definedName>
    <definedName name="tm1\\_150_C">#REF!</definedName>
    <definedName name="tm1\\_150_R">#REF!</definedName>
    <definedName name="tm1\\_151_C">#REF!</definedName>
    <definedName name="tm1\\_151_R">#REF!</definedName>
    <definedName name="tm1\\_152_C">#REF!</definedName>
    <definedName name="tm1\\_152_R">#REF!</definedName>
    <definedName name="tm1\\_153_C">#REF!</definedName>
    <definedName name="tm1\\_153_R">#REF!</definedName>
    <definedName name="tm1\\_154_C">#REF!</definedName>
    <definedName name="tm1\\_154_R">#REF!</definedName>
    <definedName name="tm1\\_155_C">#REF!</definedName>
    <definedName name="tm1\\_155_R">#REF!</definedName>
    <definedName name="tm1\\_156_C">#REF!</definedName>
    <definedName name="tm1\\_156_R">#REF!</definedName>
    <definedName name="tm1\\_157_C">#REF!</definedName>
    <definedName name="tm1\\_157_R">#REF!</definedName>
    <definedName name="tm1\\_158_C">#REF!</definedName>
    <definedName name="tm1\\_158_R">#REF!</definedName>
    <definedName name="tm1\\_159_C">#REF!</definedName>
    <definedName name="tm1\\_159_R">#REF!</definedName>
    <definedName name="tm1\\_16_H">"{ ""server"" : ""https://prdpaw01.sl.bluecloud.ibm.com"", ""cube"" : ""{ \""server\"" : \""loadtgts\"", \""cube\"" : \""loadtgts\""}""}"</definedName>
    <definedName name="tm1\\_16_H_1">"{ ""server"" : ""https://b01acidbc005.ahe.pok.ibm.com:9514"", ""cube"" : ""{ \""server\"" : \""wwconsol\"", \""cube\"" : \""wwconsol\""}""}"</definedName>
    <definedName name="tm1\\_160_C">#REF!</definedName>
    <definedName name="tm1\\_160_R">#REF!</definedName>
    <definedName name="tm1\\_161_C">#REF!</definedName>
    <definedName name="tm1\\_161_R">#REF!</definedName>
    <definedName name="tm1\\_162_C">#REF!</definedName>
    <definedName name="tm1\\_162_R">#REF!</definedName>
    <definedName name="tm1\\_163_C">#REF!</definedName>
    <definedName name="tm1\\_163_R">#REF!</definedName>
    <definedName name="tm1\\_164_C">#REF!</definedName>
    <definedName name="tm1\\_164_R">#REF!</definedName>
    <definedName name="tm1\\_165_C">#REF!</definedName>
    <definedName name="tm1\\_165_R">#REF!</definedName>
    <definedName name="tm1\\_166_C">#REF!</definedName>
    <definedName name="tm1\\_166_R">#REF!</definedName>
    <definedName name="tm1\\_167_C">#REF!</definedName>
    <definedName name="tm1\\_167_R">#REF!</definedName>
    <definedName name="tm1\\_168_C">#REF!</definedName>
    <definedName name="tm1\\_168_R">#REF!</definedName>
    <definedName name="tm1\\_169_C">#REF!</definedName>
    <definedName name="tm1\\_169_R">#REF!</definedName>
    <definedName name="tm1\\_17_H">"{ ""server"" : ""https://prdpaw01.sl.bluecloud.ibm.com"", ""cube"" : ""{ \""server\"" : \""loadtgts\"", \""cube\"" : \""tks_tgts\""}""}"</definedName>
    <definedName name="tm1\\_17_H_1">"{ ""server"" : ""https://b01acidbc005.ahe.pok.ibm.com:9514"", ""cube"" : ""{ \""server\"" : \""wwconsol\"", \""cube\"" : \""wwconsol\""}""}"</definedName>
    <definedName name="tm1\\_17_H_2">"{ ""server"" : ""https://prdpaw03.sl.bluecloud.ibm.com"", ""cube"" : ""{ \""server\"" : \""wwconsol\"", \""cube\"" : \""wwconsol\""}""}"</definedName>
    <definedName name="tm1\\_170_C">#REF!</definedName>
    <definedName name="tm1\\_170_H">"{ ""server"" : ""https://prdpaw03.sl.bluecloud.ibm.com"", ""cube"" : ""{ \""server\"" : \""wwconsol\"", \""cube\"" : \""wwconsol\""}""}"</definedName>
    <definedName name="tm1\\_170_R">#REF!</definedName>
    <definedName name="tm1\\_171_C">#REF!</definedName>
    <definedName name="tm1\\_171_R">#REF!</definedName>
    <definedName name="tm1\\_172_C">#REF!</definedName>
    <definedName name="tm1\\_172_R">#REF!</definedName>
    <definedName name="tm1\\_173_C">#REF!</definedName>
    <definedName name="tm1\\_173_R">#REF!</definedName>
    <definedName name="tm1\\_174_C">#REF!</definedName>
    <definedName name="tm1\\_174_H">"{ ""server"" : ""https://prdpaw01.sl.bluecloud.ibm.com"", ""cube"" : ""{ \""server\"" : \""loadtgts\"", \""cube\"" : \""loadtgts\""}""}"</definedName>
    <definedName name="tm1\\_174_R">#REF!</definedName>
    <definedName name="tm1\\_175_C">#REF!</definedName>
    <definedName name="tm1\\_175_R">#REF!</definedName>
    <definedName name="tm1\\_176_C">#REF!</definedName>
    <definedName name="tm1\\_176_R">#REF!</definedName>
    <definedName name="tm1\\_177_C">#REF!</definedName>
    <definedName name="tm1\\_177_H">"{ ""server"" : ""https://b01acidbc005.ahe.pok.ibm.com:9514"", ""cube"" : ""{ \""server\"" : \""wwconsol\"", \""cube\"" : \""wwconsol\""}"", ""CubeCaption"" : ""wwconsol""}"</definedName>
    <definedName name="tm1\\_177_H_1">"{ ""server"" : ""https://b01acidbc005.ahe.pok.ibm.com:9514"", ""cube"" : ""{ \""server\"" : \""wwconsol\"", \""cube\"" : \""wwconsol\""}"", ""CubeCaption"" : ""wwconsol""}"</definedName>
    <definedName name="tm1\\_177_R">#REF!</definedName>
    <definedName name="tm1\\_178_C">#REF!</definedName>
    <definedName name="tm1\\_178_R">#REF!</definedName>
    <definedName name="tm1\\_179_C">#REF!</definedName>
    <definedName name="tm1\\_179_R">#REF!</definedName>
    <definedName name="tm1\\_18_H">"{ ""server"" : ""https://prdpaw01.sl.bluecloud.ibm.com"", ""cube"" : ""{ \""server\"" : \""loadtgts\"", \""cube\"" : \""tks_tgts\""}""}"</definedName>
    <definedName name="tm1\\_18_H_1">"{ ""server"" : ""https://b01acidbc002.ahe.pok.ibm.com:9514"", ""cube"" : ""{ \""server\"" : \""loadtgts\"", \""cube\"" : \""loadtgts\""}"", ""CubeCaption"" : ""loadtgts""}"</definedName>
    <definedName name="tm1\\_18_H_2">"{ ""server"" : ""https://prdpaw01.sl.bluecloud.ibm.com"", ""cube"" : ""{ \""server\"" : \""loadtgts\"", \""cube\"" : \""loadtgts\""}"", ""CubeCaption"" : ""loadtgts""}"</definedName>
    <definedName name="tm1\\_180_C">#REF!</definedName>
    <definedName name="tm1\\_180_R">#REF!</definedName>
    <definedName name="tm1\\_181_C">#REF!</definedName>
    <definedName name="tm1\\_181_R">#REF!</definedName>
    <definedName name="tm1\\_182_C">#REF!</definedName>
    <definedName name="tm1\\_182_R">#REF!</definedName>
    <definedName name="tm1\\_183_C">#REF!</definedName>
    <definedName name="tm1\\_183_R">#REF!</definedName>
    <definedName name="tm1\\_184_C">#REF!</definedName>
    <definedName name="tm1\\_184_R">#REF!</definedName>
    <definedName name="tm1\\_185_C">#REF!</definedName>
    <definedName name="tm1\\_185_R">#REF!</definedName>
    <definedName name="tm1\\_186_C">#REF!</definedName>
    <definedName name="tm1\\_186_R">#REF!</definedName>
    <definedName name="tm1\\_187_C">#REF!</definedName>
    <definedName name="tm1\\_187_R">#REF!</definedName>
    <definedName name="tm1\\_188_C">#REF!</definedName>
    <definedName name="tm1\\_188_R">#REF!</definedName>
    <definedName name="tm1\\_189_C">#REF!</definedName>
    <definedName name="tm1\\_189_R">#REF!</definedName>
    <definedName name="tm1\\_19_H">"{ ""server"" : ""https://prdpaw01.sl.bluecloud.ibm.com"", ""cube"" : ""{ \""server\"" : \""loadtgts\"", \""cube\"" : \""tks_tgts\""}""}"</definedName>
    <definedName name="tm1\\_19_H_1">"{ ""server"" : ""https://b01acidbc002.ahe.pok.ibm.com:9514"", ""cube"" : ""{ \""server\"" : \""loadtgts\"", \""cube\"" : \""loadtgts\""}""}"</definedName>
    <definedName name="tm1\\_19_H_2">"{ ""server"" : ""https://prdpaw01.sl.bluecloud.ibm.com"", ""cube"" : ""{ \""server\"" : \""loadtgts\"", \""cube\"" : \""loadtgts\""}""}"</definedName>
    <definedName name="tm1\\_190_C">#REF!</definedName>
    <definedName name="tm1\\_190_R">#REF!</definedName>
    <definedName name="tm1\\_191_C">#REF!</definedName>
    <definedName name="tm1\\_191_R">#REF!</definedName>
    <definedName name="tm1\\_192_C">#REF!</definedName>
    <definedName name="tm1\\_192_R">#REF!</definedName>
    <definedName name="tm1\\_193_C">#REF!</definedName>
    <definedName name="tm1\\_193_R">#REF!</definedName>
    <definedName name="tm1\\_194_C">#REF!</definedName>
    <definedName name="tm1\\_194_R">#REF!</definedName>
    <definedName name="tm1\\_195_C">#REF!</definedName>
    <definedName name="tm1\\_195_R">#REF!</definedName>
    <definedName name="tm1\\_196_C">#REF!</definedName>
    <definedName name="tm1\\_196_R">#REF!</definedName>
    <definedName name="tm1\\_197_C">#REF!</definedName>
    <definedName name="tm1\\_197_R">#REF!</definedName>
    <definedName name="tm1\\_198_C">#REF!</definedName>
    <definedName name="tm1\\_198_R">#REF!</definedName>
    <definedName name="tm1\\_199_C">#REF!</definedName>
    <definedName name="tm1\\_199_H">"{ ""server"" : ""https://b01acidbc002.ahe.pok.ibm.com:9514"", ""cube"" : ""{ \""server\"" : \""loadtgts\"", \""cube\"" : \""loadtgts\""}"", ""CubeCaption"" : ""loadtgts""}"</definedName>
    <definedName name="tm1\\_199_R">#REF!</definedName>
    <definedName name="tm1\\_2_H_1">"{ ""server"" : ""https://b01acidbc002.ahe.pok.ibm.com:9514"", ""cube"" : ""{ \""server\"" : \""loadtgts\"", \""cube\"" : \""loadtgts\""}"", ""CubeCaption"" : ""loadtgts""}"</definedName>
    <definedName name="tm1\\_2_H_2">"{ ""server"" : ""https://prdpaw01.sl.bluecloud.ibm.com"", ""cube"" : ""{ \""server\"" : \""loadtgts\"", \""cube\"" : \""loadtgts\""}"", ""CubeCaption"" : ""loadtgts""}"</definedName>
    <definedName name="tm1\\_20_H">"{ ""server"" : ""https://prdpaw01.sl.bluecloud.ibm.com"", ""cube"" : ""{ \""server\"" : \""loadtgts\"", \""cube\"" : \""tks_tgts\""}""}"</definedName>
    <definedName name="tm1\\_20_H_1">"{ ""server"" : ""https://b01acidbc005.ahe.pok.ibm.com:9514"", ""cube"" : ""{ \""server\"" : \""wwconsol\"", \""cube\"" : \""wwconsol\""}""}"</definedName>
    <definedName name="tm1\\_200_C">#REF!</definedName>
    <definedName name="tm1\\_200_R">#REF!</definedName>
    <definedName name="tm1\\_201_C">#REF!</definedName>
    <definedName name="tm1\\_201_H">"{ ""server"" : ""https://b01acidbc002.ahe.pok.ibm.com:9514"", ""cube"" : ""{ \""server\"" : \""loadtgts\"", \""cube\"" : \""loadtgts\""}"", ""CubeCaption"" : ""loadtgts""}"</definedName>
    <definedName name="tm1\\_201_R">#REF!</definedName>
    <definedName name="tm1\\_202_C">#REF!</definedName>
    <definedName name="tm1\\_202_R">#REF!</definedName>
    <definedName name="tm1\\_203_C">#REF!</definedName>
    <definedName name="tm1\\_203_H">"{ ""server"" : ""https://b01acidbc002.ahe.pok.ibm.com:9514"", ""cube"" : ""{ \""server\"" : \""loadtgts\"", \""cube\"" : \""loadtgts\""}"", ""CubeCaption"" : ""loadtgts""}"</definedName>
    <definedName name="tm1\\_203_R">#REF!</definedName>
    <definedName name="tm1\\_204_C">#REF!</definedName>
    <definedName name="tm1\\_204_H">"{ ""server"" : ""https://b01acidbc002.ahe.pok.ibm.com:9514"", ""cube"" : ""{ \""server\"" : \""loadtgts\"", \""cube\"" : \""loadtgts\""}"", ""CubeCaption"" : ""loadtgts""}"</definedName>
    <definedName name="tm1\\_204_R">#REF!</definedName>
    <definedName name="tm1\\_205_C">#REF!</definedName>
    <definedName name="tm1\\_205_R">#REF!</definedName>
    <definedName name="tm1\\_206_C">#REF!</definedName>
    <definedName name="tm1\\_206_H">"{ ""server"" : ""https://b01acidbc002.ahe.pok.ibm.com:9514"", ""cube"" : ""{ \""server\"" : \""loadtgts\"", \""cube\"" : \""loadtgts\""}"", ""CubeCaption"" : ""loadtgts""}"</definedName>
    <definedName name="tm1\\_206_R">#REF!</definedName>
    <definedName name="tm1\\_207_C">#REF!</definedName>
    <definedName name="tm1\\_207_R">#REF!</definedName>
    <definedName name="tm1\\_208_C">#REF!</definedName>
    <definedName name="tm1\\_208_R">#REF!</definedName>
    <definedName name="tm1\\_209_C">#REF!</definedName>
    <definedName name="tm1\\_209_R">#REF!</definedName>
    <definedName name="tm1\\_21_C">#REF!</definedName>
    <definedName name="tm1\\_21_H">"{ ""server"" : ""https://prdpaw01.sl.bluecloud.ibm.com"", ""cube"" : ""{ \""server\"" : \""loadtgts\"", \""cube\"" : \""tks_tgts\""}""}"</definedName>
    <definedName name="tm1\\_21_H_1">"{ ""server"" : ""https://b01acidbc005.ahe.pok.ibm.com:9514"", ""cube"" : ""{ \""server\"" : \""wwconsol\"", \""cube\"" : \""wwconsol\""}""}"</definedName>
    <definedName name="tm1\\_21_R">#REF!</definedName>
    <definedName name="tm1\\_21_S">#REF!</definedName>
    <definedName name="tm1\\_210_C">#REF!</definedName>
    <definedName name="tm1\\_210_R">#REF!</definedName>
    <definedName name="tm1\\_211_C">#REF!</definedName>
    <definedName name="tm1\\_211_R">#REF!</definedName>
    <definedName name="tm1\\_212_C">#REF!</definedName>
    <definedName name="tm1\\_212_R">#REF!</definedName>
    <definedName name="tm1\\_213_C">#REF!</definedName>
    <definedName name="tm1\\_213_R">#REF!</definedName>
    <definedName name="tm1\\_214_C">#REF!</definedName>
    <definedName name="tm1\\_214_R">#REF!</definedName>
    <definedName name="tm1\\_215_C">#REF!</definedName>
    <definedName name="tm1\\_215_R">#REF!</definedName>
    <definedName name="tm1\\_216_C">#REF!</definedName>
    <definedName name="tm1\\_216_R">#REF!</definedName>
    <definedName name="tm1\\_217_C">#REF!</definedName>
    <definedName name="tm1\\_217_R">#REF!</definedName>
    <definedName name="tm1\\_218_C">#REF!</definedName>
    <definedName name="tm1\\_218_R">#REF!</definedName>
    <definedName name="tm1\\_219_C">#REF!</definedName>
    <definedName name="tm1\\_219_R">#REF!</definedName>
    <definedName name="tm1\\_22_H">"{ ""server"" : ""https://prdpaw01.sl.bluecloud.ibm.com"", ""cube"" : ""{ \""server\"" : \""loadtgts\"", \""cube\"" : \""tks_tgts\""}""}"</definedName>
    <definedName name="tm1\\_22_H_1">"{ ""server"" : ""https://b01acidbc005.ahe.pok.ibm.com:9514"", ""cube"" : ""{ \""server\"" : \""wwconsol\"", \""cube\"" : \""wwconsol\""}"", ""CubeCaption"" : ""wwconsol""}"</definedName>
    <definedName name="tm1\\_220_C">#REF!</definedName>
    <definedName name="tm1\\_220_R">#REF!</definedName>
    <definedName name="tm1\\_221_C">#REF!</definedName>
    <definedName name="tm1\\_221_R">#REF!</definedName>
    <definedName name="tm1\\_222_C">#REF!</definedName>
    <definedName name="tm1\\_222_R">#REF!</definedName>
    <definedName name="tm1\\_223_C">#REF!</definedName>
    <definedName name="tm1\\_223_R">#REF!</definedName>
    <definedName name="tm1\\_224_C">#REF!</definedName>
    <definedName name="tm1\\_224_R">#REF!</definedName>
    <definedName name="tm1\\_225_C">#REF!</definedName>
    <definedName name="tm1\\_225_R">#REF!</definedName>
    <definedName name="tm1\\_226_C">#REF!</definedName>
    <definedName name="tm1\\_226_R">#REF!</definedName>
    <definedName name="tm1\\_227_C">#REF!</definedName>
    <definedName name="tm1\\_227_R">#REF!</definedName>
    <definedName name="tm1\\_228_C">#REF!</definedName>
    <definedName name="tm1\\_228_R">#REF!</definedName>
    <definedName name="tm1\\_229_C">#REF!</definedName>
    <definedName name="tm1\\_229_R">#REF!</definedName>
    <definedName name="tm1\\_23_H">"{ ""server"" : ""https://prdpaw03.sl.bluecloud.ibm.com"", ""cube"" : ""{ \""server\"" : \""wwconsol\"", \""cube\"" : \""wwconsol\""}""}"</definedName>
    <definedName name="tm1\\_23_H_1">"{ ""server"" : ""https://b01acidbc005.ahe.pok.ibm.com:9514"", ""cube"" : ""{ \""server\"" : \""wwconsol\"", \""cube\"" : \""wwconsol\""}"", ""CubeCaption"" : ""wwconsol""}"</definedName>
    <definedName name="tm1\\_230_C">#REF!</definedName>
    <definedName name="tm1\\_230_R">#REF!</definedName>
    <definedName name="tm1\\_231_C">#REF!</definedName>
    <definedName name="tm1\\_231_R">#REF!</definedName>
    <definedName name="tm1\\_232_C">#REF!</definedName>
    <definedName name="tm1\\_232_R">#REF!</definedName>
    <definedName name="tm1\\_233_C">#REF!</definedName>
    <definedName name="tm1\\_233_R">#REF!</definedName>
    <definedName name="tm1\\_234_C">#REF!</definedName>
    <definedName name="tm1\\_234_R">#REF!</definedName>
    <definedName name="tm1\\_235_C">#REF!</definedName>
    <definedName name="tm1\\_235_R">#REF!</definedName>
    <definedName name="tm1\\_236_C">#REF!</definedName>
    <definedName name="tm1\\_236_R">#REF!</definedName>
    <definedName name="tm1\\_237_C">#REF!</definedName>
    <definedName name="tm1\\_237_R">#REF!</definedName>
    <definedName name="tm1\\_238_C">#REF!</definedName>
    <definedName name="tm1\\_238_R">#REF!</definedName>
    <definedName name="tm1\\_239_C">#REF!</definedName>
    <definedName name="tm1\\_239_R">#REF!</definedName>
    <definedName name="tm1\\_24_H">"{ ""server"" : ""https://prdpaw03.sl.bluecloud.ibm.com"", ""cube"" : ""{ \""server\"" : \""wwconsol\"", \""cube\"" : \""wwconsol\""}""}"</definedName>
    <definedName name="tm1\\_24_H_1">"{ ""server"" : ""https://b01acidbc002.ahe.pok.ibm.com:9514"", ""cube"" : ""{ \""server\"" : \""loadtgts\"", \""cube\"" : \""streamload\""}"", ""CubeCaption"" : ""streamload""}"</definedName>
    <definedName name="tm1\\_24_H_2">"{ ""server"" : ""https://prdpaw01.sl.bluecloud.ibm.com"", ""cube"" : ""{ \""server\"" : \""loadtgts\"", \""cube\"" : \""streamload\""}"", ""CubeCaption"" : ""streamload""}"</definedName>
    <definedName name="tm1\\_240_C">#REF!</definedName>
    <definedName name="tm1\\_240_R">#REF!</definedName>
    <definedName name="tm1\\_241_C">#REF!</definedName>
    <definedName name="tm1\\_241_R">#REF!</definedName>
    <definedName name="tm1\\_242_C">#REF!</definedName>
    <definedName name="tm1\\_242_R">#REF!</definedName>
    <definedName name="tm1\\_243_C">#REF!</definedName>
    <definedName name="tm1\\_243_H">"{ ""server"" : ""https://b01acidbc005.ahe.pok.ibm.com:9514"", ""cube"" : ""{ \""server\"" : \""wwconsol\"", \""cube\"" : \""wwconsol\""}"", ""CubeCaption"" : ""wwconsol""}"</definedName>
    <definedName name="tm1\\_243_H_1">"{ ""server"" : ""https://b01acidbc005.ahe.pok.ibm.com:9514"", ""cube"" : ""{ \""server\"" : \""wwconsol\"", \""cube\"" : \""wwconsol\""}"", ""CubeCaption"" : ""wwconsol""}"</definedName>
    <definedName name="tm1\\_243_R">#REF!</definedName>
    <definedName name="tm1\\_244_C">#REF!</definedName>
    <definedName name="tm1\\_244_R">#REF!</definedName>
    <definedName name="tm1\\_245_C">#REF!</definedName>
    <definedName name="tm1\\_245_R">#REF!</definedName>
    <definedName name="tm1\\_246_C">#REF!</definedName>
    <definedName name="tm1\\_246_R">#REF!</definedName>
    <definedName name="tm1\\_247_C">#REF!</definedName>
    <definedName name="tm1\\_247_R">#REF!</definedName>
    <definedName name="tm1\\_248_C">#REF!</definedName>
    <definedName name="tm1\\_248_R">#REF!</definedName>
    <definedName name="tm1\\_249_C">#REF!</definedName>
    <definedName name="tm1\\_249_R">#REF!</definedName>
    <definedName name="tm1\\_25_H">"{ ""server"" : ""https://prdpaw03.sl.bluecloud.ibm.com"", ""cube"" : ""{ \""server\"" : \""wwconsol\"", \""cube\"" : \""wwconsol\""}""}"</definedName>
    <definedName name="tm1\\_25_H_1">"{ ""server"" : ""https://b01acidbc002.ahe.pok.ibm.com:9514"", ""cube"" : ""{ \""server\"" : \""loadtgts\"", \""cube\"" : \""streamload\""}"", ""CubeCaption"" : ""streamload""}"</definedName>
    <definedName name="tm1\\_25_H_2">"{ ""server"" : ""https://prdpaw01.sl.bluecloud.ibm.com"", ""cube"" : ""{ \""server\"" : \""loadtgts\"", \""cube\"" : \""streamload\""}"", ""CubeCaption"" : ""streamload""}"</definedName>
    <definedName name="tm1\\_250_C">#REF!</definedName>
    <definedName name="tm1\\_250_R">#REF!</definedName>
    <definedName name="tm1\\_251_C">#REF!</definedName>
    <definedName name="tm1\\_251_R">#REF!</definedName>
    <definedName name="tm1\\_252_C">#REF!</definedName>
    <definedName name="tm1\\_252_R">#REF!</definedName>
    <definedName name="tm1\\_253_C">#REF!</definedName>
    <definedName name="tm1\\_253_R">#REF!</definedName>
    <definedName name="tm1\\_254_C">#REF!</definedName>
    <definedName name="tm1\\_254_R">#REF!</definedName>
    <definedName name="tm1\\_255_C">#REF!</definedName>
    <definedName name="tm1\\_255_R">#REF!</definedName>
    <definedName name="tm1\\_256_C">#REF!</definedName>
    <definedName name="tm1\\_256_R">#REF!</definedName>
    <definedName name="tm1\\_257_C">#REF!</definedName>
    <definedName name="tm1\\_257_R">#REF!</definedName>
    <definedName name="tm1\\_258_C">#REF!</definedName>
    <definedName name="tm1\\_258_R">#REF!</definedName>
    <definedName name="tm1\\_259_C">#REF!</definedName>
    <definedName name="tm1\\_259_R">#REF!</definedName>
    <definedName name="tm1\\_26_H">"{ ""server"" : ""https://prdpaw03.sl.bluecloud.ibm.com"", ""cube"" : ""{ \""server\"" : \""wwconsol\"", \""cube\"" : \""wwconsol\""}""}"</definedName>
    <definedName name="tm1\\_26_H_1">"{ ""server"" : ""https://b01acidbc002.ahe.pok.ibm.com:9514"", ""cube"" : ""{ \""server\"" : \""loadtgts\"", \""cube\"" : \""streamload\""}"", ""CubeCaption"" : ""streamload""}"</definedName>
    <definedName name="tm1\\_26_H_2">"{ ""server"" : ""https://prdpaw01.sl.bluecloud.ibm.com"", ""cube"" : ""{ \""server\"" : \""loadtgts\"", \""cube\"" : \""streamload\""}"", ""CubeCaption"" : ""streamload""}"</definedName>
    <definedName name="tm1\\_260_C">#REF!</definedName>
    <definedName name="tm1\\_260_R">#REF!</definedName>
    <definedName name="tm1\\_261_C">#REF!</definedName>
    <definedName name="tm1\\_261_R">#REF!</definedName>
    <definedName name="tm1\\_262_C">#REF!</definedName>
    <definedName name="tm1\\_262_R">#REF!</definedName>
    <definedName name="tm1\\_263_C">#REF!</definedName>
    <definedName name="tm1\\_263_R">#REF!</definedName>
    <definedName name="tm1\\_264_C">#REF!</definedName>
    <definedName name="tm1\\_264_R">#REF!</definedName>
    <definedName name="tm1\\_265_C">#REF!</definedName>
    <definedName name="tm1\\_265_R">#REF!</definedName>
    <definedName name="tm1\\_266_C">#REF!</definedName>
    <definedName name="tm1\\_266_R">#REF!</definedName>
    <definedName name="tm1\\_267_C">#REF!</definedName>
    <definedName name="tm1\\_267_R">#REF!</definedName>
    <definedName name="tm1\\_268_C">#REF!</definedName>
    <definedName name="tm1\\_268_R">#REF!</definedName>
    <definedName name="tm1\\_269_C">#REF!</definedName>
    <definedName name="tm1\\_269_R">#REF!</definedName>
    <definedName name="tm1\\_27_C">#REF!</definedName>
    <definedName name="tm1\\_27_H">"{ ""server"" : ""https://prdpaw01.sl.bluecloud.ibm.com"", ""cube"" : ""{ \""server\"" : \""loadtgts\"", \""cube\"" : \""loadtgts\""}""}"</definedName>
    <definedName name="tm1\\_27_H_1">"{ ""server"" : ""https://b01acidbc005.ahe.pok.ibm.com:9514"", ""cube"" : ""{ \""server\"" : \""wwconsol\"", \""cube\"" : \""wwconsol\""}""}"</definedName>
    <definedName name="tm1\\_27_R">#REF!</definedName>
    <definedName name="tm1\\_270_C">#REF!</definedName>
    <definedName name="tm1\\_270_R">#REF!</definedName>
    <definedName name="tm1\\_271_C">#REF!</definedName>
    <definedName name="tm1\\_271_R">#REF!</definedName>
    <definedName name="tm1\\_272_C">#REF!</definedName>
    <definedName name="tm1\\_272_R">#REF!</definedName>
    <definedName name="tm1\\_273_C">#REF!</definedName>
    <definedName name="tm1\\_273_R">#REF!</definedName>
    <definedName name="tm1\\_274_C">#REF!</definedName>
    <definedName name="tm1\\_274_R">#REF!</definedName>
    <definedName name="tm1\\_275_C">#REF!</definedName>
    <definedName name="tm1\\_275_R">#REF!</definedName>
    <definedName name="tm1\\_276_C">#REF!</definedName>
    <definedName name="tm1\\_276_R">#REF!</definedName>
    <definedName name="tm1\\_277_C">#REF!</definedName>
    <definedName name="tm1\\_277_R">#REF!</definedName>
    <definedName name="tm1\\_278_C">#REF!</definedName>
    <definedName name="tm1\\_278_R">#REF!</definedName>
    <definedName name="tm1\\_279_C">#REF!</definedName>
    <definedName name="tm1\\_279_R">#REF!</definedName>
    <definedName name="tm1\\_28_C">#REF!</definedName>
    <definedName name="tm1\\_28_H">"{ ""server"" : ""https://prdpaw01.sl.bluecloud.ibm.com"", ""cube"" : ""{ \""server\"" : \""loadtgts\"", \""cube\"" : \""loadtgts\""}""}"</definedName>
    <definedName name="tm1\\_28_R">#REF!</definedName>
    <definedName name="tm1\\_280_C">#REF!</definedName>
    <definedName name="tm1\\_280_R">#REF!</definedName>
    <definedName name="tm1\\_281_C">#REF!</definedName>
    <definedName name="tm1\\_281_R">#REF!</definedName>
    <definedName name="tm1\\_282_C">#REF!</definedName>
    <definedName name="tm1\\_282_R">#REF!</definedName>
    <definedName name="tm1\\_283_C">#REF!</definedName>
    <definedName name="tm1\\_283_R">#REF!</definedName>
    <definedName name="tm1\\_284_C">#REF!</definedName>
    <definedName name="tm1\\_284_R">#REF!</definedName>
    <definedName name="tm1\\_285_C">#REF!</definedName>
    <definedName name="tm1\\_285_R">#REF!</definedName>
    <definedName name="tm1\\_286_C">#REF!</definedName>
    <definedName name="tm1\\_286_R">#REF!</definedName>
    <definedName name="tm1\\_287_C">#REF!</definedName>
    <definedName name="tm1\\_287_R">#REF!</definedName>
    <definedName name="tm1\\_288_C">#REF!</definedName>
    <definedName name="tm1\\_288_R">#REF!</definedName>
    <definedName name="tm1\\_289_C">#REF!</definedName>
    <definedName name="tm1\\_289_R">#REF!</definedName>
    <definedName name="tm1\\_29_C">#REF!</definedName>
    <definedName name="tm1\\_29_H">"{ ""server"" : ""https://prdpaw01.sl.bluecloud.ibm.com"", ""cube"" : ""{ \""server\"" : \""loadtgts\"", \""cube\"" : \""loadtgts\""}""}"</definedName>
    <definedName name="tm1\\_29_H_1">"{ ""server"" : ""https://b01acidbc005.ahe.pok.ibm.com:9514"", ""cube"" : ""{ \""server\"" : \""wwconsol\"", \""cube\"" : \""wwconsol\""}""}"</definedName>
    <definedName name="tm1\\_29_R">#REF!</definedName>
    <definedName name="tm1\\_290_C">#REF!</definedName>
    <definedName name="tm1\\_290_R">#REF!</definedName>
    <definedName name="tm1\\_291_C">#REF!</definedName>
    <definedName name="tm1\\_291_R">#REF!</definedName>
    <definedName name="tm1\\_292_C">#REF!</definedName>
    <definedName name="tm1\\_292_R">#REF!</definedName>
    <definedName name="tm1\\_293_C">#REF!</definedName>
    <definedName name="tm1\\_293_R">#REF!</definedName>
    <definedName name="tm1\\_294_C">#REF!</definedName>
    <definedName name="tm1\\_294_R">#REF!</definedName>
    <definedName name="tm1\\_295_C">#REF!</definedName>
    <definedName name="tm1\\_295_R">#REF!</definedName>
    <definedName name="tm1\\_296_C">#REF!</definedName>
    <definedName name="tm1\\_296_R">#REF!</definedName>
    <definedName name="tm1\\_297_C">#REF!</definedName>
    <definedName name="tm1\\_297_R">#REF!</definedName>
    <definedName name="tm1\\_298_C">#REF!</definedName>
    <definedName name="tm1\\_298_R">#REF!</definedName>
    <definedName name="tm1\\_299_C">#REF!</definedName>
    <definedName name="tm1\\_299_R">#REF!</definedName>
    <definedName name="tm1\\_3_C">'Stream Pull'!$E$9:$Q$12</definedName>
    <definedName name="tm1\\_3_H">"{ ""server"" : ""https://paprd-wdc1-apexpaw-01.limited-use.ibm.com"", ""cube"" : ""{ \""server\"" : \""loadtgts\"", \""cube\"" : \""streamload\""}""}"</definedName>
    <definedName name="tm1\\_3_H_1">"{ ""server"" : ""https://b01acidbc002.ahe.pok.ibm.com:9514"", ""cube"" : ""{ \""server\"" : \""loadtgts\"", \""cube\"" : \""loadtgts\""}"", ""CubeCaption"" : ""loadtgts""}"</definedName>
    <definedName name="tm1\\_3_H_2">"{ ""server"" : ""https://prdpaw01.sl.bluecloud.ibm.com"", ""cube"" : ""{ \""server\"" : \""loadtgts\"", \""cube\"" : \""loadtgts\""}"", ""CubeCaption"" : ""loadtgts""}"</definedName>
    <definedName name="tm1\\_3_R">'Stream Pull'!$C$13:$D$109</definedName>
    <definedName name="tm1\\_3_S">'Stream Pull'!$D$6:$D$7</definedName>
    <definedName name="tm1\\_30_C">#REF!</definedName>
    <definedName name="tm1\\_30_H">"{ ""server"" : ""https://prdpaw01.sl.bluecloud.ibm.com"", ""cube"" : ""{ \""server\"" : \""loadtgts\"", \""cube\"" : \""loadtgts\""}""}"</definedName>
    <definedName name="tm1\\_30_H_1">"{ ""server"" : ""https://b01acidbc005.ahe.pok.ibm.com:9514"", ""cube"" : ""{ \""server\"" : \""wwconsol\"", \""cube\"" : \""wwconsol\""}""}"</definedName>
    <definedName name="tm1\\_30_R">#REF!</definedName>
    <definedName name="tm1\\_300_C">#REF!</definedName>
    <definedName name="tm1\\_300_R">#REF!</definedName>
    <definedName name="tm1\\_301_C">#REF!</definedName>
    <definedName name="tm1\\_301_R">#REF!</definedName>
    <definedName name="tm1\\_302_C">#REF!</definedName>
    <definedName name="tm1\\_302_R">#REF!</definedName>
    <definedName name="tm1\\_303_C">#REF!</definedName>
    <definedName name="tm1\\_303_R">#REF!</definedName>
    <definedName name="tm1\\_304_C">#REF!</definedName>
    <definedName name="tm1\\_304_R">#REF!</definedName>
    <definedName name="tm1\\_305_C">#REF!</definedName>
    <definedName name="tm1\\_305_R">#REF!</definedName>
    <definedName name="tm1\\_306_C">#REF!</definedName>
    <definedName name="tm1\\_306_R">#REF!</definedName>
    <definedName name="tm1\\_307_C">#REF!</definedName>
    <definedName name="tm1\\_307_R">#REF!</definedName>
    <definedName name="tm1\\_308_C">#REF!</definedName>
    <definedName name="tm1\\_308_R">#REF!</definedName>
    <definedName name="tm1\\_309_C">#REF!</definedName>
    <definedName name="tm1\\_309_R">#REF!</definedName>
    <definedName name="tm1\\_31_C">#REF!</definedName>
    <definedName name="tm1\\_31_H">"{ ""server"" : ""https://prdpaw01.sl.bluecloud.ibm.com"", ""cube"" : ""{ \""server\"" : \""loadtgts\"", \""cube\"" : \""loadtgts\""}""}"</definedName>
    <definedName name="tm1\\_31_H_1">"{ ""server"" : ""https://b01acidbc005.ahe.pok.ibm.com:9514"", ""cube"" : ""{ \""server\"" : \""wwconsol\"", \""cube\"" : \""wwconsol\""}""}"</definedName>
    <definedName name="tm1\\_31_R">#REF!</definedName>
    <definedName name="tm1\\_310_C">#REF!</definedName>
    <definedName name="tm1\\_310_R">#REF!</definedName>
    <definedName name="tm1\\_311_C">#REF!</definedName>
    <definedName name="tm1\\_311_R">#REF!</definedName>
    <definedName name="tm1\\_312_C">#REF!</definedName>
    <definedName name="tm1\\_312_R">#REF!</definedName>
    <definedName name="tm1\\_313_C">#REF!</definedName>
    <definedName name="tm1\\_313_R">#REF!</definedName>
    <definedName name="tm1\\_314_C">#REF!</definedName>
    <definedName name="tm1\\_314_R">#REF!</definedName>
    <definedName name="tm1\\_315_C">#REF!</definedName>
    <definedName name="tm1\\_315_R">#REF!</definedName>
    <definedName name="tm1\\_316_C">#REF!</definedName>
    <definedName name="tm1\\_316_R">#REF!</definedName>
    <definedName name="tm1\\_317_C">#REF!</definedName>
    <definedName name="tm1\\_317_R">#REF!</definedName>
    <definedName name="tm1\\_318_C">#REF!</definedName>
    <definedName name="tm1\\_318_R">#REF!</definedName>
    <definedName name="tm1\\_319_C">#REF!</definedName>
    <definedName name="tm1\\_319_R">#REF!</definedName>
    <definedName name="tm1\\_32_C">#REF!</definedName>
    <definedName name="tm1\\_32_H">"{ ""server"" : ""https://b01acidbc005.ahe.pok.ibm.com:9514"", ""cube"" : ""{ \""server\"" : \""wwconsol\"", \""cube\"" : \""wwconsol\""}""}"</definedName>
    <definedName name="tm1\\_32_H_1">"{ ""server"" : ""https://b01acidbc005.ahe.pok.ibm.com:9514"", ""cube"" : ""{ \""server\"" : \""wwconsol\"", \""cube\"" : \""wwconsol\""}""}"</definedName>
    <definedName name="tm1\\_32_R">#REF!</definedName>
    <definedName name="tm1\\_320_C">#REF!</definedName>
    <definedName name="tm1\\_320_R">#REF!</definedName>
    <definedName name="tm1\\_321_C">#REF!</definedName>
    <definedName name="tm1\\_321_R">#REF!</definedName>
    <definedName name="tm1\\_322_C">#REF!</definedName>
    <definedName name="tm1\\_322_R">#REF!</definedName>
    <definedName name="tm1\\_323_C">#REF!</definedName>
    <definedName name="tm1\\_323_R">#REF!</definedName>
    <definedName name="tm1\\_324_C">#REF!</definedName>
    <definedName name="tm1\\_324_R">#REF!</definedName>
    <definedName name="tm1\\_325_C">#REF!</definedName>
    <definedName name="tm1\\_325_R">#REF!</definedName>
    <definedName name="tm1\\_326_C">#REF!</definedName>
    <definedName name="tm1\\_326_R">#REF!</definedName>
    <definedName name="tm1\\_327_C">#REF!</definedName>
    <definedName name="tm1\\_327_R">#REF!</definedName>
    <definedName name="tm1\\_328_C">#REF!</definedName>
    <definedName name="tm1\\_328_R">#REF!</definedName>
    <definedName name="tm1\\_329_C">#REF!</definedName>
    <definedName name="tm1\\_329_R">#REF!</definedName>
    <definedName name="tm1\\_33_C">#REF!</definedName>
    <definedName name="tm1\\_33_H">"{ ""server"" : ""https://b01acidbc002.ahe.pok.ibm.com:9514"", ""cube"" : ""{ \""server\"" : \""loadtgts\"", \""cube\"" : \""loadtgts\""}"", ""CubeCaption"" : ""loadtgts""}"</definedName>
    <definedName name="tm1\\_33_H_1">"{ ""server"" : ""https://b01acidbc005.ahe.pok.ibm.com:9514"", ""cube"" : ""{ \""server\"" : \""wwconsol\"", \""cube\"" : \""wwconsol\""}""}"</definedName>
    <definedName name="tm1\\_33_R">#REF!</definedName>
    <definedName name="tm1\\_330_C">#REF!</definedName>
    <definedName name="tm1\\_330_R">#REF!</definedName>
    <definedName name="tm1\\_331_C">#REF!</definedName>
    <definedName name="tm1\\_331_R">#REF!</definedName>
    <definedName name="tm1\\_332_C">#REF!</definedName>
    <definedName name="tm1\\_332_R">#REF!</definedName>
    <definedName name="tm1\\_333_C">#REF!</definedName>
    <definedName name="tm1\\_333_R">#REF!</definedName>
    <definedName name="tm1\\_334_C">#REF!</definedName>
    <definedName name="tm1\\_334_R">#REF!</definedName>
    <definedName name="tm1\\_335_C">#REF!</definedName>
    <definedName name="tm1\\_335_R">#REF!</definedName>
    <definedName name="tm1\\_336_C">#REF!</definedName>
    <definedName name="tm1\\_336_R">#REF!</definedName>
    <definedName name="tm1\\_337_C">#REF!</definedName>
    <definedName name="tm1\\_337_R">#REF!</definedName>
    <definedName name="tm1\\_338_C">#REF!</definedName>
    <definedName name="tm1\\_338_R">#REF!</definedName>
    <definedName name="tm1\\_339_C">#REF!</definedName>
    <definedName name="tm1\\_339_R">#REF!</definedName>
    <definedName name="tm1\\_34_C">#REF!</definedName>
    <definedName name="tm1\\_34_H">"{ ""server"" : ""https://b01acidbc002.ahe.pok.ibm.com:9514"", ""cube"" : ""{ \""server\"" : \""loadtgts\"", \""cube\"" : \""loadtgts\""}"", ""CubeCaption"" : ""loadtgts""}"</definedName>
    <definedName name="tm1\\_34_H_1">"{ ""server"" : ""https://b01acidbc005.ahe.pok.ibm.com:9514"", ""cube"" : ""{ \""server\"" : \""wwconsol\"", \""cube\"" : \""wwconsol\""}"", ""CubeCaption"" : ""wwconsol""}"</definedName>
    <definedName name="tm1\\_34_R">#REF!</definedName>
    <definedName name="tm1\\_340_C">#REF!</definedName>
    <definedName name="tm1\\_340_R">#REF!</definedName>
    <definedName name="tm1\\_341_C">#REF!</definedName>
    <definedName name="tm1\\_341_R">#REF!</definedName>
    <definedName name="tm1\\_342_C">#REF!</definedName>
    <definedName name="tm1\\_342_R">#REF!</definedName>
    <definedName name="tm1\\_343_C">#REF!</definedName>
    <definedName name="tm1\\_343_R">#REF!</definedName>
    <definedName name="tm1\\_344_C">#REF!</definedName>
    <definedName name="tm1\\_344_R">#REF!</definedName>
    <definedName name="tm1\\_345_C">#REF!</definedName>
    <definedName name="tm1\\_345_R">#REF!</definedName>
    <definedName name="tm1\\_346_C">#REF!</definedName>
    <definedName name="tm1\\_346_R">#REF!</definedName>
    <definedName name="tm1\\_347_C">#REF!</definedName>
    <definedName name="tm1\\_347_R">#REF!</definedName>
    <definedName name="tm1\\_348_C">#REF!</definedName>
    <definedName name="tm1\\_348_R">#REF!</definedName>
    <definedName name="tm1\\_349_C">#REF!</definedName>
    <definedName name="tm1\\_349_R">#REF!</definedName>
    <definedName name="tm1\\_35_C">#REF!</definedName>
    <definedName name="tm1\\_35_H">"{ ""server"" : ""https://b01acidbc005.ahe.pok.ibm.com:9514"", ""cube"" : ""{ \""server\"" : \""wwconsol\"", \""cube\"" : \""wwconsol\""}""}"</definedName>
    <definedName name="tm1\\_35_H_1">"{ ""server"" : ""https://b01acidbc002.ahe.pok.ibm.com:9514"", ""cube"" : ""{ \""server\"" : \""loadtgts\"", \""cube\"" : \""loadtgts\""}""}"</definedName>
    <definedName name="tm1\\_35_H_2">"{ ""server"" : ""https://prdpaw01.sl.bluecloud.ibm.com"", ""cube"" : ""{ \""server\"" : \""loadtgts\"", \""cube\"" : \""loadtgts\""}""}"</definedName>
    <definedName name="tm1\\_35_R">#REF!</definedName>
    <definedName name="tm1\\_350_C">#REF!</definedName>
    <definedName name="tm1\\_350_R">#REF!</definedName>
    <definedName name="tm1\\_351_C">#REF!</definedName>
    <definedName name="tm1\\_351_R">#REF!</definedName>
    <definedName name="tm1\\_352_C">#REF!</definedName>
    <definedName name="tm1\\_352_R">#REF!</definedName>
    <definedName name="tm1\\_353_C">#REF!</definedName>
    <definedName name="tm1\\_353_R">#REF!</definedName>
    <definedName name="tm1\\_354_C">#REF!</definedName>
    <definedName name="tm1\\_354_R">#REF!</definedName>
    <definedName name="tm1\\_355_C">#REF!</definedName>
    <definedName name="tm1\\_355_R">#REF!</definedName>
    <definedName name="tm1\\_356_C">#REF!</definedName>
    <definedName name="tm1\\_356_R">#REF!</definedName>
    <definedName name="tm1\\_357_C">#REF!</definedName>
    <definedName name="tm1\\_357_H">"{ ""server"" : ""https://b01acidbc005.ahe.pok.ibm.com:9514"", ""cube"" : ""{ \""server\"" : \""wwconsol\"", \""cube\"" : \""wwconsol\""}"", ""CubeCaption"" : ""wwconsol""}"</definedName>
    <definedName name="tm1\\_357_H_1">"{ ""server"" : ""https://b01acidbc005.ahe.pok.ibm.com:9514"", ""cube"" : ""{ \""server\"" : \""wwconsol\"", \""cube\"" : \""wwconsol\""}"", ""CubeCaption"" : ""wwconsol""}"</definedName>
    <definedName name="tm1\\_357_R">#REF!</definedName>
    <definedName name="tm1\\_358_C">#REF!</definedName>
    <definedName name="tm1\\_358_R">#REF!</definedName>
    <definedName name="tm1\\_359_C">#REF!</definedName>
    <definedName name="tm1\\_359_R">#REF!</definedName>
    <definedName name="tm1\\_36_C">#REF!</definedName>
    <definedName name="tm1\\_36_H">"{ ""server"" : ""https://b01acidbc002.ahe.pok.ibm.com:9514"", ""cube"" : ""{ \""server\"" : \""loadtgts\"", \""cube\"" : \""loadtgts\""}"", ""CubeCaption"" : ""loadtgts""}"</definedName>
    <definedName name="tm1\\_36_H_1">"{ ""server"" : ""https://b01acidbc005.ahe.pok.ibm.com:9514"", ""cube"" : ""{ \""server\"" : \""wwconsol\"", \""cube\"" : \""wwconsol\""}""}"</definedName>
    <definedName name="tm1\\_36_R">#REF!</definedName>
    <definedName name="tm1\\_360_C">#REF!</definedName>
    <definedName name="tm1\\_360_R">#REF!</definedName>
    <definedName name="tm1\\_361_C">#REF!</definedName>
    <definedName name="tm1\\_361_R">#REF!</definedName>
    <definedName name="tm1\\_362_C">#REF!</definedName>
    <definedName name="tm1\\_362_R">#REF!</definedName>
    <definedName name="tm1\\_363_C">#REF!</definedName>
    <definedName name="tm1\\_363_R">#REF!</definedName>
    <definedName name="tm1\\_364_C">#REF!</definedName>
    <definedName name="tm1\\_364_R">#REF!</definedName>
    <definedName name="tm1\\_365_C">#REF!</definedName>
    <definedName name="tm1\\_365_R">#REF!</definedName>
    <definedName name="tm1\\_366_C">#REF!</definedName>
    <definedName name="tm1\\_366_H">"{ ""server"" : ""https://b01acidbc005.ahe.pok.ibm.com:9514"", ""cube"" : ""{ \""server\"" : \""wwconsol\"", \""cube\"" : \""wwconsol\""}"", ""CubeCaption"" : ""wwconsol""}"</definedName>
    <definedName name="tm1\\_366_H_1">"{ ""server"" : ""https://b01acidbc005.ahe.pok.ibm.com:9514"", ""cube"" : ""{ \""server\"" : \""wwconsol\"", \""cube\"" : \""wwconsol\""}"", ""CubeCaption"" : ""wwconsol""}"</definedName>
    <definedName name="tm1\\_366_R">#REF!</definedName>
    <definedName name="tm1\\_367_C">#REF!</definedName>
    <definedName name="tm1\\_367_R">#REF!</definedName>
    <definedName name="tm1\\_368_C">#REF!</definedName>
    <definedName name="tm1\\_368_R">#REF!</definedName>
    <definedName name="tm1\\_369_C">#REF!</definedName>
    <definedName name="tm1\\_369_R">#REF!</definedName>
    <definedName name="tm1\\_37_C">#REF!</definedName>
    <definedName name="tm1\\_37_H">"{ ""server"" : ""https://b01acidbc005.ahe.pok.ibm.com:9514"", ""cube"" : ""{ \""server\"" : \""wwconsol\"", \""cube\"" : \""wwconsol\""}"", ""CubeCaption"" : ""wwconsol""}"</definedName>
    <definedName name="tm1\\_37_R">#REF!</definedName>
    <definedName name="tm1\\_370_C">#REF!</definedName>
    <definedName name="tm1\\_370_R">#REF!</definedName>
    <definedName name="tm1\\_371_C">#REF!</definedName>
    <definedName name="tm1\\_371_R">#REF!</definedName>
    <definedName name="tm1\\_372_C">#REF!</definedName>
    <definedName name="tm1\\_372_R">#REF!</definedName>
    <definedName name="tm1\\_373_C">#REF!</definedName>
    <definedName name="tm1\\_373_R">#REF!</definedName>
    <definedName name="tm1\\_374_C">#REF!</definedName>
    <definedName name="tm1\\_374_R">#REF!</definedName>
    <definedName name="tm1\\_375_C">#REF!</definedName>
    <definedName name="tm1\\_375_R">#REF!</definedName>
    <definedName name="tm1\\_376_C">#REF!</definedName>
    <definedName name="tm1\\_376_R">#REF!</definedName>
    <definedName name="tm1\\_377_C">#REF!</definedName>
    <definedName name="tm1\\_377_R">#REF!</definedName>
    <definedName name="tm1\\_378_C">#REF!</definedName>
    <definedName name="tm1\\_378_R">#REF!</definedName>
    <definedName name="tm1\\_379_C">#REF!</definedName>
    <definedName name="tm1\\_379_R">#REF!</definedName>
    <definedName name="tm1\\_38_C">#REF!</definedName>
    <definedName name="tm1\\_38_H">"{ ""server"" : ""https://b01acidbc005.ahe.pok.ibm.com:9514"", ""cube"" : ""{ \""server\"" : \""wwconsol\"", \""cube\"" : \""wwconsol\""}""}"</definedName>
    <definedName name="tm1\\_38_H_1">"{ ""server"" : ""https://b01acidbc005.ahe.pok.ibm.com:9514"", ""cube"" : ""{ \""server\"" : \""wwconsol\"", \""cube\"" : \""wwconsol\""}""}"</definedName>
    <definedName name="tm1\\_38_R">#REF!</definedName>
    <definedName name="tm1\\_380_C">#REF!</definedName>
    <definedName name="tm1\\_380_R">#REF!</definedName>
    <definedName name="tm1\\_381_C">#REF!</definedName>
    <definedName name="tm1\\_381_R">#REF!</definedName>
    <definedName name="tm1\\_382_C">#REF!</definedName>
    <definedName name="tm1\\_382_R">#REF!</definedName>
    <definedName name="tm1\\_383_C">#REF!</definedName>
    <definedName name="tm1\\_383_R">#REF!</definedName>
    <definedName name="tm1\\_384_C">#REF!</definedName>
    <definedName name="tm1\\_384_R">#REF!</definedName>
    <definedName name="tm1\\_385_C">#REF!</definedName>
    <definedName name="tm1\\_385_R">#REF!</definedName>
    <definedName name="tm1\\_386_C">#REF!</definedName>
    <definedName name="tm1\\_386_R">#REF!</definedName>
    <definedName name="tm1\\_387_C">#REF!</definedName>
    <definedName name="tm1\\_387_R">#REF!</definedName>
    <definedName name="tm1\\_388_C">#REF!</definedName>
    <definedName name="tm1\\_388_R">#REF!</definedName>
    <definedName name="tm1\\_389_C">#REF!</definedName>
    <definedName name="tm1\\_389_R">#REF!</definedName>
    <definedName name="tm1\\_39_C">#REF!</definedName>
    <definedName name="tm1\\_39_H">"{ ""server"" : ""https://b01acidbc002.ahe.pok.ibm.com:9514"", ""cube"" : ""{ \""server\"" : \""loadtgts\"", \""cube\"" : \""loadtgts\""}""}"</definedName>
    <definedName name="tm1\\_39_R">#REF!</definedName>
    <definedName name="tm1\\_390_C">#REF!</definedName>
    <definedName name="tm1\\_390_R">#REF!</definedName>
    <definedName name="tm1\\_391_C">#REF!</definedName>
    <definedName name="tm1\\_391_R">#REF!</definedName>
    <definedName name="tm1\\_392_C">#REF!</definedName>
    <definedName name="tm1\\_392_R">#REF!</definedName>
    <definedName name="tm1\\_393_C">#REF!</definedName>
    <definedName name="tm1\\_393_R">#REF!</definedName>
    <definedName name="tm1\\_394_C">#REF!</definedName>
    <definedName name="tm1\\_394_R">#REF!</definedName>
    <definedName name="tm1\\_395_C">#REF!</definedName>
    <definedName name="tm1\\_395_R">#REF!</definedName>
    <definedName name="tm1\\_396_C">#REF!</definedName>
    <definedName name="tm1\\_396_R">#REF!</definedName>
    <definedName name="tm1\\_397_C">#REF!</definedName>
    <definedName name="tm1\\_397_R">#REF!</definedName>
    <definedName name="tm1\\_398_C">#REF!</definedName>
    <definedName name="tm1\\_398_R">#REF!</definedName>
    <definedName name="tm1\\_399_C">#REF!</definedName>
    <definedName name="tm1\\_399_R">#REF!</definedName>
    <definedName name="tm1\\_40_C">#REF!</definedName>
    <definedName name="tm1\\_40_H">"{ ""server"" : ""https://b01acidbc005.ahe.pok.ibm.com:9514"", ""cube"" : ""{ \""server\"" : \""wwconsol\"", \""cube\"" : \""wwconsol\""}""}"</definedName>
    <definedName name="tm1\\_40_H_1">"{ ""server"" : ""https://b01acidbc002.ahe.pok.ibm.com:9514"", ""cube"" : ""{ \""server\"" : \""loadtgts\"", \""cube\"" : \""loadtgts\""}""}"</definedName>
    <definedName name="tm1\\_40_H_2">"{ ""server"" : ""https://prdpaw01.sl.bluecloud.ibm.com"", ""cube"" : ""{ \""server\"" : \""loadtgts\"", \""cube\"" : \""loadtgts\""}""}"</definedName>
    <definedName name="tm1\\_40_R">#REF!</definedName>
    <definedName name="tm1\\_400_C">#REF!</definedName>
    <definedName name="tm1\\_400_R">#REF!</definedName>
    <definedName name="tm1\\_401_C">#REF!</definedName>
    <definedName name="tm1\\_401_R">#REF!</definedName>
    <definedName name="tm1\\_402_C">#REF!</definedName>
    <definedName name="tm1\\_402_R">#REF!</definedName>
    <definedName name="tm1\\_403_C">#REF!</definedName>
    <definedName name="tm1\\_403_R">#REF!</definedName>
    <definedName name="tm1\\_404_C">#REF!</definedName>
    <definedName name="tm1\\_404_R">#REF!</definedName>
    <definedName name="tm1\\_405_C">#REF!</definedName>
    <definedName name="tm1\\_405_R">#REF!</definedName>
    <definedName name="tm1\\_406_C">#REF!</definedName>
    <definedName name="tm1\\_406_R">#REF!</definedName>
    <definedName name="tm1\\_407_C">#REF!</definedName>
    <definedName name="tm1\\_407_R">#REF!</definedName>
    <definedName name="tm1\\_408_C">#REF!</definedName>
    <definedName name="tm1\\_408_R">#REF!</definedName>
    <definedName name="tm1\\_409_C">#REF!</definedName>
    <definedName name="tm1\\_409_R">#REF!</definedName>
    <definedName name="tm1\\_41_C">#REF!</definedName>
    <definedName name="tm1\\_41_H">"{ ""server"" : ""https://b01acidbc005.ahe.pok.ibm.com:9514"", ""cube"" : ""{ \""server\"" : \""wwconsol\"", \""cube\"" : \""wwconsol\""}""}"</definedName>
    <definedName name="tm1\\_41_R">#REF!</definedName>
    <definedName name="tm1\\_410_C">#REF!</definedName>
    <definedName name="tm1\\_410_R">#REF!</definedName>
    <definedName name="tm1\\_411_C">#REF!</definedName>
    <definedName name="tm1\\_411_R">#REF!</definedName>
    <definedName name="tm1\\_412_C">#REF!</definedName>
    <definedName name="tm1\\_412_R">#REF!</definedName>
    <definedName name="tm1\\_413_C">#REF!</definedName>
    <definedName name="tm1\\_413_R">#REF!</definedName>
    <definedName name="tm1\\_414_C">#REF!</definedName>
    <definedName name="tm1\\_414_R">#REF!</definedName>
    <definedName name="tm1\\_415_C">#REF!</definedName>
    <definedName name="tm1\\_415_R">#REF!</definedName>
    <definedName name="tm1\\_416_C">#REF!</definedName>
    <definedName name="tm1\\_416_R">#REF!</definedName>
    <definedName name="tm1\\_417_C">#REF!</definedName>
    <definedName name="tm1\\_417_R">#REF!</definedName>
    <definedName name="tm1\\_418_C">#REF!</definedName>
    <definedName name="tm1\\_418_R">#REF!</definedName>
    <definedName name="tm1\\_419_C">#REF!</definedName>
    <definedName name="tm1\\_419_R">#REF!</definedName>
    <definedName name="tm1\\_42_C">#REF!</definedName>
    <definedName name="tm1\\_42_H">"{ ""server"" : ""https://b01acidbc002.ahe.pok.ibm.com:9514"", ""cube"" : ""{ \""server\"" : \""loadtgts\"", \""cube\"" : \""loadtgts\""}""}"</definedName>
    <definedName name="tm1\\_42_H_1">"{ ""server"" : ""https://b01acidbc005.ahe.pok.ibm.com:9514"", ""cube"" : ""{ \""server\"" : \""wwconsol\"", \""cube\"" : \""wwconsol\""}""}"</definedName>
    <definedName name="tm1\\_42_R">#REF!</definedName>
    <definedName name="tm1\\_420_C">#REF!</definedName>
    <definedName name="tm1\\_420_R">#REF!</definedName>
    <definedName name="tm1\\_421_C">#REF!</definedName>
    <definedName name="tm1\\_421_R">#REF!</definedName>
    <definedName name="tm1\\_422_C">#REF!</definedName>
    <definedName name="tm1\\_422_R">#REF!</definedName>
    <definedName name="tm1\\_423_C">#REF!</definedName>
    <definedName name="tm1\\_423_R">#REF!</definedName>
    <definedName name="tm1\\_424_C">#REF!</definedName>
    <definedName name="tm1\\_424_R">#REF!</definedName>
    <definedName name="tm1\\_425_C">#REF!</definedName>
    <definedName name="tm1\\_425_R">#REF!</definedName>
    <definedName name="tm1\\_426_C">#REF!</definedName>
    <definedName name="tm1\\_426_R">#REF!</definedName>
    <definedName name="tm1\\_427_C">#REF!</definedName>
    <definedName name="tm1\\_427_R">#REF!</definedName>
    <definedName name="tm1\\_428_C">#REF!</definedName>
    <definedName name="tm1\\_428_R">#REF!</definedName>
    <definedName name="tm1\\_429_C">#REF!</definedName>
    <definedName name="tm1\\_429_R">#REF!</definedName>
    <definedName name="tm1\\_43_C">#REF!</definedName>
    <definedName name="tm1\\_43_H">"{ ""server"" : ""https://b01acidbc002.ahe.pok.ibm.com:9514"", ""cube"" : ""{ \""server\"" : \""loadtgts\"", \""cube\"" : \""loadtgts\""}""}"</definedName>
    <definedName name="tm1\\_43_H_1">"{ ""server"" : ""https://b01acidbc002.ahe.pok.ibm.com:9514"", ""cube"" : ""{ \""server\"" : \""loadtgts\"", \""cube\"" : \""loadtgts\""}""}"</definedName>
    <definedName name="tm1\\_43_H_2">"{ ""server"" : ""https://prdpaw01.sl.bluecloud.ibm.com"", ""cube"" : ""{ \""server\"" : \""loadtgts\"", \""cube\"" : \""loadtgts\""}""}"</definedName>
    <definedName name="tm1\\_43_R">#REF!</definedName>
    <definedName name="tm1\\_430_C">#REF!</definedName>
    <definedName name="tm1\\_430_R">#REF!</definedName>
    <definedName name="tm1\\_431_C">#REF!</definedName>
    <definedName name="tm1\\_431_R">#REF!</definedName>
    <definedName name="tm1\\_432_C">#REF!</definedName>
    <definedName name="tm1\\_432_R">#REF!</definedName>
    <definedName name="tm1\\_433_C">#REF!</definedName>
    <definedName name="tm1\\_433_R">#REF!</definedName>
    <definedName name="tm1\\_434_C">#REF!</definedName>
    <definedName name="tm1\\_434_R">#REF!</definedName>
    <definedName name="tm1\\_435_C">#REF!</definedName>
    <definedName name="tm1\\_435_R">#REF!</definedName>
    <definedName name="tm1\\_436_C">#REF!</definedName>
    <definedName name="tm1\\_436_R">#REF!</definedName>
    <definedName name="tm1\\_437_C">#REF!</definedName>
    <definedName name="tm1\\_437_R">#REF!</definedName>
    <definedName name="tm1\\_438_C">#REF!</definedName>
    <definedName name="tm1\\_438_R">#REF!</definedName>
    <definedName name="tm1\\_439_C">#REF!</definedName>
    <definedName name="tm1\\_439_R">#REF!</definedName>
    <definedName name="tm1\\_44_C">#REF!</definedName>
    <definedName name="tm1\\_44_H">"{ ""server"" : ""https://b01acidbc002.ahe.pok.ibm.com:9514"", ""cube"" : ""{ \""server\"" : \""loadtgts\"", \""cube\"" : \""loadhist\""}"", ""CubeCaption"" : ""loadhist""}"</definedName>
    <definedName name="tm1\\_44_H_1">"{ ""server"" : ""https://b01acidbc002.ahe.pok.ibm.com:9514"", ""cube"" : ""{ \""server\"" : \""loadtgts\"", \""cube\"" : \""loadhist\""}"", ""CubeCaption"" : ""loadhist""}"</definedName>
    <definedName name="tm1\\_44_H_2">"{ ""server"" : ""https://prdpaw01.sl.bluecloud.ibm.com"", ""cube"" : ""{ \""server\"" : \""loadtgts\"", \""cube\"" : \""loadhist\""}"", ""CubeCaption"" : ""loadhist""}"</definedName>
    <definedName name="tm1\\_44_R">#REF!</definedName>
    <definedName name="tm1\\_440_C">#REF!</definedName>
    <definedName name="tm1\\_440_R">#REF!</definedName>
    <definedName name="tm1\\_441_C">#REF!</definedName>
    <definedName name="tm1\\_441_R">#REF!</definedName>
    <definedName name="tm1\\_442_C">#REF!</definedName>
    <definedName name="tm1\\_442_R">#REF!</definedName>
    <definedName name="tm1\\_443_C">#REF!</definedName>
    <definedName name="tm1\\_443_R">#REF!</definedName>
    <definedName name="tm1\\_444_C">#REF!</definedName>
    <definedName name="tm1\\_444_R">#REF!</definedName>
    <definedName name="tm1\\_445_C">#REF!</definedName>
    <definedName name="tm1\\_445_R">#REF!</definedName>
    <definedName name="tm1\\_446_C">#REF!</definedName>
    <definedName name="tm1\\_446_R">#REF!</definedName>
    <definedName name="tm1\\_447_C">#REF!</definedName>
    <definedName name="tm1\\_447_R">#REF!</definedName>
    <definedName name="tm1\\_448_C">#REF!</definedName>
    <definedName name="tm1\\_448_R">#REF!</definedName>
    <definedName name="tm1\\_449_C">#REF!</definedName>
    <definedName name="tm1\\_449_R">#REF!</definedName>
    <definedName name="tm1\\_45_C">#REF!</definedName>
    <definedName name="tm1\\_45_H">"{ ""server"" : ""https://b01acidbc002.ahe.pok.ibm.com:9514"", ""cube"" : ""{ \""server\"" : \""loadtgts\"", \""cube\"" : \""loadtgts\""}"", ""CubeCaption"" : ""loadtgts""}"</definedName>
    <definedName name="tm1\\_45_H_1">"{ ""server"" : ""https://b01acidbc002.ahe.pok.ibm.com:9514"", ""cube"" : ""{ \""server\"" : \""loadtgts\"", \""cube\"" : \""loadtgts\""}"", ""CubeCaption"" : ""loadtgts""}"</definedName>
    <definedName name="tm1\\_45_H_2">"{ ""server"" : ""https://prdpaw01.sl.bluecloud.ibm.com"", ""cube"" : ""{ \""server\"" : \""loadtgts\"", \""cube\"" : \""loadtgts\""}"", ""CubeCaption"" : ""loadtgts""}"</definedName>
    <definedName name="tm1\\_45_R">#REF!</definedName>
    <definedName name="tm1\\_450_C">#REF!</definedName>
    <definedName name="tm1\\_450_R">#REF!</definedName>
    <definedName name="tm1\\_451_C">#REF!</definedName>
    <definedName name="tm1\\_451_R">#REF!</definedName>
    <definedName name="tm1\\_452_C">#REF!</definedName>
    <definedName name="tm1\\_452_R">#REF!</definedName>
    <definedName name="tm1\\_453_C">#REF!</definedName>
    <definedName name="tm1\\_453_R">#REF!</definedName>
    <definedName name="tm1\\_454_C">#REF!</definedName>
    <definedName name="tm1\\_454_R">#REF!</definedName>
    <definedName name="tm1\\_455_C">#REF!</definedName>
    <definedName name="tm1\\_455_R">#REF!</definedName>
    <definedName name="tm1\\_456_C">#REF!</definedName>
    <definedName name="tm1\\_456_R">#REF!</definedName>
    <definedName name="tm1\\_457_C">#REF!</definedName>
    <definedName name="tm1\\_457_R">#REF!</definedName>
    <definedName name="tm1\\_458_C">#REF!</definedName>
    <definedName name="tm1\\_458_R">#REF!</definedName>
    <definedName name="tm1\\_459_C">#REF!</definedName>
    <definedName name="tm1\\_459_R">#REF!</definedName>
    <definedName name="tm1\\_46_C">#REF!</definedName>
    <definedName name="tm1\\_46_H">"{ ""server"" : ""https://b01acidbc005.ahe.pok.ibm.com:9514"", ""cube"" : ""{ \""server\"" : \""wwconsol\"", \""cube\"" : \""wwconsol\""}"", ""CubeCaption"" : ""wwconsol""}"</definedName>
    <definedName name="tm1\\_46_H_1">"{ ""server"" : ""https://b01acidbc002.ahe.pok.ibm.com:9514"", ""cube"" : ""{ \""server\"" : \""loadtgts\"", \""cube\"" : \""loadtgts\""}"", ""CubeCaption"" : ""loadtgts""}"</definedName>
    <definedName name="tm1\\_46_H_2">"{ ""server"" : ""https://prdpaw01.sl.bluecloud.ibm.com"", ""cube"" : ""{ \""server\"" : \""loadtgts\"", \""cube\"" : \""loadtgts\""}"", ""CubeCaption"" : ""loadtgts""}"</definedName>
    <definedName name="tm1\\_46_R">#REF!</definedName>
    <definedName name="tm1\\_460_C">#REF!</definedName>
    <definedName name="tm1\\_460_R">#REF!</definedName>
    <definedName name="tm1\\_461_C">#REF!</definedName>
    <definedName name="tm1\\_461_R">#REF!</definedName>
    <definedName name="tm1\\_462_C">#REF!</definedName>
    <definedName name="tm1\\_462_R">#REF!</definedName>
    <definedName name="tm1\\_463_C">#REF!</definedName>
    <definedName name="tm1\\_463_R">#REF!</definedName>
    <definedName name="tm1\\_464_C">#REF!</definedName>
    <definedName name="tm1\\_464_R">#REF!</definedName>
    <definedName name="tm1\\_465_C">#REF!</definedName>
    <definedName name="tm1\\_465_R">#REF!</definedName>
    <definedName name="tm1\\_466_C">#REF!</definedName>
    <definedName name="tm1\\_466_R">#REF!</definedName>
    <definedName name="tm1\\_467_C">#REF!</definedName>
    <definedName name="tm1\\_467_R">#REF!</definedName>
    <definedName name="tm1\\_468_C">#REF!</definedName>
    <definedName name="tm1\\_468_R">#REF!</definedName>
    <definedName name="tm1\\_469_C">#REF!</definedName>
    <definedName name="tm1\\_469_R">#REF!</definedName>
    <definedName name="tm1\\_47_C">#REF!</definedName>
    <definedName name="tm1\\_47_H">"{ ""server"" : ""https://b01acidbc002.ahe.pok.ibm.com:9514"", ""cube"" : ""{ \""server\"" : \""loadtgts\"", \""cube\"" : \""loadtgts\""}"", ""CubeCaption"" : ""loadtgts""}"</definedName>
    <definedName name="tm1\\_47_H_1">"{ ""server"" : ""https://b01acidbc002.ahe.pok.ibm.com:9514"", ""cube"" : ""{ \""server\"" : \""loadtgts\"", \""cube\"" : \""loadtgts\""}"", ""CubeCaption"" : ""loadhist""}"</definedName>
    <definedName name="tm1\\_47_R">#REF!</definedName>
    <definedName name="tm1\\_470_C">#REF!</definedName>
    <definedName name="tm1\\_470_R">#REF!</definedName>
    <definedName name="tm1\\_471_C">#REF!</definedName>
    <definedName name="tm1\\_471_R">#REF!</definedName>
    <definedName name="tm1\\_472_C">#REF!</definedName>
    <definedName name="tm1\\_472_R">#REF!</definedName>
    <definedName name="tm1\\_473_C">#REF!</definedName>
    <definedName name="tm1\\_473_R">#REF!</definedName>
    <definedName name="tm1\\_474_C">#REF!</definedName>
    <definedName name="tm1\\_474_R">#REF!</definedName>
    <definedName name="tm1\\_475_C">#REF!</definedName>
    <definedName name="tm1\\_475_R">#REF!</definedName>
    <definedName name="tm1\\_476_C">#REF!</definedName>
    <definedName name="tm1\\_476_R">#REF!</definedName>
    <definedName name="tm1\\_477_C">#REF!</definedName>
    <definedName name="tm1\\_477_R">#REF!</definedName>
    <definedName name="tm1\\_478_C">#REF!</definedName>
    <definedName name="tm1\\_478_R">#REF!</definedName>
    <definedName name="tm1\\_479_C">#REF!</definedName>
    <definedName name="tm1\\_479_R">#REF!</definedName>
    <definedName name="tm1\\_48_C">#REF!</definedName>
    <definedName name="tm1\\_48_H">"{ ""server"" : ""https://b01acidbc002.ahe.pok.ibm.com:9514"", ""cube"" : ""{ \""server\"" : \""loadtgts\"", \""cube\"" : \""loadtgts\""}"", ""CubeCaption"" : ""loadhist""}"</definedName>
    <definedName name="tm1\\_48_H_1">"{ ""server"" : ""https://b01acidbc002.ahe.pok.ibm.com:9514"", ""cube"" : ""{ \""server\"" : \""loadtgts\"", \""cube\"" : \""loadtgts\""}"", ""CubeCaption"" : ""loadhist""}"</definedName>
    <definedName name="tm1\\_48_R">#REF!</definedName>
    <definedName name="tm1\\_480_C">#REF!</definedName>
    <definedName name="tm1\\_480_R">#REF!</definedName>
    <definedName name="tm1\\_481_C">#REF!</definedName>
    <definedName name="tm1\\_481_R">#REF!</definedName>
    <definedName name="tm1\\_482_C">#REF!</definedName>
    <definedName name="tm1\\_482_R">#REF!</definedName>
    <definedName name="tm1\\_483_C">#REF!</definedName>
    <definedName name="tm1\\_483_R">#REF!</definedName>
    <definedName name="tm1\\_484_C">#REF!</definedName>
    <definedName name="tm1\\_484_R">#REF!</definedName>
    <definedName name="tm1\\_485_C">#REF!</definedName>
    <definedName name="tm1\\_485_R">#REF!</definedName>
    <definedName name="tm1\\_486_C">#REF!</definedName>
    <definedName name="tm1\\_486_R">#REF!</definedName>
    <definedName name="tm1\\_487_C">#REF!</definedName>
    <definedName name="tm1\\_487_R">#REF!</definedName>
    <definedName name="tm1\\_488_C">#REF!</definedName>
    <definedName name="tm1\\_488_R">#REF!</definedName>
    <definedName name="tm1\\_489_C">#REF!</definedName>
    <definedName name="tm1\\_489_R">#REF!</definedName>
    <definedName name="tm1\\_49_C">#REF!</definedName>
    <definedName name="tm1\\_49_H">"{ ""server"" : ""https://b01acidbc005.ahe.pok.ibm.com:9514"", ""cube"" : ""{ \""server\"" : \""wwconsol\"", \""cube\"" : \""wwconsol\""}""}"</definedName>
    <definedName name="tm1\\_49_H_1">"{ ""server"" : ""https://b01acidbc002.ahe.pok.ibm.com:9514"", ""cube"" : ""{ \""server\"" : \""loadtgts\"", \""cube\"" : \""loadhist\""}"", ""CubeCaption"" : ""loadhist""}"</definedName>
    <definedName name="tm1\\_49_H_2">"{ ""server"" : ""https://prdpaw01.sl.bluecloud.ibm.com"", ""cube"" : ""{ \""server\"" : \""loadtgts\"", \""cube\"" : \""loadhist\""}"", ""CubeCaption"" : ""loadhist""}"</definedName>
    <definedName name="tm1\\_49_R">#REF!</definedName>
    <definedName name="tm1\\_490_C">#REF!</definedName>
    <definedName name="tm1\\_490_R">#REF!</definedName>
    <definedName name="tm1\\_491_C">#REF!</definedName>
    <definedName name="tm1\\_491_R">#REF!</definedName>
    <definedName name="tm1\\_492_C">#REF!</definedName>
    <definedName name="tm1\\_492_R">#REF!</definedName>
    <definedName name="tm1\\_493_C">#REF!</definedName>
    <definedName name="tm1\\_493_R">#REF!</definedName>
    <definedName name="tm1\\_494_C">#REF!</definedName>
    <definedName name="tm1\\_494_R">#REF!</definedName>
    <definedName name="tm1\\_495_C">#REF!</definedName>
    <definedName name="tm1\\_495_R">#REF!</definedName>
    <definedName name="tm1\\_496_C">#REF!</definedName>
    <definedName name="tm1\\_496_R">#REF!</definedName>
    <definedName name="tm1\\_497_C">#REF!</definedName>
    <definedName name="tm1\\_497_R">#REF!</definedName>
    <definedName name="tm1\\_498_C">#REF!</definedName>
    <definedName name="tm1\\_498_R">#REF!</definedName>
    <definedName name="tm1\\_499_C">#REF!</definedName>
    <definedName name="tm1\\_499_R">#REF!</definedName>
    <definedName name="tm1\\_5_C">'Ship Load Pull'!$E$9:$O$12</definedName>
    <definedName name="tm1\\_5_H">"{ ""server"" : ""https://paprd-wdc1-apexpaw-01.limited-use.ibm.com"", ""cube"" : ""{ \""server\"" : \""loadtgts\"", \""cube\"" : \""loadtgts\""}""}"</definedName>
    <definedName name="tm1\\_5_H_1">"{ ""server"" : ""https://b01acidbc002.ahe.pok.ibm.com:9514"", ""cube"" : ""{ \""server\"" : \""loadtgts\"", \""cube\"" : \""loadtgts\""}"", ""CubeCaption"" : ""loadtgts""}"</definedName>
    <definedName name="tm1\\_5_R">'Ship Load Pull'!$C$13:$D$190</definedName>
    <definedName name="tm1\\_5_S">'Ship Load Pull'!$C$4:$C$8</definedName>
    <definedName name="tm1\\_50_C">#REF!</definedName>
    <definedName name="tm1\\_50_H">"{ ""server"" : ""https://b01acidbc002.ahe.pok.ibm.com:9514"", ""cube"" : ""{ \""server\"" : \""loadtgts\"", \""cube\"" : \""loadtgts\""}"", ""CubeCaption"" : ""loadtgts""}"</definedName>
    <definedName name="tm1\\_50_H_1">"{ ""server"" : ""https://b01acidbc002.ahe.pok.ibm.com:9514"", ""cube"" : ""{ \""server\"" : \""loadtgts\"", \""cube\"" : \""loadtgts\""}""}"</definedName>
    <definedName name="tm1\\_50_H_2">"{ ""server"" : ""https://prdpaw01.sl.bluecloud.ibm.com"", ""cube"" : ""{ \""server\"" : \""loadtgts\"", \""cube\"" : \""loadtgts\""}""}"</definedName>
    <definedName name="tm1\\_50_R">#REF!</definedName>
    <definedName name="tm1\\_500_C">#REF!</definedName>
    <definedName name="tm1\\_500_R">#REF!</definedName>
    <definedName name="tm1\\_501_C">#REF!</definedName>
    <definedName name="tm1\\_501_R">#REF!</definedName>
    <definedName name="tm1\\_502_C">#REF!</definedName>
    <definedName name="tm1\\_502_R">#REF!</definedName>
    <definedName name="tm1\\_503_C">#REF!</definedName>
    <definedName name="tm1\\_503_R">#REF!</definedName>
    <definedName name="tm1\\_504_C">#REF!</definedName>
    <definedName name="tm1\\_504_R">#REF!</definedName>
    <definedName name="tm1\\_505_C">#REF!</definedName>
    <definedName name="tm1\\_505_R">#REF!</definedName>
    <definedName name="tm1\\_506_C">#REF!</definedName>
    <definedName name="tm1\\_506_R">#REF!</definedName>
    <definedName name="tm1\\_507_C">#REF!</definedName>
    <definedName name="tm1\\_507_R">#REF!</definedName>
    <definedName name="tm1\\_508_C">#REF!</definedName>
    <definedName name="tm1\\_508_R">#REF!</definedName>
    <definedName name="tm1\\_509_C">#REF!</definedName>
    <definedName name="tm1\\_509_R">#REF!</definedName>
    <definedName name="tm1\\_51_C">#REF!</definedName>
    <definedName name="tm1\\_51_H">"{ ""server"" : ""https://b01acidbc002.ahe.pok.ibm.com:9514"", ""cube"" : ""{ \""server\"" : \""loadtgts\"", \""cube\"" : \""loadtgts\""}"", ""CubeCaption"" : ""loadtgts""}"</definedName>
    <definedName name="tm1\\_51_H_1">"{ ""server"" : ""https://b01acidbc002.ahe.pok.ibm.com:9514"", ""cube"" : ""{ \""server\"" : \""loadtgts\"", \""cube\"" : \""loadtgts\""}""}"</definedName>
    <definedName name="tm1\\_51_H_2">"{ ""server"" : ""https://prdpaw01.sl.bluecloud.ibm.com"", ""cube"" : ""{ \""server\"" : \""loadtgts\"", \""cube\"" : \""loadtgts\""}""}"</definedName>
    <definedName name="tm1\\_51_R">#REF!</definedName>
    <definedName name="tm1\\_510_C">#REF!</definedName>
    <definedName name="tm1\\_510_R">#REF!</definedName>
    <definedName name="tm1\\_511_C">#REF!</definedName>
    <definedName name="tm1\\_511_R">#REF!</definedName>
    <definedName name="tm1\\_512_C">#REF!</definedName>
    <definedName name="tm1\\_512_R">#REF!</definedName>
    <definedName name="tm1\\_513_C">#REF!</definedName>
    <definedName name="tm1\\_513_R">#REF!</definedName>
    <definedName name="tm1\\_514_C">#REF!</definedName>
    <definedName name="tm1\\_514_R">#REF!</definedName>
    <definedName name="tm1\\_515_C">#REF!</definedName>
    <definedName name="tm1\\_515_R">#REF!</definedName>
    <definedName name="tm1\\_516_C">#REF!</definedName>
    <definedName name="tm1\\_516_R">#REF!</definedName>
    <definedName name="tm1\\_517_C">#REF!</definedName>
    <definedName name="tm1\\_517_R">#REF!</definedName>
    <definedName name="tm1\\_518_C">#REF!</definedName>
    <definedName name="tm1\\_518_R">#REF!</definedName>
    <definedName name="tm1\\_519_C">#REF!</definedName>
    <definedName name="tm1\\_519_R">#REF!</definedName>
    <definedName name="tm1\\_52_C">#REF!</definedName>
    <definedName name="tm1\\_52_H">"{ ""server"" : ""https://b01acidbc002.ahe.pok.ibm.com:9514"", ""cube"" : ""{ \""server\"" : \""loadtgts\"", \""cube\"" : \""loadtgts\""}""}"</definedName>
    <definedName name="tm1\\_52_H_1">"{ ""server"" : ""https://b01acidbc002.ahe.pok.ibm.com:9514"", ""cube"" : ""{ \""server\"" : \""loadtgts\"", \""cube\"" : \""loadtgts\""}""}"</definedName>
    <definedName name="tm1\\_52_H_2">"{ ""server"" : ""https://prdpaw01.sl.bluecloud.ibm.com"", ""cube"" : ""{ \""server\"" : \""loadtgts\"", \""cube\"" : \""loadtgts\""}""}"</definedName>
    <definedName name="tm1\\_52_R">#REF!</definedName>
    <definedName name="tm1\\_520_C">#REF!</definedName>
    <definedName name="tm1\\_520_R">#REF!</definedName>
    <definedName name="tm1\\_521_C">#REF!</definedName>
    <definedName name="tm1\\_521_R">#REF!</definedName>
    <definedName name="tm1\\_522_C">#REF!</definedName>
    <definedName name="tm1\\_522_R">#REF!</definedName>
    <definedName name="tm1\\_523_C">#REF!</definedName>
    <definedName name="tm1\\_523_R">#REF!</definedName>
    <definedName name="tm1\\_524_C">#REF!</definedName>
    <definedName name="tm1\\_524_R">#REF!</definedName>
    <definedName name="tm1\\_525_C">#REF!</definedName>
    <definedName name="tm1\\_525_R">#REF!</definedName>
    <definedName name="tm1\\_526_C">#REF!</definedName>
    <definedName name="tm1\\_526_R">#REF!</definedName>
    <definedName name="tm1\\_527_C">#REF!</definedName>
    <definedName name="tm1\\_527_R">#REF!</definedName>
    <definedName name="tm1\\_528_C">#REF!</definedName>
    <definedName name="tm1\\_528_R">#REF!</definedName>
    <definedName name="tm1\\_529_C">#REF!</definedName>
    <definedName name="tm1\\_529_R">#REF!</definedName>
    <definedName name="tm1\\_53_C">#REF!</definedName>
    <definedName name="tm1\\_53_H">"{ ""server"" : ""https://b01acidbc005.ahe.pok.ibm.com:9514"", ""cube"" : ""{ \""server\"" : \""wwconsol\"", \""cube\"" : \""wwconsol\""}""}"</definedName>
    <definedName name="tm1\\_53_R">#REF!</definedName>
    <definedName name="tm1\\_530_C">#REF!</definedName>
    <definedName name="tm1\\_530_R">#REF!</definedName>
    <definedName name="tm1\\_531_C">#REF!</definedName>
    <definedName name="tm1\\_531_R">#REF!</definedName>
    <definedName name="tm1\\_532_C">#REF!</definedName>
    <definedName name="tm1\\_532_R">#REF!</definedName>
    <definedName name="tm1\\_533_C">#REF!</definedName>
    <definedName name="tm1\\_533_R">#REF!</definedName>
    <definedName name="tm1\\_534_C">#REF!</definedName>
    <definedName name="tm1\\_534_R">#REF!</definedName>
    <definedName name="tm1\\_535_C">#REF!</definedName>
    <definedName name="tm1\\_535_R">#REF!</definedName>
    <definedName name="tm1\\_536_C">#REF!</definedName>
    <definedName name="tm1\\_536_R">#REF!</definedName>
    <definedName name="tm1\\_537_C">#REF!</definedName>
    <definedName name="tm1\\_537_R">#REF!</definedName>
    <definedName name="tm1\\_538_C">#REF!</definedName>
    <definedName name="tm1\\_538_R">#REF!</definedName>
    <definedName name="tm1\\_539_C">#REF!</definedName>
    <definedName name="tm1\\_539_R">#REF!</definedName>
    <definedName name="tm1\\_54_C">#REF!</definedName>
    <definedName name="tm1\\_54_H">"{ ""server"" : ""https://b01acidbc005.ahe.pok.ibm.com:9514"", ""cube"" : ""{ \""server\"" : \""wwconsol\"", \""cube\"" : \""wwconsol\""}""}"</definedName>
    <definedName name="tm1\\_54_H_1">"{ ""server"" : ""https://b01acidbc002.ahe.pok.ibm.com:9514"", ""cube"" : ""{ \""server\"" : \""loadtgts\"", \""cube\"" : \""loadtgts\""}""}"</definedName>
    <definedName name="tm1\\_54_H_2">"{ ""server"" : ""https://prdpaw01.sl.bluecloud.ibm.com"", ""cube"" : ""{ \""server\"" : \""loadtgts\"", \""cube\"" : \""loadtgts\""}""}"</definedName>
    <definedName name="tm1\\_54_R">#REF!</definedName>
    <definedName name="tm1\\_540_C">#REF!</definedName>
    <definedName name="tm1\\_540_R">#REF!</definedName>
    <definedName name="tm1\\_541_C">#REF!</definedName>
    <definedName name="tm1\\_541_R">#REF!</definedName>
    <definedName name="tm1\\_542_C">#REF!</definedName>
    <definedName name="tm1\\_542_R">#REF!</definedName>
    <definedName name="tm1\\_543_C">#REF!</definedName>
    <definedName name="tm1\\_543_R">#REF!</definedName>
    <definedName name="tm1\\_544_C">#REF!</definedName>
    <definedName name="tm1\\_544_R">#REF!</definedName>
    <definedName name="tm1\\_545_C">#REF!</definedName>
    <definedName name="tm1\\_545_R">#REF!</definedName>
    <definedName name="tm1\\_546_C">#REF!</definedName>
    <definedName name="tm1\\_546_R">#REF!</definedName>
    <definedName name="tm1\\_547_C">#REF!</definedName>
    <definedName name="tm1\\_547_R">#REF!</definedName>
    <definedName name="tm1\\_548_C">#REF!</definedName>
    <definedName name="tm1\\_548_R">#REF!</definedName>
    <definedName name="tm1\\_549_C">#REF!</definedName>
    <definedName name="tm1\\_549_R">#REF!</definedName>
    <definedName name="tm1\\_55_C">#REF!</definedName>
    <definedName name="tm1\\_55_H">"{ ""server"" : ""https://b01acidbc002.ahe.pok.ibm.com:9514"", ""cube"" : ""{ \""server\"" : \""loadtgts\"", \""cube\"" : \""loadtgts\""}"", ""CubeCaption"" : ""loadtgts""}"</definedName>
    <definedName name="tm1\\_55_H_1">"{ ""server"" : ""https://b01acidbc002.ahe.pok.ibm.com:9514"", ""cube"" : ""{ \""server\"" : \""loadtgts\"", \""cube\"" : \""tks_tgts\""}"", ""CubeCaption"" : ""tks_tgts""}"</definedName>
    <definedName name="tm1\\_55_R">#REF!</definedName>
    <definedName name="tm1\\_550_C">#REF!</definedName>
    <definedName name="tm1\\_550_R">#REF!</definedName>
    <definedName name="tm1\\_551_C">#REF!</definedName>
    <definedName name="tm1\\_551_R">#REF!</definedName>
    <definedName name="tm1\\_552_C">#REF!</definedName>
    <definedName name="tm1\\_552_R">#REF!</definedName>
    <definedName name="tm1\\_553_C">#REF!</definedName>
    <definedName name="tm1\\_553_R">#REF!</definedName>
    <definedName name="tm1\\_554_C">#REF!</definedName>
    <definedName name="tm1\\_554_R">#REF!</definedName>
    <definedName name="tm1\\_555_C">#REF!</definedName>
    <definedName name="tm1\\_555_R">#REF!</definedName>
    <definedName name="tm1\\_556_C">#REF!</definedName>
    <definedName name="tm1\\_556_R">#REF!</definedName>
    <definedName name="tm1\\_557_C">#REF!</definedName>
    <definedName name="tm1\\_557_R">#REF!</definedName>
    <definedName name="tm1\\_558_C">#REF!</definedName>
    <definedName name="tm1\\_558_R">#REF!</definedName>
    <definedName name="tm1\\_559_C">#REF!</definedName>
    <definedName name="tm1\\_559_R">#REF!</definedName>
    <definedName name="tm1\\_56_C">#REF!</definedName>
    <definedName name="tm1\\_56_H">"{ ""server"" : ""https://b01acidbc005.ahe.pok.ibm.com:9514"", ""cube"" : ""{ \""server\"" : \""wwconsol\"", \""cube\"" : \""wwconsol\""}""}"</definedName>
    <definedName name="tm1\\_56_R">#REF!</definedName>
    <definedName name="tm1\\_560_C">#REF!</definedName>
    <definedName name="tm1\\_560_R">#REF!</definedName>
    <definedName name="tm1\\_561_C">#REF!</definedName>
    <definedName name="tm1\\_561_R">#REF!</definedName>
    <definedName name="tm1\\_562_C">#REF!</definedName>
    <definedName name="tm1\\_562_R">#REF!</definedName>
    <definedName name="tm1\\_563_C">#REF!</definedName>
    <definedName name="tm1\\_563_R">#REF!</definedName>
    <definedName name="tm1\\_564_C">#REF!</definedName>
    <definedName name="tm1\\_564_R">#REF!</definedName>
    <definedName name="tm1\\_565_C">#REF!</definedName>
    <definedName name="tm1\\_565_R">#REF!</definedName>
    <definedName name="tm1\\_566_C">#REF!</definedName>
    <definedName name="tm1\\_566_R">#REF!</definedName>
    <definedName name="tm1\\_567_C">#REF!</definedName>
    <definedName name="tm1\\_567_R">#REF!</definedName>
    <definedName name="tm1\\_568_C">#REF!</definedName>
    <definedName name="tm1\\_568_R">#REF!</definedName>
    <definedName name="tm1\\_569_C">#REF!</definedName>
    <definedName name="tm1\\_569_R">#REF!</definedName>
    <definedName name="tm1\\_57_C">#REF!</definedName>
    <definedName name="tm1\\_57_H">"{ ""server"" : ""https://prdpaw03.sl.bluecloud.ibm.com"", ""cube"" : ""{ \""server\"" : \""wwconsol\"", \""cube\"" : \""wwconsol\""}""}"</definedName>
    <definedName name="tm1\\_57_R">#REF!</definedName>
    <definedName name="tm1\\_57_S">#REF!</definedName>
    <definedName name="tm1\\_570_C">#REF!</definedName>
    <definedName name="tm1\\_570_R">#REF!</definedName>
    <definedName name="tm1\\_571_C">#REF!</definedName>
    <definedName name="tm1\\_571_R">#REF!</definedName>
    <definedName name="tm1\\_572_C">#REF!</definedName>
    <definedName name="tm1\\_572_R">#REF!</definedName>
    <definedName name="tm1\\_573_C">#REF!</definedName>
    <definedName name="tm1\\_573_R">#REF!</definedName>
    <definedName name="tm1\\_574_C">#REF!</definedName>
    <definedName name="tm1\\_574_R">#REF!</definedName>
    <definedName name="tm1\\_575_C">#REF!</definedName>
    <definedName name="tm1\\_575_R">#REF!</definedName>
    <definedName name="tm1\\_576_C">#REF!</definedName>
    <definedName name="tm1\\_576_R">#REF!</definedName>
    <definedName name="tm1\\_577_C">#REF!</definedName>
    <definedName name="tm1\\_577_R">#REF!</definedName>
    <definedName name="tm1\\_578_C">#REF!</definedName>
    <definedName name="tm1\\_578_R">#REF!</definedName>
    <definedName name="tm1\\_579_C">#REF!</definedName>
    <definedName name="tm1\\_579_R">#REF!</definedName>
    <definedName name="tm1\\_58_C">#REF!</definedName>
    <definedName name="tm1\\_58_H">"{ ""server"" : ""https://b01acidbc002.ahe.pok.ibm.com:9514"", ""cube"" : ""{ \""server\"" : \""loadtgts\"", \""cube\"" : \""loadtgts\""}""}"</definedName>
    <definedName name="tm1\\_58_R">#REF!</definedName>
    <definedName name="tm1\\_59_C">#REF!</definedName>
    <definedName name="tm1\\_59_H">"{ ""server"" : ""https://b01acidbc002.ahe.pok.ibm.com:9514"", ""cube"" : ""{ \""server\"" : \""loadtgts\"", \""cube\"" : \""tks_tgts\""}"", ""CubeCaption"" : ""tks_tgts""}"</definedName>
    <definedName name="tm1\\_59_R">#REF!</definedName>
    <definedName name="tm1\\_6_C">'Consol Pull'!$F$8:$AT$12</definedName>
    <definedName name="tm1\\_6_H">"{ ""server"" : ""https://paprd-wdc1-apexpaw-03.limited-use.ibm.com"", ""cube"" : ""{ \""server\"" : \""wwconsol\"", \""cube\"" : \""wwconsol\""}""}"</definedName>
    <definedName name="tm1\\_6_H_1">"{ ""server"" : ""https://b01acidbc002.ahe.pok.ibm.com:9514"", ""cube"" : ""{ \""server\"" : \""loadtgts\"", \""cube\"" : \""loadtgts\""}"", ""CubeCaption"" : ""loadtgts""}"</definedName>
    <definedName name="tm1\\_6_H_2">"{ ""server"" : ""https://prdpaw01.sl.bluecloud.ibm.com"", ""cube"" : ""{ \""server\"" : \""loadtgts\"", \""cube\"" : \""loadtgts\""}"", ""CubeCaption"" : ""loadtgts""}"</definedName>
    <definedName name="tm1\\_6_R">'Consol Pull'!$C$13:$E$183</definedName>
    <definedName name="tm1\\_6_S">'Consol Pull'!$D$3:$D$6</definedName>
    <definedName name="tm1\\_60_C">#REF!</definedName>
    <definedName name="tm1\\_60_H">"{ ""server"" : ""https://b01acidbc002.ahe.pok.ibm.com:9514"", ""cube"" : ""{ \""server\"" : \""loadtgts\"", \""cube\"" : \""loadtgts\""}"", ""CubeCaption"" : ""loadtgts""}"</definedName>
    <definedName name="tm1\\_60_H_1">"{ ""server"" : ""https://b01acidbc002.ahe.pok.ibm.com:9514"", ""cube"" : ""{ \""server\"" : \""loadtgts\"", \""cube\"" : \""loadtgts\""}"", ""CubeCaption"" : ""loadtgts""}"</definedName>
    <definedName name="tm1\\_60_H_2">"{ ""server"" : ""https://prdpaw01.sl.bluecloud.ibm.com"", ""cube"" : ""{ \""server\"" : \""loadtgts\"", \""cube\"" : \""loadtgts\""}"", ""CubeCaption"" : ""loadtgts""}"</definedName>
    <definedName name="tm1\\_60_R">#REF!</definedName>
    <definedName name="tm1\\_60_S">#REF!</definedName>
    <definedName name="tm1\\_61_C">#REF!</definedName>
    <definedName name="tm1\\_61_H">"{ ""server"" : ""https://b01acidbc002.ahe.pok.ibm.com:9514"", ""cube"" : ""{ \""server\"" : \""loadtgts\"", \""cube\"" : \""loadtgts\""}"", ""CubeCaption"" : ""loadtgts""}"</definedName>
    <definedName name="tm1\\_61_R">#REF!</definedName>
    <definedName name="tm1\\_62_C">#REF!</definedName>
    <definedName name="tm1\\_62_H">"{ ""server"" : ""https://b01acidbc005.ahe.pok.ibm.com:9514"", ""cube"" : ""{ \""server\"" : \""wwconsol\"", \""cube\"" : \""wwconsol\""}""}"</definedName>
    <definedName name="tm1\\_62_H_1">"{ ""server"" : ""https://b01acidbc002.ahe.pok.ibm.com:9514"", ""cube"" : ""{ \""server\"" : \""loadtgts\"", \""cube\"" : \""loadtgts\""}"", ""CubeCaption"" : ""loadtgts""}"</definedName>
    <definedName name="tm1\\_62_H_2">"{ ""server"" : ""https://prdpaw01.sl.bluecloud.ibm.com"", ""cube"" : ""{ \""server\"" : \""loadtgts\"", \""cube\"" : \""loadtgts\""}"", ""CubeCaption"" : ""loadtgts""}"</definedName>
    <definedName name="tm1\\_62_R">#REF!</definedName>
    <definedName name="tm1\\_63_C">#REF!</definedName>
    <definedName name="tm1\\_63_H">"{ ""server"" : ""https://b01acidbc005.ahe.pok.ibm.com:9514"", ""cube"" : ""{ \""server\"" : \""wwconsol\"", \""cube\"" : \""wwconsol\""}""}"</definedName>
    <definedName name="tm1\\_63_H_1">"{ ""server"" : ""https://b01acidbc002.ahe.pok.ibm.com:9514"", ""cube"" : ""{ \""server\"" : \""loadtgts\"", \""cube\"" : \""loadtgts\""}"", ""CubeCaption"" : ""loadtgts""}"</definedName>
    <definedName name="tm1\\_63_H_2">"{ ""server"" : ""https://prdpaw01.sl.bluecloud.ibm.com"", ""cube"" : ""{ \""server\"" : \""loadtgts\"", \""cube\"" : \""loadtgts\""}"", ""CubeCaption"" : ""loadtgts""}"</definedName>
    <definedName name="tm1\\_63_R">#REF!</definedName>
    <definedName name="tm1\\_64_C">#REF!</definedName>
    <definedName name="tm1\\_64_H">"{ ""server"" : ""https://b01acidbc002.ahe.pok.ibm.com:9514"", ""cube"" : ""{ \""server\"" : \""loadtgts\"", \""cube\"" : \""tks_tgts\""}"", ""CubeCaption"" : ""tks_tgts""}"</definedName>
    <definedName name="tm1\\_64_R">#REF!</definedName>
    <definedName name="tm1\\_65_C">#REF!</definedName>
    <definedName name="tm1\\_65_H">"{ ""server"" : ""https://b01acidbc002.ahe.pok.ibm.com:9514"", ""cube"" : ""{ \""server\"" : \""loadtgts\"", \""cube\"" : \""loadtgts\""}""}"</definedName>
    <definedName name="tm1\\_65_H_1">"{ ""server"" : ""https://b01acidbc002.ahe.pok.ibm.com:9514"", ""cube"" : ""{ \""server\"" : \""loadtgts\"", \""cube\"" : \""loadtgts\""}""}"</definedName>
    <definedName name="tm1\\_65_H_2">"{ ""server"" : ""https://prdpaw01.sl.bluecloud.ibm.com"", ""cube"" : ""{ \""server\"" : \""loadtgts\"", \""cube\"" : \""loadtgts\""}""}"</definedName>
    <definedName name="tm1\\_65_R">#REF!</definedName>
    <definedName name="tm1\\_66_C">#REF!</definedName>
    <definedName name="tm1\\_66_H">"{ ""server"" : ""https://b01acidbc002.ahe.pok.ibm.com:9514"", ""cube"" : ""{ \""server\"" : \""loadtgts\"", \""cube\"" : \""loadtgts\""}"", ""CubeCaption"" : ""loadtgts""}"</definedName>
    <definedName name="tm1\\_66_H_1">"{ ""server"" : ""https://b01acidbc002.ahe.pok.ibm.com:9514"", ""cube"" : ""{ \""server\"" : \""loadtgts\"", \""cube\"" : \""loadtgts\""}"", ""CubeCaption"" : ""loadtgts""}"</definedName>
    <definedName name="tm1\\_66_H_2">"{ ""server"" : ""https://prdpaw03.sl.bluecloud.ibm.com"", ""cube"" : ""{ \""server\"" : \""wwconsol\"", \""cube\"" : \""wwconsol\""}"", ""CubeCaption"" : ""wwconsol""}"</definedName>
    <definedName name="tm1\\_66_R">#REF!</definedName>
    <definedName name="tm1\\_67_H">"{ ""server"" : ""https://b01acidbc002.ahe.pok.ibm.com:9514"", ""cube"" : ""{ \""server\"" : \""loadtgts\"", \""cube\"" : \""loadtgts\""}"", ""CubeCaption"" : ""loadtgts""}"</definedName>
    <definedName name="tm1\\_68_H">"{ ""server"" : ""https://prdpaw01.sl.bluecloud.ibm.com"", ""cube"" : ""{ \""server\"" : \""loadtgts\"", \""cube\"" : \""tks_tgts\""}""}"</definedName>
    <definedName name="tm1\\_68_H_1">"{ ""server"" : ""https://b01acidbc002.ahe.pok.ibm.com:9514"", ""cube"" : ""{ \""server\"" : \""loadtgts\"", \""cube\"" : \""loadtgts\""}"", ""CubeCaption"" : ""loadtgts""}"</definedName>
    <definedName name="tm1\\_68_H_2">"{ ""server"" : ""https://prdpaw01.sl.bluecloud.ibm.com"", ""cube"" : ""{ \""server\"" : \""loadtgts\"", \""cube\"" : \""loadtgts\""}"", ""CubeCaption"" : ""loadtgts""}"</definedName>
    <definedName name="tm1\\_69_C">#REF!</definedName>
    <definedName name="tm1\\_69_H">"{ ""server"" : ""https://b01acidbc005.ahe.pok.ibm.com:9514"", ""cube"" : ""{ \""server\"" : \""wwconsol\"", \""cube\"" : \""wwconsol\""}"", ""CubeCaption"" : ""wwconsol""}"</definedName>
    <definedName name="tm1\\_69_R">#REF!</definedName>
    <definedName name="tm1\\_7_H_1">"{ ""server"" : ""https://b01acidbc005.ahe.pok.ibm.com:9514"", ""cube"" : ""{ \""server\"" : \""wwconsol\"", \""cube\"" : \""wwconsol\""}""}"</definedName>
    <definedName name="tm1\\_7_H_2">"{ ""server"" : ""https://prdpaw03.sl.bluecloud.ibm.com"", ""cube"" : ""{ \""server\"" : \""wwconsol\"", \""cube\"" : \""wwconsol\""}""}"</definedName>
    <definedName name="tm1\\_70_C">#REF!</definedName>
    <definedName name="tm1\\_70_H">"{ ""server"" : ""https://b01acidbc002.ahe.pok.ibm.com:9514"", ""cube"" : ""{ \""server\"" : \""loadtgts\"", \""cube\"" : \""loadtgts\""}"", ""CubeCaption"" : ""loadtgts""}"</definedName>
    <definedName name="tm1\\_70_H_1">"{ ""server"" : ""https://b01acidbc002.ahe.pok.ibm.com:9514"", ""cube"" : ""{ \""server\"" : \""loadtgts\"", \""cube\"" : \""loadtgts\""}"", ""CubeCaption"" : ""loadtgts""}"</definedName>
    <definedName name="tm1\\_70_H_2">"{ ""server"" : ""https://prdpaw01.sl.bluecloud.ibm.com"", ""cube"" : ""{ \""server\"" : \""loadtgts\"", \""cube\"" : \""loadtgts\""}"", ""CubeCaption"" : ""loadtgts""}"</definedName>
    <definedName name="tm1\\_70_R">#REF!</definedName>
    <definedName name="tm1\\_70_S">#REF!</definedName>
    <definedName name="tm1\\_71_C">#REF!</definedName>
    <definedName name="tm1\\_71_H">"{ ""server"" : ""https://b01acidbc005.ahe.pok.ibm.com:9514"", ""cube"" : ""{ \""server\"" : \""wwconsol\"", \""cube\"" : \""wwconsol\""}""}"</definedName>
    <definedName name="tm1\\_71_R">#REF!</definedName>
    <definedName name="tm1\\_72_C">#REF!</definedName>
    <definedName name="tm1\\_72_H">"{ ""server"" : ""https://b01acidbc005.ahe.pok.ibm.com:9514"", ""cube"" : ""{ \""server\"" : \""wwconsol\"", \""cube\"" : \""wwconsol\""}""}"</definedName>
    <definedName name="tm1\\_72_R">#REF!</definedName>
    <definedName name="tm1\\_73_C">#REF!</definedName>
    <definedName name="tm1\\_73_H">"{ ""server"" : ""https://prdpaw01.sl.bluecloud.ibm.com"", ""cube"" : ""{ \""server\"" : \""loadtgts\"", \""cube\"" : \""loadtgts\""}""}"</definedName>
    <definedName name="tm1\\_73_R">#REF!</definedName>
    <definedName name="tm1\\_74_C">#REF!</definedName>
    <definedName name="tm1\\_74_H">"{ ""server"" : ""https://b01acidbc005.ahe.pok.ibm.com:9514"", ""cube"" : ""{ \""server\"" : \""wwconsol\"", \""cube\"" : \""wwconsol\""}""}"</definedName>
    <definedName name="tm1\\_74_R">#REF!</definedName>
    <definedName name="tm1\\_75_C">#REF!</definedName>
    <definedName name="tm1\\_75_H">"{ ""server"" : ""https://prdpaw03.sl.bluecloud.ibm.com"", ""cube"" : ""{ \""server\"" : \""wwconsol\"", \""cube\"" : \""wwconsol\""}""}"</definedName>
    <definedName name="tm1\\_75_R">#REF!</definedName>
    <definedName name="tm1\\_76_C">#REF!</definedName>
    <definedName name="tm1\\_76_H">"{ ""server"" : ""https://prdpaw01.sl.bluecloud.ibm.com"", ""cube"" : ""{ \""server\"" : \""loadtgts\"", \""cube\"" : \""loadtgts\""}""}"</definedName>
    <definedName name="tm1\\_76_R">#REF!</definedName>
    <definedName name="tm1\\_77_C">#REF!</definedName>
    <definedName name="tm1\\_77_H">"{ ""server"" : ""https://b01acidbc005.ahe.pok.ibm.com:9514"", ""cube"" : ""{ \""server\"" : \""wwconsol\"", \""cube\"" : \""wwconsol\""}""}"</definedName>
    <definedName name="tm1\\_77_R">#REF!</definedName>
    <definedName name="tm1\\_78_C">#REF!</definedName>
    <definedName name="tm1\\_78_H">"{ ""server"" : ""https://prdpaw01.sl.bluecloud.ibm.com"", ""cube"" : ""{ \""server\"" : \""loadtgts\"", \""cube\"" : \""loadtgts\""}""}"</definedName>
    <definedName name="tm1\\_78_R">#REF!</definedName>
    <definedName name="tm1\\_79_C">#REF!</definedName>
    <definedName name="tm1\\_79_H">"{ ""server"" : ""https://prdpaw01.sl.bluecloud.ibm.com"", ""cube"" : ""{ \""server\"" : \""loadtgts\"", \""cube\"" : \""loadtgts\""}""}"</definedName>
    <definedName name="tm1\\_79_R">#REF!</definedName>
    <definedName name="tm1\\_8_C">'Consol Pull'!$F$9:$AT$12</definedName>
    <definedName name="tm1\\_8_H">"{ ""server"" : ""https://paprd-wdc1-apexpaw-03.limited-use.ibm.com"", ""cube"" : ""{ \""server\"" : \""wwconsol\"", \""cube\"" : \""wwconsol\""}""}"</definedName>
    <definedName name="tm1\\_8_H_1">"{ ""server"" : ""https://b01acidbc005.ahe.pok.ibm.com:9514"", ""cube"" : ""{ \""server\"" : \""wwconsol\"", \""cube\"" : \""wwconsol\""}""}"</definedName>
    <definedName name="tm1\\_8_H_2">"{ ""server"" : ""https://prdpaw03.sl.bluecloud.ibm.com"", ""cube"" : ""{ \""server\"" : \""wwconsol\"", \""cube\"" : \""wwconsol\""}""}"</definedName>
    <definedName name="tm1\\_8_R">'Consol Pull'!$C$13:$E$183</definedName>
    <definedName name="tm1\\_8_S">'Consol Pull'!$D$3:$D$7</definedName>
    <definedName name="tm1\\_80_C">#REF!</definedName>
    <definedName name="tm1\\_80_H">"{ ""server"" : ""https://b01acidbc002.ahe.pok.ibm.com:9514"", ""cube"" : ""{ \""server\"" : \""loadtgts\"", \""cube\"" : \""streamload\""}""}"</definedName>
    <definedName name="tm1\\_80_R">#REF!</definedName>
    <definedName name="tm1\\_80_S">#REF!</definedName>
    <definedName name="tm1\\_81_C">#REF!</definedName>
    <definedName name="tm1\\_81_R">#REF!</definedName>
    <definedName name="tm1\\_82_C">#REF!</definedName>
    <definedName name="tm1\\_82_H">"{ ""server"" : ""https://prdpaw01.sl.bluecloud.ibm.com"", ""cube"" : ""{ \""server\"" : \""loadtgts\"", \""cube\"" : \""loadtgts\""}""}"</definedName>
    <definedName name="tm1\\_82_R">#REF!</definedName>
    <definedName name="tm1\\_83_C">#REF!</definedName>
    <definedName name="tm1\\_83_H">"{ ""server"" : ""https://prdpaw01.sl.bluecloud.ibm.com"", ""cube"" : ""{ \""server\"" : \""loadtgts\"", \""cube\"" : \""loadtgts\""}""}"</definedName>
    <definedName name="tm1\\_83_R">#REF!</definedName>
    <definedName name="tm1\\_84_C">#REF!</definedName>
    <definedName name="tm1\\_84_H">"{ ""server"" : ""https://b01acidbc002.ahe.pok.ibm.com:9514"", ""cube"" : ""{ \""server\"" : \""loadtgts\"", \""cube\"" : \""loadtgts\""}"", ""CubeCaption"" : ""loadtgts""}"</definedName>
    <definedName name="tm1\\_84_H_1">"{ ""server"" : ""https://b01acidbc002.ahe.pok.ibm.com:9514"", ""cube"" : ""{ \""server\"" : \""loadtgts\"", \""cube\"" : \""loadtgts\""}"", ""CubeCaption"" : ""loadtgts""}"</definedName>
    <definedName name="tm1\\_84_H_2">"{ ""server"" : ""https://prdpaw01.sl.bluecloud.ibm.com"", ""cube"" : ""{ \""server\"" : \""loadtgts\"", \""cube\"" : \""loadtgts\""}"", ""CubeCaption"" : ""loadtgts""}"</definedName>
    <definedName name="tm1\\_84_R">#REF!</definedName>
    <definedName name="tm1\\_85_C">#REF!</definedName>
    <definedName name="tm1\\_85_H">"{ ""server"" : ""https://prdpaw01.sl.bluecloud.ibm.com"", ""cube"" : ""{ \""server\"" : \""loadtgts\"", \""cube\"" : \""loadtgts\""}""}"</definedName>
    <definedName name="tm1\\_85_R">#REF!</definedName>
    <definedName name="tm1\\_86_C">#REF!</definedName>
    <definedName name="tm1\\_86_H">"{ ""server"" : ""https://b01acidbc002.ahe.pok.ibm.com:9514"", ""cube"" : ""{ \""server\"" : \""loadtgts\"", \""cube\"" : \""loadtgts\""}""}"</definedName>
    <definedName name="tm1\\_86_R">#REF!</definedName>
    <definedName name="tm1\\_87_C">#REF!</definedName>
    <definedName name="tm1\\_87_R">#REF!</definedName>
    <definedName name="tm1\\_88_C">#REF!</definedName>
    <definedName name="tm1\\_88_H">"{ ""server"" : ""https://b01acidbc002.ahe.pok.ibm.com:9514"", ""cube"" : ""{ \""server\"" : \""loadtgts\"", \""cube\"" : \""streamload\""}""}"</definedName>
    <definedName name="tm1\\_88_H_1">"{ ""server"" : ""https://b01acidbc002.ahe.pok.ibm.com:9514"", ""cube"" : ""{ \""server\"" : \""loadtgts\"", \""cube\"" : \""streamload\""}""}"</definedName>
    <definedName name="tm1\\_88_H_2">"{ ""server"" : ""https://prdpaw01.sl.bluecloud.ibm.com"", ""cube"" : ""{ \""server\"" : \""loadtgts\"", \""cube\"" : \""streamload\""}""}"</definedName>
    <definedName name="tm1\\_88_R">#REF!</definedName>
    <definedName name="tm1\\_89_C">#REF!</definedName>
    <definedName name="tm1\\_89_H">"{ ""server"" : ""https://b01acidbc002.ahe.pok.ibm.com:9514"", ""cube"" : ""{ \""server\"" : \""loadtgts\"", \""cube\"" : \""streamload\""}""}"</definedName>
    <definedName name="tm1\\_89_H_1">"{ ""server"" : ""https://b01acidbc002.ahe.pok.ibm.com:9514"", ""cube"" : ""{ \""server\"" : \""loadtgts\"", \""cube\"" : \""streamload\""}""}"</definedName>
    <definedName name="tm1\\_89_H_2">"{ ""server"" : ""https://prdpaw01.sl.bluecloud.ibm.com"", ""cube"" : ""{ \""server\"" : \""loadtgts\"", \""cube\"" : \""streamload\""}""}"</definedName>
    <definedName name="tm1\\_89_R">#REF!</definedName>
    <definedName name="tm1\\_9_C">'RETAIL Load Pull'!$E$9:$O$12</definedName>
    <definedName name="tm1\\_9_H">"{ ""server"" : ""https://paprd-wdc1-apexpaw-01.limited-use.ibm.com"", ""cube"" : ""{ \""server\"" : \""loadtgts\"", \""cube\"" : \""loadtgts\""}""}"</definedName>
    <definedName name="tm1\\_9_H_1">"{ ""server"" : ""https://b01acidbc002.ahe.pok.ibm.com:9514"", ""cube"" : ""{ \""server\"" : \""loadtgts\"", \""cube\"" : \""tks_tgts\""}"", ""CubeCaption"" : ""tks_tgts""}"</definedName>
    <definedName name="tm1\\_9_H_2">"{ ""server"" : ""https://prdpaw01.sl.bluecloud.ibm.com"", ""cube"" : ""{ \""server\"" : \""loadtgts\"", \""cube\"" : \""tks_tgts\""}"", ""CubeCaption"" : ""tks_tgts""}"</definedName>
    <definedName name="tm1\\_9_R">'RETAIL Load Pull'!$C$13:$D$174</definedName>
    <definedName name="tm1\\_9_S">'RETAIL Load Pull'!$C$4:$C$8</definedName>
    <definedName name="tm1\\_90_C">#REF!</definedName>
    <definedName name="tm1\\_90_H">"{ ""server"" : ""https://b01acidbc002.ahe.pok.ibm.com:9514"", ""cube"" : ""{ \""server\"" : \""loadtgts\"", \""cube\"" : \""loadtgts\""}"", ""CubeCaption"" : ""loadtgts""}"</definedName>
    <definedName name="tm1\\_90_H_1">"{ ""server"" : ""https://b01acidbc002.ahe.pok.ibm.com:9514"", ""cube"" : ""{ \""server\"" : \""loadtgts\"", \""cube\"" : \""loadtgts\""}"", ""CubeCaption"" : ""loadtgts""}"</definedName>
    <definedName name="tm1\\_90_H_2">"{ ""server"" : ""https://prdpaw01.sl.bluecloud.ibm.com"", ""cube"" : ""{ \""server\"" : \""loadtgts\"", \""cube\"" : \""loadtgts\""}"", ""CubeCaption"" : ""loadtgts""}"</definedName>
    <definedName name="tm1\\_90_R">#REF!</definedName>
    <definedName name="tm1\\_91_C">#REF!</definedName>
    <definedName name="tm1\\_91_H">"{ ""server"" : ""https://prdpaw01.sl.bluecloud.ibm.com"", ""cube"" : ""{ \""server\"" : \""loadtgts\"", \""cube\"" : \""loadtgts\""}""}"</definedName>
    <definedName name="tm1\\_91_R">#REF!</definedName>
    <definedName name="tm1\\_92_C">#REF!</definedName>
    <definedName name="tm1\\_92_H">"{ ""server"" : ""https://b01acidbc005.ahe.pok.ibm.com:9514"", ""cube"" : ""{ \""server\"" : \""wwconsol\"", \""cube\"" : \""wwconsol\""}"", ""CubeCaption"" : ""wwconsol""}"</definedName>
    <definedName name="tm1\\_92_R">#REF!</definedName>
    <definedName name="tm1\\_93_C">#REF!</definedName>
    <definedName name="tm1\\_93_H">"{ ""server"" : ""https://b01acidbc002.ahe.pok.ibm.com:9514"", ""cube"" : ""{ \""server\"" : \""loadtgts\"", \""cube\"" : \""loadtgts\""}"", ""CubeCaption"" : ""loadtgts""}"</definedName>
    <definedName name="tm1\\_93_H_1">"{ ""server"" : ""https://b01acidbc002.ahe.pok.ibm.com:9514"", ""cube"" : ""{ \""server\"" : \""loadtgts\"", \""cube\"" : \""loadtgts\""}"", ""CubeCaption"" : ""loadtgts""}"</definedName>
    <definedName name="tm1\\_93_H_2">"{ ""server"" : ""https://prdpaw01.sl.bluecloud.ibm.com"", ""cube"" : ""{ \""server\"" : \""loadtgts\"", \""cube\"" : \""loadtgts\""}"", ""CubeCaption"" : ""loadtgts""}"</definedName>
    <definedName name="tm1\\_93_R">#REF!</definedName>
    <definedName name="tm1\\_94_C">#REF!</definedName>
    <definedName name="tm1\\_94_H">"{ ""server"" : ""https://b01acidbc002.ahe.pok.ibm.com:9514"", ""cube"" : ""{ \""server\"" : \""loadtgts\"", \""cube\"" : \""loadtgts\""}""}"</definedName>
    <definedName name="tm1\\_94_H_1">"{ ""server"" : ""https://b01acidbc002.ahe.pok.ibm.com:9514"", ""cube"" : ""{ \""server\"" : \""loadtgts\"", \""cube\"" : \""loadtgts\""}""}"</definedName>
    <definedName name="tm1\\_94_H_2">"{ ""server"" : ""https://prdpaw01.sl.bluecloud.ibm.com"", ""cube"" : ""{ \""server\"" : \""loadtgts\"", \""cube\"" : \""loadtgts\""}""}"</definedName>
    <definedName name="tm1\\_94_R">#REF!</definedName>
    <definedName name="tm1\\_94_S">#REF!</definedName>
    <definedName name="tm1\\_95_C">#REF!</definedName>
    <definedName name="tm1\\_95_H">"{ ""server"" : ""https://b01acidbc002.ahe.pok.ibm.com:9514"", ""cube"" : ""{ \""server\"" : \""loadtgts\"", \""cube\"" : \""loadtgts\""}""}"</definedName>
    <definedName name="tm1\\_95_H_1">"{ ""server"" : ""https://b01acidbc002.ahe.pok.ibm.com:9514"", ""cube"" : ""{ \""server\"" : \""loadtgts\"", \""cube\"" : \""loadtgts\""}""}"</definedName>
    <definedName name="tm1\\_95_H_2">"{ ""server"" : ""https://prdpaw01.sl.bluecloud.ibm.com"", ""cube"" : ""{ \""server\"" : \""loadtgts\"", \""cube\"" : \""loadtgts\""}""}"</definedName>
    <definedName name="tm1\\_95_R">#REF!</definedName>
    <definedName name="tm1\\_96_C">#REF!</definedName>
    <definedName name="tm1\\_96_H">"{ ""server"" : ""https://b01acidbc002.ahe.pok.ibm.com:9514"", ""cube"" : ""{ \""server\"" : \""loadtgts\"", \""cube\"" : \""loadtgts\""}""}"</definedName>
    <definedName name="tm1\\_96_H_1">"{ ""server"" : ""https://b01acidbc002.ahe.pok.ibm.com:9514"", ""cube"" : ""{ \""server\"" : \""loadtgts\"", \""cube\"" : \""loadtgts\""}""}"</definedName>
    <definedName name="tm1\\_96_H_2">"{ ""server"" : ""https://prdpaw01.sl.bluecloud.ibm.com"", ""cube"" : ""{ \""server\"" : \""loadtgts\"", \""cube\"" : \""loadtgts\""}""}"</definedName>
    <definedName name="tm1\\_96_R">#REF!</definedName>
    <definedName name="tm1\\_97_C">#REF!</definedName>
    <definedName name="tm1\\_97_H">"{ ""server"" : ""https://b01acidbc002.ahe.pok.ibm.com:9514"", ""cube"" : ""{ \""server\"" : \""loadtgts\"", \""cube\"" : \""loadtgts\""}""}"</definedName>
    <definedName name="tm1\\_97_H_1">"{ ""server"" : ""https://b01acidbc002.ahe.pok.ibm.com:9514"", ""cube"" : ""{ \""server\"" : \""loadtgts\"", \""cube\"" : \""loadtgts\""}""}"</definedName>
    <definedName name="tm1\\_97_H_2">"{ ""server"" : ""https://prdpaw01.sl.bluecloud.ibm.com"", ""cube"" : ""{ \""server\"" : \""loadtgts\"", \""cube\"" : \""loadtgts\""}""}"</definedName>
    <definedName name="tm1\\_97_R">#REF!</definedName>
    <definedName name="tm1\\_98_C">#REF!</definedName>
    <definedName name="tm1\\_98_H">"{ ""server"" : ""https://b01acidbc002.ahe.pok.ibm.com:9514"", ""cube"" : ""{ \""server\"" : \""loadtgts\"", \""cube\"" : \""loadtgts\""}""}"</definedName>
    <definedName name="tm1\\_98_H_1">"{ ""server"" : ""https://b01acidbc002.ahe.pok.ibm.com:9514"", ""cube"" : ""{ \""server\"" : \""loadtgts\"", \""cube\"" : \""loadtgts\""}""}"</definedName>
    <definedName name="tm1\\_98_H_2">"{ ""server"" : ""https://prdpaw01.sl.bluecloud.ibm.com"", ""cube"" : ""{ \""server\"" : \""loadtgts\"", \""cube\"" : \""loadtgts\""}""}"</definedName>
    <definedName name="tm1\\_98_R">#REF!</definedName>
    <definedName name="tm1\\_99_C">#REF!</definedName>
    <definedName name="tm1\\_99_H">"{ ""server"" : ""https://b01acidbc005.ahe.pok.ibm.com:9514"", ""cube"" : ""{ \""server\"" : \""wwconsol\"", \""cube\"" : \""wwconsol\""}"", ""CubeCaption"" : ""wwconsol""}"</definedName>
    <definedName name="tm1\\_99_H_1">"{ ""server"" : ""https://b01acidbc002.ahe.pok.ibm.com:9514"", ""cube"" : ""{ \""server\"" : \""loadtgts\"", \""cube\"" : \""loadtgts\""}""}"</definedName>
    <definedName name="tm1\\_99_H_2">"{ ""server"" : ""https://prdpaw01.sl.bluecloud.ibm.com"", ""cube"" : ""{ \""server\"" : \""loadtgts\"", \""cube\"" : \""loadtgts\""}""}"</definedName>
    <definedName name="tm1\\_99_R">#REF!</definedName>
    <definedName name="TM1RANGESLICE___HWPlatformsLoadPull___loadtgts___1___CUBE" localSheetId="9">[1]!TM1RangeSlice("loadtgts:HW Platforms Load Pull:1","CUBE",'FIRM Load Pull'!#REF!,,"A1")</definedName>
    <definedName name="TM1RANGESLICE___HWPlatformsLoadPull___loadtgts___1___CUBE" localSheetId="2">[1]!TM1RangeSlice("loadtgts:HW Platforms Load Pull:1","CUBE",graph!#REF!,,"A1")</definedName>
    <definedName name="TM1RANGESLICE___HWPlatformsLoadPull___loadtgts___1___CUBE" localSheetId="11">[1]!TM1RangeSlice("loadtgts:HW Platforms Load Pull:1","CUBE",'RETAIL Load Pull'!#REF!,,"A1")</definedName>
    <definedName name="TM1RANGESLICE___HWPlatformsLoadPull___loadtgts___1___CUBE" localSheetId="10">[1]!TM1RangeSlice("loadtgts:HW Platforms Load Pull:1","CUBE",'Ship Load Pull'!#REF!,,"A1")</definedName>
    <definedName name="TM1RANGESLICE___HWPlatformsLoadPull___loadtgts___1___DATA" localSheetId="9">[1]!TM1RangeSlice("loadtgts:HW Platforms Load Pull:1","DATA",'FIRM Load Pull'!#REF!,,"A1")</definedName>
    <definedName name="TM1RANGESLICE___HWPlatformsLoadPull___loadtgts___1___DATA" localSheetId="2">[1]!TM1RangeSlice("loadtgts:HW Platforms Load Pull:1","DATA",graph!#REF!,,"A1")</definedName>
    <definedName name="TM1RANGESLICE___HWPlatformsLoadPull___loadtgts___1___DATA" localSheetId="11">[1]!TM1RangeSlice("loadtgts:HW Platforms Load Pull:1","DATA",'RETAIL Load Pull'!#REF!,,"A1")</definedName>
    <definedName name="TM1RANGESLICE___HWPlatformsLoadPull___loadtgts___1___DATA" localSheetId="10">[1]!TM1RangeSlice("loadtgts:HW Platforms Load Pull:1","DATA",'Ship Load Pull'!#REF!,,"A1")</definedName>
    <definedName name="TM1RANGESLICE___HWPlatformsLoadPull___loadtgts___1___DIMENSION1" localSheetId="9">[1]!TM1RangeSlice("loadtgts:HW Platforms Load Pull:1","DIMENSION1",'FIRM Load Pull'!#REF!,,,"l_period","COLUMN",3,"",1)</definedName>
    <definedName name="TM1RANGESLICE___HWPlatformsLoadPull___loadtgts___1___DIMENSION1" localSheetId="2">[1]!TM1RangeSlice("loadtgts:HW Platforms Load Pull:1","DIMENSION1",graph!#REF!,,,"l_period","COLUMN",3,"",1)</definedName>
    <definedName name="TM1RANGESLICE___HWPlatformsLoadPull___loadtgts___1___DIMENSION1" localSheetId="11">[1]!TM1RangeSlice("loadtgts:HW Platforms Load Pull:1","DIMENSION1",'RETAIL Load Pull'!#REF!,,,"l_period","COLUMN",3,"",1)</definedName>
    <definedName name="TM1RANGESLICE___HWPlatformsLoadPull___loadtgts___1___DIMENSION1" localSheetId="10">[1]!TM1RangeSlice("loadtgts:HW Platforms Load Pull:1","DIMENSION1",'Ship Load Pull'!#REF!,,,"l_period","COLUMN",3,"",1)</definedName>
    <definedName name="TM1RANGESLICE___HWPlatformsLoadPull___loadtgts___1___DIMENSION10" localSheetId="9">[1]!TM1RangeSlice("loadtgts:HW Platforms Load Pull:1","DIMENSION10",'FIRM Load Pull'!#REF!,,,"m_measures","COLUMN",1,"",1)</definedName>
    <definedName name="TM1RANGESLICE___HWPlatformsLoadPull___loadtgts___1___DIMENSION10" localSheetId="2">[1]!TM1RangeSlice("loadtgts:HW Platforms Load Pull:1","DIMENSION10",graph!#REF!,,,"m_measures","COLUMN",1,"",1)</definedName>
    <definedName name="TM1RANGESLICE___HWPlatformsLoadPull___loadtgts___1___DIMENSION10" localSheetId="11">[1]!TM1RangeSlice("loadtgts:HW Platforms Load Pull:1","DIMENSION10",'RETAIL Load Pull'!#REF!,,,"m_measures","COLUMN",1,"",1)</definedName>
    <definedName name="TM1RANGESLICE___HWPlatformsLoadPull___loadtgts___1___DIMENSION10" localSheetId="10">[1]!TM1RangeSlice("loadtgts:HW Platforms Load Pull:1","DIMENSION10",'Ship Load Pull'!#REF!,,,"m_measures","COLUMN",1,"",1)</definedName>
    <definedName name="TM1RANGESLICE___HWPlatformsLoadPull___loadtgts___1___DIMENSION2" localSheetId="9">[1]!TM1RangeSlice("loadtgts:HW Platforms Load Pull:1","DIMENSION2",'FIRM Load Pull'!#REF!,,,"dollarized_load_inputs","TITLE",1,"",1)</definedName>
    <definedName name="TM1RANGESLICE___HWPlatformsLoadPull___loadtgts___1___DIMENSION2" localSheetId="2">[1]!TM1RangeSlice("loadtgts:HW Platforms Load Pull:1","DIMENSION2",graph!#REF!,,,"dollarized_load_inputs","TITLE",1,"",1)</definedName>
    <definedName name="TM1RANGESLICE___HWPlatformsLoadPull___loadtgts___1___DIMENSION2" localSheetId="11">[1]!TM1RangeSlice("loadtgts:HW Platforms Load Pull:1","DIMENSION2",'RETAIL Load Pull'!#REF!,,,"dollarized_load_inputs","TITLE",1,"",1)</definedName>
    <definedName name="TM1RANGESLICE___HWPlatformsLoadPull___loadtgts___1___DIMENSION2" localSheetId="10">[1]!TM1RangeSlice("loadtgts:HW Platforms Load Pull:1","DIMENSION2",'Ship Load Pull'!#REF!,,,"dollarized_load_inputs","TITLE",1,"",1)</definedName>
    <definedName name="TM1RANGESLICE___HWPlatformsLoadPull___loadtgts___1___DIMENSION3" localSheetId="9">[1]!TM1RangeSlice("loadtgts:HW Platforms Load Pull:1","DIMENSION3",'FIRM Load Pull'!#REF!,,,"channel_type","COLUMN",2,"",1)</definedName>
    <definedName name="TM1RANGESLICE___HWPlatformsLoadPull___loadtgts___1___DIMENSION3" localSheetId="2">[1]!TM1RangeSlice("loadtgts:HW Platforms Load Pull:1","DIMENSION3",graph!#REF!,,,"channel_type","COLUMN",2,"",1)</definedName>
    <definedName name="TM1RANGESLICE___HWPlatformsLoadPull___loadtgts___1___DIMENSION3" localSheetId="11">[1]!TM1RangeSlice("loadtgts:HW Platforms Load Pull:1","DIMENSION3",'RETAIL Load Pull'!#REF!,,,"channel_type","COLUMN",2,"",1)</definedName>
    <definedName name="TM1RANGESLICE___HWPlatformsLoadPull___loadtgts___1___DIMENSION3" localSheetId="10">[1]!TM1RangeSlice("loadtgts:HW Platforms Load Pull:1","DIMENSION3",'Ship Load Pull'!#REF!,,,"channel_type","COLUMN",2,"",1)</definedName>
    <definedName name="TM1RANGESLICE___HWPlatformsLoadPull___loadtgts___1___DIMENSION4" localSheetId="9">[1]!TM1RangeSlice("loadtgts:HW Platforms Load Pull:1","DIMENSION4",'FIRM Load Pull'!#REF!,,,"line_item_codes","TITLE",2,"",1)</definedName>
    <definedName name="TM1RANGESLICE___HWPlatformsLoadPull___loadtgts___1___DIMENSION4" localSheetId="2">[1]!TM1RangeSlice("loadtgts:HW Platforms Load Pull:1","DIMENSION4",graph!#REF!,,,"line_item_codes","TITLE",2,"",1)</definedName>
    <definedName name="TM1RANGESLICE___HWPlatformsLoadPull___loadtgts___1___DIMENSION4" localSheetId="11">[1]!TM1RangeSlice("loadtgts:HW Platforms Load Pull:1","DIMENSION4",'RETAIL Load Pull'!#REF!,,,"line_item_codes","TITLE",2,"",1)</definedName>
    <definedName name="TM1RANGESLICE___HWPlatformsLoadPull___loadtgts___1___DIMENSION4" localSheetId="10">[1]!TM1RangeSlice("loadtgts:HW Platforms Load Pull:1","DIMENSION4",'Ship Load Pull'!#REF!,,,"line_item_codes","TITLE",2,"",1)</definedName>
    <definedName name="TM1RANGESLICE___HWPlatformsLoadPull___loadtgts___1___DIMENSION5" localSheetId="9">[1]!TM1RangeSlice("loadtgts:HW Platforms Load Pull:1","DIMENSION5",'FIRM Load Pull'!#REF!,,,"l_region","ROW",2,"",1)</definedName>
    <definedName name="TM1RANGESLICE___HWPlatformsLoadPull___loadtgts___1___DIMENSION5" localSheetId="2">[1]!TM1RangeSlice("loadtgts:HW Platforms Load Pull:1","DIMENSION5",graph!#REF!,,,"l_region","ROW",2,"",1)</definedName>
    <definedName name="TM1RANGESLICE___HWPlatformsLoadPull___loadtgts___1___DIMENSION5" localSheetId="11">[1]!TM1RangeSlice("loadtgts:HW Platforms Load Pull:1","DIMENSION5",'RETAIL Load Pull'!#REF!,,,"l_region","ROW",2,"",1)</definedName>
    <definedName name="TM1RANGESLICE___HWPlatformsLoadPull___loadtgts___1___DIMENSION5" localSheetId="10">[1]!TM1RangeSlice("loadtgts:HW Platforms Load Pull:1","DIMENSION5",'Ship Load Pull'!#REF!,,,"l_region","ROW",2,"",1)</definedName>
    <definedName name="TM1RANGESLICE___HWPlatformsLoadPull___loadtgts___1___DIMENSION6" localSheetId="9">[1]!TM1RangeSlice("loadtgts:HW Platforms Load Pull:1","DIMENSION6",'FIRM Load Pull'!#REF!,,,"composition","COLUMN",4,"",1)</definedName>
    <definedName name="TM1RANGESLICE___HWPlatformsLoadPull___loadtgts___1___DIMENSION6" localSheetId="2">[1]!TM1RangeSlice("loadtgts:HW Platforms Load Pull:1","DIMENSION6",graph!#REF!,,,"composition","COLUMN",4,"",1)</definedName>
    <definedName name="TM1RANGESLICE___HWPlatformsLoadPull___loadtgts___1___DIMENSION6" localSheetId="11">[1]!TM1RangeSlice("loadtgts:HW Platforms Load Pull:1","DIMENSION6",'RETAIL Load Pull'!#REF!,,,"composition","COLUMN",4,"",1)</definedName>
    <definedName name="TM1RANGESLICE___HWPlatformsLoadPull___loadtgts___1___DIMENSION6" localSheetId="10">[1]!TM1RangeSlice("loadtgts:HW Platforms Load Pull:1","DIMENSION6",'Ship Load Pull'!#REF!,,,"composition","COLUMN",4,"",1)</definedName>
    <definedName name="TM1RANGESLICE___HWPlatformsLoadPull___loadtgts___1___DIMENSION7" localSheetId="9">[1]!TM1RangeSlice("loadtgts:HW Platforms Load Pull:1","DIMENSION7",'FIRM Load Pull'!#REF!,,,"customer_set","TITLE",3,"",1)</definedName>
    <definedName name="TM1RANGESLICE___HWPlatformsLoadPull___loadtgts___1___DIMENSION7" localSheetId="2">[1]!TM1RangeSlice("loadtgts:HW Platforms Load Pull:1","DIMENSION7",graph!#REF!,,,"customer_set","TITLE",3,"",1)</definedName>
    <definedName name="TM1RANGESLICE___HWPlatformsLoadPull___loadtgts___1___DIMENSION7" localSheetId="11">[1]!TM1RangeSlice("loadtgts:HW Platforms Load Pull:1","DIMENSION7",'RETAIL Load Pull'!#REF!,,,"customer_set","TITLE",3,"",1)</definedName>
    <definedName name="TM1RANGESLICE___HWPlatformsLoadPull___loadtgts___1___DIMENSION7" localSheetId="10">[1]!TM1RangeSlice("loadtgts:HW Platforms Load Pull:1","DIMENSION7",'Ship Load Pull'!#REF!,,,"customer_set","TITLE",3,"",1)</definedName>
    <definedName name="TM1RANGESLICE___HWPlatformsLoadPull___loadtgts___1___DIMENSION8" localSheetId="9">[1]!TM1RangeSlice("loadtgts:HW Platforms Load Pull:1","DIMENSION8",'FIRM Load Pull'!#REF!,,,"division","ROW",1,"",1)</definedName>
    <definedName name="TM1RANGESLICE___HWPlatformsLoadPull___loadtgts___1___DIMENSION8" localSheetId="2">[1]!TM1RangeSlice("loadtgts:HW Platforms Load Pull:1","DIMENSION8",graph!#REF!,,,"division","ROW",1,"",1)</definedName>
    <definedName name="TM1RANGESLICE___HWPlatformsLoadPull___loadtgts___1___DIMENSION8" localSheetId="11">[1]!TM1RangeSlice("loadtgts:HW Platforms Load Pull:1","DIMENSION8",'RETAIL Load Pull'!#REF!,,,"division","ROW",1,"",1)</definedName>
    <definedName name="TM1RANGESLICE___HWPlatformsLoadPull___loadtgts___1___DIMENSION8" localSheetId="10">[1]!TM1RangeSlice("loadtgts:HW Platforms Load Pull:1","DIMENSION8",'Ship Load Pull'!#REF!,,,"division","ROW",1,"",1)</definedName>
    <definedName name="TM1RANGESLICE___HWPlatformsLoadPull___loadtgts___1___DIMENSION9" localSheetId="9">[1]!TM1RangeSlice("loadtgts:HW Platforms Load Pull:1","DIMENSION9",'FIRM Load Pull'!#REF!,,,"case","TITLE",4,"",1)</definedName>
    <definedName name="TM1RANGESLICE___HWPlatformsLoadPull___loadtgts___1___DIMENSION9" localSheetId="2">[1]!TM1RangeSlice("loadtgts:HW Platforms Load Pull:1","DIMENSION9",graph!#REF!,,,"case","TITLE",4,"",1)</definedName>
    <definedName name="TM1RANGESLICE___HWPlatformsLoadPull___loadtgts___1___DIMENSION9" localSheetId="11">[1]!TM1RangeSlice("loadtgts:HW Platforms Load Pull:1","DIMENSION9",'RETAIL Load Pull'!#REF!,,,"case","TITLE",4,"",1)</definedName>
    <definedName name="TM1RANGESLICE___HWPlatformsLoadPull___loadtgts___1___DIMENSION9" localSheetId="10">[1]!TM1RangeSlice("loadtgts:HW Platforms Load Pull:1","DIMENSION9",'Ship Load Pull'!#REF!,,,"case","TITLE",4,"",1)</definedName>
    <definedName name="what_the_heck" localSheetId="8">#REF!</definedName>
    <definedName name="what_the_heck" localSheetId="15">#REF!</definedName>
    <definedName name="what_the_heck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2" i="45" l="1"/>
  <c r="Y61" i="45"/>
  <c r="Y60" i="45"/>
  <c r="Y59" i="45"/>
  <c r="Y58" i="45"/>
  <c r="X62" i="45"/>
  <c r="Z62" i="45" s="1"/>
  <c r="L50" i="45"/>
  <c r="I61" i="45"/>
  <c r="I60" i="45"/>
  <c r="I59" i="45"/>
  <c r="I58" i="45"/>
  <c r="I54" i="45"/>
  <c r="I52" i="45"/>
  <c r="I51" i="45"/>
  <c r="I50" i="45"/>
  <c r="H54" i="45"/>
  <c r="H52" i="45"/>
  <c r="H51" i="45"/>
  <c r="H50" i="45"/>
  <c r="E68" i="45"/>
  <c r="E67" i="45"/>
  <c r="E66" i="45"/>
  <c r="E65" i="45"/>
  <c r="D68" i="45"/>
  <c r="D67" i="45"/>
  <c r="D66" i="45"/>
  <c r="D65" i="45"/>
  <c r="E61" i="45"/>
  <c r="E60" i="45"/>
  <c r="E59" i="45"/>
  <c r="E58" i="45"/>
  <c r="D61" i="45"/>
  <c r="AA61" i="45" s="1"/>
  <c r="D60" i="45"/>
  <c r="D59" i="45"/>
  <c r="D58" i="45"/>
  <c r="AA58" i="45" s="1"/>
  <c r="D52" i="45"/>
  <c r="Q15" i="45"/>
  <c r="E13" i="45"/>
  <c r="P10" i="45"/>
  <c r="P9" i="45" s="1"/>
  <c r="D15" i="45"/>
  <c r="AA15" i="45" s="1"/>
  <c r="AB15" i="45" s="1"/>
  <c r="E28" i="45"/>
  <c r="E27" i="45"/>
  <c r="E26" i="45"/>
  <c r="E25" i="45"/>
  <c r="D28" i="45"/>
  <c r="D27" i="45"/>
  <c r="D26" i="45"/>
  <c r="D25" i="45"/>
  <c r="D21" i="45"/>
  <c r="X21" i="45"/>
  <c r="X20" i="45"/>
  <c r="X19" i="45"/>
  <c r="X18" i="45"/>
  <c r="W10" i="45"/>
  <c r="W11" i="45"/>
  <c r="W12" i="45"/>
  <c r="E139" i="49"/>
  <c r="E115" i="49"/>
  <c r="F115" i="49"/>
  <c r="G115" i="49"/>
  <c r="H115" i="49"/>
  <c r="I115" i="49"/>
  <c r="J115" i="49"/>
  <c r="K115" i="49"/>
  <c r="L115" i="49"/>
  <c r="M115" i="49"/>
  <c r="N115" i="49"/>
  <c r="O115" i="49"/>
  <c r="P115" i="49"/>
  <c r="Q115" i="49"/>
  <c r="E116" i="49"/>
  <c r="F116" i="49"/>
  <c r="G116" i="49"/>
  <c r="H116" i="49"/>
  <c r="I116" i="49"/>
  <c r="J116" i="49"/>
  <c r="K116" i="49"/>
  <c r="L116" i="49"/>
  <c r="M116" i="49"/>
  <c r="N116" i="49"/>
  <c r="O116" i="49"/>
  <c r="P116" i="49"/>
  <c r="Q116" i="49"/>
  <c r="E117" i="49"/>
  <c r="F117" i="49"/>
  <c r="G117" i="49"/>
  <c r="H117" i="49"/>
  <c r="I117" i="49"/>
  <c r="J117" i="49"/>
  <c r="K117" i="49"/>
  <c r="L117" i="49"/>
  <c r="M117" i="49"/>
  <c r="N117" i="49"/>
  <c r="O117" i="49"/>
  <c r="P117" i="49"/>
  <c r="Q117" i="49"/>
  <c r="E118" i="49"/>
  <c r="F118" i="49"/>
  <c r="G118" i="49"/>
  <c r="H118" i="49"/>
  <c r="I118" i="49"/>
  <c r="J118" i="49"/>
  <c r="K118" i="49"/>
  <c r="L118" i="49"/>
  <c r="M118" i="49"/>
  <c r="N118" i="49"/>
  <c r="O118" i="49"/>
  <c r="P118" i="49"/>
  <c r="Q118" i="49"/>
  <c r="E119" i="49"/>
  <c r="F119" i="49"/>
  <c r="G119" i="49"/>
  <c r="H119" i="49"/>
  <c r="I119" i="49"/>
  <c r="J119" i="49"/>
  <c r="K119" i="49"/>
  <c r="L119" i="49"/>
  <c r="M119" i="49"/>
  <c r="N119" i="49"/>
  <c r="O119" i="49"/>
  <c r="P119" i="49"/>
  <c r="Q119" i="49"/>
  <c r="E120" i="49"/>
  <c r="F120" i="49"/>
  <c r="G120" i="49"/>
  <c r="H120" i="49"/>
  <c r="I120" i="49"/>
  <c r="J120" i="49"/>
  <c r="K120" i="49"/>
  <c r="L120" i="49"/>
  <c r="M120" i="49"/>
  <c r="N120" i="49"/>
  <c r="O120" i="49"/>
  <c r="P120" i="49"/>
  <c r="Q120" i="49"/>
  <c r="E121" i="49"/>
  <c r="F121" i="49"/>
  <c r="G121" i="49"/>
  <c r="H121" i="49"/>
  <c r="I121" i="49"/>
  <c r="J121" i="49"/>
  <c r="K121" i="49"/>
  <c r="L121" i="49"/>
  <c r="M121" i="49"/>
  <c r="N121" i="49"/>
  <c r="O121" i="49"/>
  <c r="P121" i="49"/>
  <c r="Q121" i="49"/>
  <c r="E122" i="49"/>
  <c r="F122" i="49"/>
  <c r="G122" i="49"/>
  <c r="H122" i="49"/>
  <c r="I122" i="49"/>
  <c r="J122" i="49"/>
  <c r="K122" i="49"/>
  <c r="L122" i="49"/>
  <c r="M122" i="49"/>
  <c r="N122" i="49"/>
  <c r="O122" i="49"/>
  <c r="P122" i="49"/>
  <c r="Q122" i="49"/>
  <c r="E123" i="49"/>
  <c r="F123" i="49"/>
  <c r="G123" i="49"/>
  <c r="H123" i="49"/>
  <c r="I123" i="49"/>
  <c r="J123" i="49"/>
  <c r="K123" i="49"/>
  <c r="L123" i="49"/>
  <c r="M123" i="49"/>
  <c r="N123" i="49"/>
  <c r="O123" i="49"/>
  <c r="P123" i="49"/>
  <c r="Q123" i="49"/>
  <c r="E124" i="49"/>
  <c r="F124" i="49"/>
  <c r="G124" i="49"/>
  <c r="H124" i="49"/>
  <c r="I124" i="49"/>
  <c r="J124" i="49"/>
  <c r="K124" i="49"/>
  <c r="L124" i="49"/>
  <c r="M124" i="49"/>
  <c r="N124" i="49"/>
  <c r="O124" i="49"/>
  <c r="P124" i="49"/>
  <c r="Q124" i="49"/>
  <c r="E125" i="49"/>
  <c r="F125" i="49"/>
  <c r="G125" i="49"/>
  <c r="H125" i="49"/>
  <c r="I125" i="49"/>
  <c r="J125" i="49"/>
  <c r="K125" i="49"/>
  <c r="L125" i="49"/>
  <c r="M125" i="49"/>
  <c r="N125" i="49"/>
  <c r="O125" i="49"/>
  <c r="P125" i="49"/>
  <c r="Q125" i="49"/>
  <c r="E126" i="49"/>
  <c r="F126" i="49"/>
  <c r="G126" i="49"/>
  <c r="H126" i="49"/>
  <c r="I126" i="49"/>
  <c r="J126" i="49"/>
  <c r="K126" i="49"/>
  <c r="L126" i="49"/>
  <c r="M126" i="49"/>
  <c r="N126" i="49"/>
  <c r="O126" i="49"/>
  <c r="P126" i="49"/>
  <c r="Q126" i="49"/>
  <c r="E127" i="49"/>
  <c r="F127" i="49"/>
  <c r="G127" i="49"/>
  <c r="H127" i="49"/>
  <c r="I127" i="49"/>
  <c r="J127" i="49"/>
  <c r="K127" i="49"/>
  <c r="L127" i="49"/>
  <c r="M127" i="49"/>
  <c r="N127" i="49"/>
  <c r="O127" i="49"/>
  <c r="P127" i="49"/>
  <c r="Q127" i="49"/>
  <c r="E128" i="49"/>
  <c r="F128" i="49"/>
  <c r="G128" i="49"/>
  <c r="H128" i="49"/>
  <c r="I128" i="49"/>
  <c r="J128" i="49"/>
  <c r="K128" i="49"/>
  <c r="L128" i="49"/>
  <c r="M128" i="49"/>
  <c r="N128" i="49"/>
  <c r="O128" i="49"/>
  <c r="P128" i="49"/>
  <c r="Q128" i="49"/>
  <c r="E129" i="49"/>
  <c r="F129" i="49"/>
  <c r="G129" i="49"/>
  <c r="H129" i="49"/>
  <c r="I129" i="49"/>
  <c r="J129" i="49"/>
  <c r="K129" i="49"/>
  <c r="L129" i="49"/>
  <c r="M129" i="49"/>
  <c r="N129" i="49"/>
  <c r="O129" i="49"/>
  <c r="P129" i="49"/>
  <c r="Q129" i="49"/>
  <c r="E130" i="49"/>
  <c r="F130" i="49"/>
  <c r="G130" i="49"/>
  <c r="H130" i="49"/>
  <c r="I130" i="49"/>
  <c r="J130" i="49"/>
  <c r="K130" i="49"/>
  <c r="L130" i="49"/>
  <c r="M130" i="49"/>
  <c r="N130" i="49"/>
  <c r="O130" i="49"/>
  <c r="P130" i="49"/>
  <c r="Q130" i="49"/>
  <c r="E131" i="49"/>
  <c r="F131" i="49"/>
  <c r="G131" i="49"/>
  <c r="H131" i="49"/>
  <c r="I131" i="49"/>
  <c r="J131" i="49"/>
  <c r="K131" i="49"/>
  <c r="L131" i="49"/>
  <c r="M131" i="49"/>
  <c r="N131" i="49"/>
  <c r="O131" i="49"/>
  <c r="P131" i="49"/>
  <c r="Q131" i="49"/>
  <c r="E132" i="49"/>
  <c r="F132" i="49"/>
  <c r="G132" i="49"/>
  <c r="H132" i="49"/>
  <c r="I132" i="49"/>
  <c r="J132" i="49"/>
  <c r="K132" i="49"/>
  <c r="L132" i="49"/>
  <c r="M132" i="49"/>
  <c r="N132" i="49"/>
  <c r="O132" i="49"/>
  <c r="P132" i="49"/>
  <c r="Q132" i="49"/>
  <c r="E133" i="49"/>
  <c r="F133" i="49"/>
  <c r="G133" i="49"/>
  <c r="H133" i="49"/>
  <c r="X60" i="45" s="1"/>
  <c r="I133" i="49"/>
  <c r="J133" i="49"/>
  <c r="K133" i="49"/>
  <c r="L133" i="49"/>
  <c r="M133" i="49"/>
  <c r="N133" i="49"/>
  <c r="O133" i="49"/>
  <c r="P133" i="49"/>
  <c r="Q133" i="49"/>
  <c r="E134" i="49"/>
  <c r="F134" i="49"/>
  <c r="G134" i="49"/>
  <c r="H134" i="49"/>
  <c r="I134" i="49"/>
  <c r="J134" i="49"/>
  <c r="K134" i="49"/>
  <c r="L134" i="49"/>
  <c r="M134" i="49"/>
  <c r="N134" i="49"/>
  <c r="O134" i="49"/>
  <c r="P134" i="49"/>
  <c r="Q134" i="49"/>
  <c r="E135" i="49"/>
  <c r="F135" i="49"/>
  <c r="G135" i="49"/>
  <c r="H135" i="49"/>
  <c r="I135" i="49"/>
  <c r="J135" i="49"/>
  <c r="K135" i="49"/>
  <c r="L135" i="49"/>
  <c r="M135" i="49"/>
  <c r="N135" i="49"/>
  <c r="O135" i="49"/>
  <c r="P135" i="49"/>
  <c r="Q135" i="49"/>
  <c r="E136" i="49"/>
  <c r="F136" i="49"/>
  <c r="G136" i="49"/>
  <c r="H136" i="49"/>
  <c r="I136" i="49"/>
  <c r="J136" i="49"/>
  <c r="K136" i="49"/>
  <c r="L136" i="49"/>
  <c r="M136" i="49"/>
  <c r="N136" i="49"/>
  <c r="O136" i="49"/>
  <c r="P136" i="49"/>
  <c r="Q136" i="49"/>
  <c r="E137" i="49"/>
  <c r="F137" i="49"/>
  <c r="G137" i="49"/>
  <c r="H137" i="49"/>
  <c r="I137" i="49"/>
  <c r="J137" i="49"/>
  <c r="K137" i="49"/>
  <c r="L137" i="49"/>
  <c r="M137" i="49"/>
  <c r="N137" i="49"/>
  <c r="O137" i="49"/>
  <c r="P137" i="49"/>
  <c r="Q137" i="49"/>
  <c r="E138" i="49"/>
  <c r="F138" i="49"/>
  <c r="G138" i="49"/>
  <c r="H138" i="49"/>
  <c r="I138" i="49"/>
  <c r="J138" i="49"/>
  <c r="K138" i="49"/>
  <c r="L138" i="49"/>
  <c r="M138" i="49"/>
  <c r="N138" i="49"/>
  <c r="O138" i="49"/>
  <c r="P138" i="49"/>
  <c r="Q138" i="49"/>
  <c r="F139" i="49"/>
  <c r="G139" i="49"/>
  <c r="H139" i="49"/>
  <c r="I139" i="49"/>
  <c r="J139" i="49"/>
  <c r="K139" i="49"/>
  <c r="L139" i="49"/>
  <c r="M139" i="49"/>
  <c r="N139" i="49"/>
  <c r="O139" i="49"/>
  <c r="P139" i="49"/>
  <c r="Q139" i="49"/>
  <c r="E140" i="49"/>
  <c r="F140" i="49"/>
  <c r="G140" i="49"/>
  <c r="H140" i="49"/>
  <c r="I140" i="49"/>
  <c r="J140" i="49"/>
  <c r="K140" i="49"/>
  <c r="L140" i="49"/>
  <c r="M140" i="49"/>
  <c r="N140" i="49"/>
  <c r="O140" i="49"/>
  <c r="P140" i="49"/>
  <c r="Q140" i="49"/>
  <c r="E114" i="49"/>
  <c r="F114" i="49"/>
  <c r="G114" i="49"/>
  <c r="H114" i="49"/>
  <c r="I114" i="49"/>
  <c r="J114" i="49"/>
  <c r="K114" i="49"/>
  <c r="L114" i="49"/>
  <c r="M114" i="49"/>
  <c r="N114" i="49"/>
  <c r="O114" i="49"/>
  <c r="P114" i="49"/>
  <c r="Q114" i="49"/>
  <c r="X52" i="45"/>
  <c r="X12" i="45"/>
  <c r="X22" i="45" s="1"/>
  <c r="H111" i="49"/>
  <c r="X11" i="45"/>
  <c r="F111" i="49"/>
  <c r="P61" i="45"/>
  <c r="P60" i="45"/>
  <c r="P59" i="45"/>
  <c r="P58" i="45"/>
  <c r="P54" i="45"/>
  <c r="R54" i="45" s="1"/>
  <c r="P52" i="45"/>
  <c r="P51" i="45"/>
  <c r="P50" i="45"/>
  <c r="D50" i="45"/>
  <c r="E55" i="45"/>
  <c r="E54" i="45"/>
  <c r="E53" i="45"/>
  <c r="E62" i="45" s="1"/>
  <c r="E52" i="45"/>
  <c r="E51" i="45"/>
  <c r="E50" i="45"/>
  <c r="D55" i="45"/>
  <c r="D54" i="45"/>
  <c r="D62" i="45" s="1"/>
  <c r="D53" i="45"/>
  <c r="D64" i="45" s="1"/>
  <c r="D51" i="45"/>
  <c r="P21" i="45"/>
  <c r="P20" i="45"/>
  <c r="P19" i="45"/>
  <c r="P18" i="45"/>
  <c r="E21" i="45"/>
  <c r="E20" i="45"/>
  <c r="E19" i="45"/>
  <c r="E18" i="45"/>
  <c r="E15" i="45"/>
  <c r="E14" i="45"/>
  <c r="E22" i="45" s="1"/>
  <c r="E12" i="45"/>
  <c r="E11" i="45"/>
  <c r="E10" i="45"/>
  <c r="D20" i="45"/>
  <c r="D19" i="45"/>
  <c r="D18" i="45"/>
  <c r="D14" i="45"/>
  <c r="D22" i="45" s="1"/>
  <c r="P11" i="45"/>
  <c r="P12" i="45"/>
  <c r="P13" i="45"/>
  <c r="P14" i="45"/>
  <c r="D11" i="45"/>
  <c r="D12" i="45"/>
  <c r="D13" i="45"/>
  <c r="D10" i="45"/>
  <c r="AC104" i="43"/>
  <c r="AD104" i="43"/>
  <c r="AE104" i="43"/>
  <c r="AF104" i="43"/>
  <c r="P15" i="43"/>
  <c r="Q15" i="43"/>
  <c r="P16" i="43"/>
  <c r="Q16" i="43"/>
  <c r="P17" i="43"/>
  <c r="Q17" i="43"/>
  <c r="P18" i="43"/>
  <c r="Q18" i="43"/>
  <c r="P19" i="43"/>
  <c r="Q19" i="43"/>
  <c r="P20" i="43"/>
  <c r="Q20" i="43"/>
  <c r="P21" i="43"/>
  <c r="Q21" i="43"/>
  <c r="P22" i="43"/>
  <c r="Q22" i="43"/>
  <c r="P23" i="43"/>
  <c r="Q23" i="43"/>
  <c r="P24" i="43"/>
  <c r="Q24" i="43"/>
  <c r="P25" i="43"/>
  <c r="Q25" i="43"/>
  <c r="P26" i="43"/>
  <c r="Q26" i="43"/>
  <c r="P27" i="43"/>
  <c r="Q27" i="43"/>
  <c r="P28" i="43"/>
  <c r="Q28" i="43"/>
  <c r="P29" i="43"/>
  <c r="Q29" i="43"/>
  <c r="P30" i="43"/>
  <c r="Q30" i="43"/>
  <c r="P31" i="43"/>
  <c r="Q31" i="43"/>
  <c r="P32" i="43"/>
  <c r="Q32" i="43"/>
  <c r="P33" i="43"/>
  <c r="Q33" i="43"/>
  <c r="P34" i="43"/>
  <c r="Q34" i="43"/>
  <c r="O35" i="43"/>
  <c r="P35" i="43"/>
  <c r="Q35" i="43"/>
  <c r="P36" i="43"/>
  <c r="Q36" i="43"/>
  <c r="P37" i="43"/>
  <c r="Q37" i="43"/>
  <c r="P38" i="43"/>
  <c r="Q38" i="43"/>
  <c r="P39" i="43"/>
  <c r="Q39" i="43"/>
  <c r="P40" i="43"/>
  <c r="Q40" i="43"/>
  <c r="P41" i="43"/>
  <c r="Q41" i="43"/>
  <c r="P42" i="43"/>
  <c r="Q42" i="43"/>
  <c r="P43" i="43"/>
  <c r="Q43" i="43"/>
  <c r="P44" i="43"/>
  <c r="Q44" i="43"/>
  <c r="P45" i="43"/>
  <c r="Q45" i="43"/>
  <c r="P46" i="43"/>
  <c r="Q46" i="43"/>
  <c r="P47" i="43"/>
  <c r="Q47" i="43"/>
  <c r="P48" i="43"/>
  <c r="Q48" i="43"/>
  <c r="P49" i="43"/>
  <c r="Q49" i="43"/>
  <c r="P50" i="43"/>
  <c r="Q50" i="43"/>
  <c r="P51" i="43"/>
  <c r="Q51" i="43"/>
  <c r="P52" i="43"/>
  <c r="Q52" i="43"/>
  <c r="P53" i="43"/>
  <c r="Q53" i="43"/>
  <c r="P54" i="43"/>
  <c r="Q54" i="43"/>
  <c r="P55" i="43"/>
  <c r="Q55" i="43"/>
  <c r="P56" i="43"/>
  <c r="Q56" i="43"/>
  <c r="P57" i="43"/>
  <c r="Q57" i="43"/>
  <c r="P58" i="43"/>
  <c r="Q58" i="43"/>
  <c r="P59" i="43"/>
  <c r="Q59" i="43"/>
  <c r="P60" i="43"/>
  <c r="Q60" i="43"/>
  <c r="P61" i="43"/>
  <c r="Q61" i="43"/>
  <c r="P62" i="43"/>
  <c r="Q62" i="43"/>
  <c r="P63" i="43"/>
  <c r="Q63" i="43"/>
  <c r="P64" i="43"/>
  <c r="Q64" i="43"/>
  <c r="P65" i="43"/>
  <c r="Q65" i="43"/>
  <c r="P66" i="43"/>
  <c r="Q66" i="43"/>
  <c r="O67" i="43"/>
  <c r="P67" i="43"/>
  <c r="Q67" i="43"/>
  <c r="P68" i="43"/>
  <c r="Q68" i="43"/>
  <c r="P69" i="43"/>
  <c r="Q69" i="43"/>
  <c r="P70" i="43"/>
  <c r="Q70" i="43"/>
  <c r="P71" i="43"/>
  <c r="Q71" i="43"/>
  <c r="P72" i="43"/>
  <c r="Q72" i="43"/>
  <c r="P73" i="43"/>
  <c r="Q73" i="43"/>
  <c r="P74" i="43"/>
  <c r="Q74" i="43"/>
  <c r="P75" i="43"/>
  <c r="Q75" i="43"/>
  <c r="P76" i="43"/>
  <c r="Q76" i="43"/>
  <c r="P77" i="43"/>
  <c r="Q77" i="43"/>
  <c r="P78" i="43"/>
  <c r="Q78" i="43"/>
  <c r="P79" i="43"/>
  <c r="Q79" i="43"/>
  <c r="P80" i="43"/>
  <c r="Q80" i="43"/>
  <c r="P81" i="43"/>
  <c r="Q81" i="43"/>
  <c r="P82" i="43"/>
  <c r="Q82" i="43"/>
  <c r="P83" i="43"/>
  <c r="Q83" i="43"/>
  <c r="P84" i="43"/>
  <c r="Q84" i="43"/>
  <c r="P85" i="43"/>
  <c r="Q85" i="43"/>
  <c r="P86" i="43"/>
  <c r="Q86" i="43"/>
  <c r="P87" i="43"/>
  <c r="Q87" i="43"/>
  <c r="P88" i="43"/>
  <c r="Q88" i="43"/>
  <c r="P89" i="43"/>
  <c r="Q89" i="43"/>
  <c r="P90" i="43"/>
  <c r="Q90" i="43"/>
  <c r="P91" i="43"/>
  <c r="Q91" i="43"/>
  <c r="P92" i="43"/>
  <c r="Q92" i="43"/>
  <c r="P93" i="43"/>
  <c r="Q93" i="43"/>
  <c r="P94" i="43"/>
  <c r="Q94" i="43"/>
  <c r="P95" i="43"/>
  <c r="Q95" i="43"/>
  <c r="P96" i="43"/>
  <c r="Q96" i="43"/>
  <c r="P97" i="43"/>
  <c r="Q97" i="43"/>
  <c r="P98" i="43"/>
  <c r="Q98" i="43"/>
  <c r="O99" i="43"/>
  <c r="P99" i="43"/>
  <c r="Q99" i="43"/>
  <c r="P100" i="43"/>
  <c r="Q100" i="43"/>
  <c r="P101" i="43"/>
  <c r="Q101" i="43"/>
  <c r="P102" i="43"/>
  <c r="Q102" i="43"/>
  <c r="P103" i="43"/>
  <c r="Q103" i="43"/>
  <c r="P104" i="43"/>
  <c r="Q104" i="43"/>
  <c r="N14" i="43"/>
  <c r="N15" i="43"/>
  <c r="O15" i="43" s="1"/>
  <c r="N16" i="43"/>
  <c r="O16" i="43" s="1"/>
  <c r="N17" i="43"/>
  <c r="O17" i="43" s="1"/>
  <c r="N18" i="43"/>
  <c r="O18" i="43" s="1"/>
  <c r="N19" i="43"/>
  <c r="O19" i="43" s="1"/>
  <c r="N20" i="43"/>
  <c r="O20" i="43" s="1"/>
  <c r="N21" i="43"/>
  <c r="O21" i="43" s="1"/>
  <c r="N22" i="43"/>
  <c r="O22" i="43" s="1"/>
  <c r="N23" i="43"/>
  <c r="O23" i="43" s="1"/>
  <c r="N24" i="43"/>
  <c r="O24" i="43" s="1"/>
  <c r="N25" i="43"/>
  <c r="O25" i="43" s="1"/>
  <c r="N26" i="43"/>
  <c r="O26" i="43" s="1"/>
  <c r="N27" i="43"/>
  <c r="O27" i="43" s="1"/>
  <c r="N28" i="43"/>
  <c r="O28" i="43" s="1"/>
  <c r="N29" i="43"/>
  <c r="O29" i="43" s="1"/>
  <c r="N30" i="43"/>
  <c r="O30" i="43" s="1"/>
  <c r="N31" i="43"/>
  <c r="O31" i="43" s="1"/>
  <c r="N32" i="43"/>
  <c r="O32" i="43" s="1"/>
  <c r="N33" i="43"/>
  <c r="O33" i="43" s="1"/>
  <c r="N34" i="43"/>
  <c r="O34" i="43" s="1"/>
  <c r="N35" i="43"/>
  <c r="N36" i="43"/>
  <c r="O36" i="43" s="1"/>
  <c r="N37" i="43"/>
  <c r="O37" i="43" s="1"/>
  <c r="N38" i="43"/>
  <c r="O38" i="43" s="1"/>
  <c r="N39" i="43"/>
  <c r="O39" i="43" s="1"/>
  <c r="N40" i="43"/>
  <c r="O40" i="43" s="1"/>
  <c r="N41" i="43"/>
  <c r="O41" i="43" s="1"/>
  <c r="N42" i="43"/>
  <c r="O42" i="43" s="1"/>
  <c r="N43" i="43"/>
  <c r="O43" i="43" s="1"/>
  <c r="N44" i="43"/>
  <c r="O44" i="43" s="1"/>
  <c r="N45" i="43"/>
  <c r="O45" i="43" s="1"/>
  <c r="N46" i="43"/>
  <c r="O46" i="43" s="1"/>
  <c r="N47" i="43"/>
  <c r="O47" i="43" s="1"/>
  <c r="N48" i="43"/>
  <c r="O48" i="43" s="1"/>
  <c r="N49" i="43"/>
  <c r="O49" i="43" s="1"/>
  <c r="N50" i="43"/>
  <c r="O50" i="43" s="1"/>
  <c r="N51" i="43"/>
  <c r="O51" i="43" s="1"/>
  <c r="N52" i="43"/>
  <c r="O52" i="43" s="1"/>
  <c r="N53" i="43"/>
  <c r="O53" i="43" s="1"/>
  <c r="N54" i="43"/>
  <c r="O54" i="43" s="1"/>
  <c r="N55" i="43"/>
  <c r="O55" i="43" s="1"/>
  <c r="N56" i="43"/>
  <c r="O56" i="43" s="1"/>
  <c r="N57" i="43"/>
  <c r="O57" i="43" s="1"/>
  <c r="N58" i="43"/>
  <c r="O58" i="43" s="1"/>
  <c r="N59" i="43"/>
  <c r="O59" i="43" s="1"/>
  <c r="N60" i="43"/>
  <c r="O60" i="43" s="1"/>
  <c r="N61" i="43"/>
  <c r="O61" i="43" s="1"/>
  <c r="N62" i="43"/>
  <c r="O62" i="43" s="1"/>
  <c r="N63" i="43"/>
  <c r="O63" i="43" s="1"/>
  <c r="N64" i="43"/>
  <c r="O64" i="43" s="1"/>
  <c r="N65" i="43"/>
  <c r="O65" i="43" s="1"/>
  <c r="N66" i="43"/>
  <c r="O66" i="43" s="1"/>
  <c r="N67" i="43"/>
  <c r="N68" i="43"/>
  <c r="O68" i="43" s="1"/>
  <c r="N69" i="43"/>
  <c r="O69" i="43" s="1"/>
  <c r="N70" i="43"/>
  <c r="O70" i="43" s="1"/>
  <c r="N71" i="43"/>
  <c r="O71" i="43" s="1"/>
  <c r="N72" i="43"/>
  <c r="O72" i="43" s="1"/>
  <c r="N73" i="43"/>
  <c r="O73" i="43" s="1"/>
  <c r="N74" i="43"/>
  <c r="O74" i="43" s="1"/>
  <c r="N75" i="43"/>
  <c r="O75" i="43" s="1"/>
  <c r="N76" i="43"/>
  <c r="O76" i="43" s="1"/>
  <c r="N77" i="43"/>
  <c r="O77" i="43" s="1"/>
  <c r="N78" i="43"/>
  <c r="O78" i="43" s="1"/>
  <c r="N79" i="43"/>
  <c r="O79" i="43" s="1"/>
  <c r="N80" i="43"/>
  <c r="O80" i="43" s="1"/>
  <c r="N81" i="43"/>
  <c r="O81" i="43" s="1"/>
  <c r="N82" i="43"/>
  <c r="O82" i="43" s="1"/>
  <c r="N83" i="43"/>
  <c r="O83" i="43" s="1"/>
  <c r="N84" i="43"/>
  <c r="O84" i="43" s="1"/>
  <c r="N85" i="43"/>
  <c r="O85" i="43" s="1"/>
  <c r="N86" i="43"/>
  <c r="O86" i="43" s="1"/>
  <c r="N87" i="43"/>
  <c r="O87" i="43" s="1"/>
  <c r="N88" i="43"/>
  <c r="O88" i="43" s="1"/>
  <c r="N89" i="43"/>
  <c r="O89" i="43" s="1"/>
  <c r="N90" i="43"/>
  <c r="O90" i="43" s="1"/>
  <c r="N91" i="43"/>
  <c r="O91" i="43" s="1"/>
  <c r="N92" i="43"/>
  <c r="O92" i="43" s="1"/>
  <c r="N93" i="43"/>
  <c r="O93" i="43" s="1"/>
  <c r="N94" i="43"/>
  <c r="O94" i="43" s="1"/>
  <c r="N95" i="43"/>
  <c r="O95" i="43" s="1"/>
  <c r="N96" i="43"/>
  <c r="O96" i="43" s="1"/>
  <c r="N97" i="43"/>
  <c r="O97" i="43" s="1"/>
  <c r="N98" i="43"/>
  <c r="O98" i="43" s="1"/>
  <c r="N99" i="43"/>
  <c r="N100" i="43"/>
  <c r="O100" i="43" s="1"/>
  <c r="N101" i="43"/>
  <c r="O101" i="43" s="1"/>
  <c r="N102" i="43"/>
  <c r="O102" i="43" s="1"/>
  <c r="N103" i="43"/>
  <c r="O103" i="43" s="1"/>
  <c r="N104" i="43"/>
  <c r="O104" i="43" s="1"/>
  <c r="L14" i="43"/>
  <c r="M14" i="43"/>
  <c r="L15" i="43"/>
  <c r="M15" i="43"/>
  <c r="L16" i="43"/>
  <c r="M16" i="43"/>
  <c r="L17" i="43"/>
  <c r="M17" i="43"/>
  <c r="L18" i="43"/>
  <c r="M18" i="43"/>
  <c r="L19" i="43"/>
  <c r="M19" i="43"/>
  <c r="L20" i="43"/>
  <c r="M20" i="43"/>
  <c r="L21" i="43"/>
  <c r="M21" i="43"/>
  <c r="L22" i="43"/>
  <c r="M22" i="43"/>
  <c r="L23" i="43"/>
  <c r="M23" i="43"/>
  <c r="L24" i="43"/>
  <c r="M24" i="43"/>
  <c r="L25" i="43"/>
  <c r="M25" i="43"/>
  <c r="L26" i="43"/>
  <c r="M26" i="43"/>
  <c r="L27" i="43"/>
  <c r="M27" i="43"/>
  <c r="L28" i="43"/>
  <c r="M28" i="43"/>
  <c r="L29" i="43"/>
  <c r="M29" i="43"/>
  <c r="L30" i="43"/>
  <c r="M30" i="43"/>
  <c r="L31" i="43"/>
  <c r="M31" i="43"/>
  <c r="L32" i="43"/>
  <c r="M32" i="43"/>
  <c r="L33" i="43"/>
  <c r="M33" i="43"/>
  <c r="L34" i="43"/>
  <c r="M34" i="43"/>
  <c r="L35" i="43"/>
  <c r="M35" i="43"/>
  <c r="L36" i="43"/>
  <c r="M36" i="43"/>
  <c r="L37" i="43"/>
  <c r="M37" i="43"/>
  <c r="L38" i="43"/>
  <c r="M38" i="43"/>
  <c r="L39" i="43"/>
  <c r="M39" i="43"/>
  <c r="L40" i="43"/>
  <c r="M40" i="43"/>
  <c r="L41" i="43"/>
  <c r="M41" i="43"/>
  <c r="L42" i="43"/>
  <c r="M42" i="43"/>
  <c r="L43" i="43"/>
  <c r="M43" i="43"/>
  <c r="L44" i="43"/>
  <c r="M44" i="43"/>
  <c r="L45" i="43"/>
  <c r="M45" i="43"/>
  <c r="L46" i="43"/>
  <c r="M46" i="43"/>
  <c r="L47" i="43"/>
  <c r="M47" i="43"/>
  <c r="L48" i="43"/>
  <c r="M48" i="43"/>
  <c r="L49" i="43"/>
  <c r="M49" i="43"/>
  <c r="L50" i="43"/>
  <c r="M50" i="43"/>
  <c r="L51" i="43"/>
  <c r="M51" i="43"/>
  <c r="L52" i="43"/>
  <c r="M52" i="43"/>
  <c r="L53" i="43"/>
  <c r="M53" i="43"/>
  <c r="L54" i="43"/>
  <c r="M54" i="43"/>
  <c r="L55" i="43"/>
  <c r="M55" i="43"/>
  <c r="L56" i="43"/>
  <c r="M56" i="43"/>
  <c r="L57" i="43"/>
  <c r="M57" i="43"/>
  <c r="L58" i="43"/>
  <c r="M58" i="43"/>
  <c r="L59" i="43"/>
  <c r="M59" i="43"/>
  <c r="L60" i="43"/>
  <c r="M60" i="43"/>
  <c r="L61" i="43"/>
  <c r="M61" i="43"/>
  <c r="L62" i="43"/>
  <c r="M62" i="43"/>
  <c r="L63" i="43"/>
  <c r="M63" i="43"/>
  <c r="L64" i="43"/>
  <c r="M64" i="43"/>
  <c r="L65" i="43"/>
  <c r="M65" i="43"/>
  <c r="L66" i="43"/>
  <c r="M66" i="43"/>
  <c r="L67" i="43"/>
  <c r="M67" i="43"/>
  <c r="L68" i="43"/>
  <c r="M68" i="43"/>
  <c r="L69" i="43"/>
  <c r="M69" i="43"/>
  <c r="L70" i="43"/>
  <c r="M70" i="43"/>
  <c r="L71" i="43"/>
  <c r="M71" i="43"/>
  <c r="L72" i="43"/>
  <c r="M72" i="43"/>
  <c r="L73" i="43"/>
  <c r="M73" i="43"/>
  <c r="L74" i="43"/>
  <c r="M74" i="43"/>
  <c r="L75" i="43"/>
  <c r="M75" i="43"/>
  <c r="L76" i="43"/>
  <c r="M76" i="43"/>
  <c r="L77" i="43"/>
  <c r="M77" i="43"/>
  <c r="L78" i="43"/>
  <c r="M78" i="43"/>
  <c r="L79" i="43"/>
  <c r="M79" i="43"/>
  <c r="L80" i="43"/>
  <c r="M80" i="43"/>
  <c r="L81" i="43"/>
  <c r="M81" i="43"/>
  <c r="L82" i="43"/>
  <c r="M82" i="43"/>
  <c r="L83" i="43"/>
  <c r="M83" i="43"/>
  <c r="L84" i="43"/>
  <c r="M84" i="43"/>
  <c r="L85" i="43"/>
  <c r="M85" i="43"/>
  <c r="L86" i="43"/>
  <c r="M86" i="43"/>
  <c r="L87" i="43"/>
  <c r="M87" i="43"/>
  <c r="L88" i="43"/>
  <c r="M88" i="43"/>
  <c r="L89" i="43"/>
  <c r="M89" i="43"/>
  <c r="L90" i="43"/>
  <c r="M90" i="43"/>
  <c r="L91" i="43"/>
  <c r="M91" i="43"/>
  <c r="L92" i="43"/>
  <c r="M92" i="43"/>
  <c r="L93" i="43"/>
  <c r="M93" i="43"/>
  <c r="L94" i="43"/>
  <c r="M94" i="43"/>
  <c r="L95" i="43"/>
  <c r="M95" i="43"/>
  <c r="L96" i="43"/>
  <c r="M96" i="43"/>
  <c r="L97" i="43"/>
  <c r="M97" i="43"/>
  <c r="L98" i="43"/>
  <c r="M98" i="43"/>
  <c r="L99" i="43"/>
  <c r="M99" i="43"/>
  <c r="L100" i="43"/>
  <c r="M100" i="43"/>
  <c r="L101" i="43"/>
  <c r="M101" i="43"/>
  <c r="L102" i="43"/>
  <c r="M102" i="43"/>
  <c r="L103" i="43"/>
  <c r="M103" i="43"/>
  <c r="L104" i="43"/>
  <c r="M104" i="43"/>
  <c r="K15" i="43"/>
  <c r="K16" i="43"/>
  <c r="K17" i="43"/>
  <c r="K18" i="43"/>
  <c r="K19" i="43"/>
  <c r="K20" i="43"/>
  <c r="K21" i="43"/>
  <c r="K22" i="43"/>
  <c r="K23" i="43"/>
  <c r="K24" i="43"/>
  <c r="K25" i="43"/>
  <c r="K26" i="43"/>
  <c r="K27" i="43"/>
  <c r="K28" i="43"/>
  <c r="K29" i="43"/>
  <c r="K30" i="43"/>
  <c r="K31" i="43"/>
  <c r="K32" i="43"/>
  <c r="K33" i="43"/>
  <c r="K34" i="43"/>
  <c r="K35" i="43"/>
  <c r="K36" i="43"/>
  <c r="K37" i="43"/>
  <c r="K38" i="43"/>
  <c r="K39" i="43"/>
  <c r="K40" i="43"/>
  <c r="K41" i="43"/>
  <c r="K42" i="43"/>
  <c r="K43" i="43"/>
  <c r="K44" i="43"/>
  <c r="K45" i="43"/>
  <c r="K46" i="43"/>
  <c r="K47" i="43"/>
  <c r="K48" i="43"/>
  <c r="K49" i="43"/>
  <c r="K50" i="43"/>
  <c r="K51" i="43"/>
  <c r="K52" i="43"/>
  <c r="K53" i="43"/>
  <c r="K54" i="43"/>
  <c r="K55" i="43"/>
  <c r="K56" i="43"/>
  <c r="K57" i="43"/>
  <c r="K58" i="43"/>
  <c r="K59" i="43"/>
  <c r="K60" i="43"/>
  <c r="K61" i="43"/>
  <c r="K62" i="43"/>
  <c r="K63" i="43"/>
  <c r="K64" i="43"/>
  <c r="K65" i="43"/>
  <c r="K66" i="43"/>
  <c r="K67" i="43"/>
  <c r="K68" i="43"/>
  <c r="K69" i="43"/>
  <c r="K70" i="43"/>
  <c r="K71" i="43"/>
  <c r="K72" i="43"/>
  <c r="K73" i="43"/>
  <c r="K74" i="43"/>
  <c r="K75" i="43"/>
  <c r="K76" i="43"/>
  <c r="K77" i="43"/>
  <c r="K78" i="43"/>
  <c r="K79" i="43"/>
  <c r="K80" i="43"/>
  <c r="K81" i="43"/>
  <c r="K82" i="43"/>
  <c r="K83" i="43"/>
  <c r="K84" i="43"/>
  <c r="K85" i="43"/>
  <c r="K86" i="43"/>
  <c r="K87" i="43"/>
  <c r="K88" i="43"/>
  <c r="K89" i="43"/>
  <c r="K90" i="43"/>
  <c r="K91" i="43"/>
  <c r="K92" i="43"/>
  <c r="K93" i="43"/>
  <c r="K94" i="43"/>
  <c r="K95" i="43"/>
  <c r="K96" i="43"/>
  <c r="K97" i="43"/>
  <c r="K98" i="43"/>
  <c r="K99" i="43"/>
  <c r="K100" i="43"/>
  <c r="K101" i="43"/>
  <c r="K102" i="43"/>
  <c r="K103" i="43"/>
  <c r="K104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8" i="43"/>
  <c r="J49" i="43"/>
  <c r="J50" i="43"/>
  <c r="J51" i="43"/>
  <c r="J52" i="43"/>
  <c r="J53" i="43"/>
  <c r="J54" i="43"/>
  <c r="J55" i="43"/>
  <c r="J56" i="43"/>
  <c r="J57" i="43"/>
  <c r="J58" i="43"/>
  <c r="J59" i="43"/>
  <c r="J60" i="43"/>
  <c r="J61" i="43"/>
  <c r="J62" i="43"/>
  <c r="J63" i="43"/>
  <c r="J64" i="43"/>
  <c r="J65" i="43"/>
  <c r="J66" i="43"/>
  <c r="J67" i="43"/>
  <c r="J68" i="43"/>
  <c r="J69" i="43"/>
  <c r="J70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5" i="43"/>
  <c r="J86" i="43"/>
  <c r="J87" i="43"/>
  <c r="J88" i="43"/>
  <c r="J89" i="43"/>
  <c r="J90" i="43"/>
  <c r="J91" i="43"/>
  <c r="J92" i="43"/>
  <c r="J93" i="43"/>
  <c r="J94" i="43"/>
  <c r="J95" i="43"/>
  <c r="J96" i="43"/>
  <c r="J97" i="43"/>
  <c r="J98" i="43"/>
  <c r="J99" i="43"/>
  <c r="J100" i="43"/>
  <c r="J101" i="43"/>
  <c r="J102" i="43"/>
  <c r="J103" i="43"/>
  <c r="J104" i="43"/>
  <c r="J13" i="43"/>
  <c r="I14" i="43"/>
  <c r="I15" i="43"/>
  <c r="I16" i="43"/>
  <c r="I17" i="43"/>
  <c r="I18" i="43"/>
  <c r="I19" i="43"/>
  <c r="I20" i="43"/>
  <c r="I21" i="43"/>
  <c r="I22" i="43"/>
  <c r="I23" i="43"/>
  <c r="I24" i="43"/>
  <c r="I25" i="43"/>
  <c r="I26" i="43"/>
  <c r="I27" i="43"/>
  <c r="I28" i="43"/>
  <c r="I29" i="43"/>
  <c r="I30" i="43"/>
  <c r="I31" i="43"/>
  <c r="I32" i="43"/>
  <c r="I33" i="43"/>
  <c r="I34" i="43"/>
  <c r="I35" i="43"/>
  <c r="I36" i="43"/>
  <c r="I37" i="43"/>
  <c r="I38" i="43"/>
  <c r="I39" i="43"/>
  <c r="I40" i="43"/>
  <c r="I41" i="43"/>
  <c r="I42" i="43"/>
  <c r="I43" i="43"/>
  <c r="I44" i="43"/>
  <c r="I45" i="43"/>
  <c r="I46" i="43"/>
  <c r="I47" i="43"/>
  <c r="I48" i="43"/>
  <c r="I49" i="43"/>
  <c r="I50" i="43"/>
  <c r="I51" i="43"/>
  <c r="I52" i="43"/>
  <c r="I53" i="43"/>
  <c r="I54" i="43"/>
  <c r="I55" i="43"/>
  <c r="I56" i="43"/>
  <c r="I57" i="43"/>
  <c r="I58" i="43"/>
  <c r="I59" i="43"/>
  <c r="I60" i="43"/>
  <c r="I61" i="43"/>
  <c r="I62" i="43"/>
  <c r="I63" i="43"/>
  <c r="I64" i="43"/>
  <c r="I65" i="43"/>
  <c r="I66" i="43"/>
  <c r="I67" i="43"/>
  <c r="I68" i="43"/>
  <c r="I69" i="43"/>
  <c r="I70" i="43"/>
  <c r="I71" i="43"/>
  <c r="I72" i="43"/>
  <c r="I73" i="43"/>
  <c r="I74" i="43"/>
  <c r="I75" i="43"/>
  <c r="I76" i="43"/>
  <c r="I77" i="43"/>
  <c r="I78" i="43"/>
  <c r="I79" i="43"/>
  <c r="I80" i="43"/>
  <c r="I81" i="43"/>
  <c r="I82" i="43"/>
  <c r="I83" i="43"/>
  <c r="I84" i="43"/>
  <c r="I85" i="43"/>
  <c r="I86" i="43"/>
  <c r="I87" i="43"/>
  <c r="I88" i="43"/>
  <c r="I89" i="43"/>
  <c r="I90" i="43"/>
  <c r="I91" i="43"/>
  <c r="I92" i="43"/>
  <c r="I93" i="43"/>
  <c r="I94" i="43"/>
  <c r="I95" i="43"/>
  <c r="I96" i="43"/>
  <c r="I97" i="43"/>
  <c r="I98" i="43"/>
  <c r="I99" i="43"/>
  <c r="I100" i="43"/>
  <c r="I101" i="43"/>
  <c r="I102" i="43"/>
  <c r="I103" i="43"/>
  <c r="I104" i="43"/>
  <c r="I13" i="43"/>
  <c r="E106" i="43"/>
  <c r="E138" i="43"/>
  <c r="E130" i="43"/>
  <c r="E131" i="43"/>
  <c r="E132" i="43"/>
  <c r="E115" i="43"/>
  <c r="E14" i="43"/>
  <c r="E15" i="43"/>
  <c r="E16" i="43"/>
  <c r="E17" i="43"/>
  <c r="E18" i="43"/>
  <c r="E19" i="43"/>
  <c r="E20" i="43"/>
  <c r="E21" i="43"/>
  <c r="E22" i="43"/>
  <c r="E23" i="43"/>
  <c r="E24" i="43"/>
  <c r="E25" i="43"/>
  <c r="E26" i="43"/>
  <c r="E27" i="43"/>
  <c r="E28" i="43"/>
  <c r="E29" i="43"/>
  <c r="E30" i="43"/>
  <c r="E31" i="43"/>
  <c r="E32" i="43"/>
  <c r="E33" i="43"/>
  <c r="E34" i="43"/>
  <c r="E35" i="43"/>
  <c r="E36" i="43"/>
  <c r="E37" i="43"/>
  <c r="E38" i="43"/>
  <c r="E39" i="43"/>
  <c r="E40" i="43"/>
  <c r="E41" i="43"/>
  <c r="E42" i="43"/>
  <c r="E43" i="43"/>
  <c r="E44" i="43"/>
  <c r="E45" i="43"/>
  <c r="E46" i="43"/>
  <c r="E47" i="43"/>
  <c r="E48" i="43"/>
  <c r="E49" i="43"/>
  <c r="E50" i="43"/>
  <c r="E51" i="43"/>
  <c r="E52" i="43"/>
  <c r="E53" i="43"/>
  <c r="E54" i="43"/>
  <c r="E55" i="43"/>
  <c r="E56" i="43"/>
  <c r="E57" i="43"/>
  <c r="E58" i="43"/>
  <c r="E59" i="43"/>
  <c r="E60" i="43"/>
  <c r="E61" i="43"/>
  <c r="E62" i="43"/>
  <c r="E63" i="43"/>
  <c r="E64" i="43"/>
  <c r="E65" i="43"/>
  <c r="E66" i="43"/>
  <c r="E67" i="43"/>
  <c r="E68" i="43"/>
  <c r="E69" i="43"/>
  <c r="E70" i="43"/>
  <c r="E71" i="43"/>
  <c r="E72" i="43"/>
  <c r="E73" i="43"/>
  <c r="E74" i="43"/>
  <c r="E75" i="43"/>
  <c r="E76" i="43"/>
  <c r="E77" i="43"/>
  <c r="E78" i="43"/>
  <c r="E79" i="43"/>
  <c r="E80" i="43"/>
  <c r="E81" i="43"/>
  <c r="E82" i="43"/>
  <c r="E83" i="43"/>
  <c r="E84" i="43"/>
  <c r="E85" i="43"/>
  <c r="E86" i="43"/>
  <c r="E87" i="43"/>
  <c r="E88" i="43"/>
  <c r="E89" i="43"/>
  <c r="E90" i="43"/>
  <c r="E91" i="43"/>
  <c r="E92" i="43"/>
  <c r="E93" i="43"/>
  <c r="E94" i="43"/>
  <c r="E95" i="43"/>
  <c r="E96" i="43"/>
  <c r="E97" i="43"/>
  <c r="E98" i="43"/>
  <c r="E99" i="43"/>
  <c r="E100" i="43"/>
  <c r="E101" i="43"/>
  <c r="E102" i="43"/>
  <c r="E103" i="43"/>
  <c r="E104" i="43"/>
  <c r="AG135" i="43"/>
  <c r="AG137" i="43"/>
  <c r="AG138" i="43"/>
  <c r="AF136" i="43"/>
  <c r="AD136" i="43"/>
  <c r="AE136" i="43"/>
  <c r="AC136" i="43"/>
  <c r="M111" i="49"/>
  <c r="AF14" i="43"/>
  <c r="AF15" i="43"/>
  <c r="AF16" i="43"/>
  <c r="AF17" i="43"/>
  <c r="AF18" i="43"/>
  <c r="AF19" i="43"/>
  <c r="AF20" i="43"/>
  <c r="AF21" i="43"/>
  <c r="AF22" i="43"/>
  <c r="AF23" i="43"/>
  <c r="AF24" i="43"/>
  <c r="AF25" i="43"/>
  <c r="AF26" i="43"/>
  <c r="AF27" i="43"/>
  <c r="AF28" i="43"/>
  <c r="AF29" i="43"/>
  <c r="AF30" i="43"/>
  <c r="AF31" i="43"/>
  <c r="AF32" i="43"/>
  <c r="AF33" i="43"/>
  <c r="AF34" i="43"/>
  <c r="AF35" i="43"/>
  <c r="AF36" i="43"/>
  <c r="AF37" i="43"/>
  <c r="AF38" i="43"/>
  <c r="AF39" i="43"/>
  <c r="AF40" i="43"/>
  <c r="AF41" i="43"/>
  <c r="AF42" i="43"/>
  <c r="AF43" i="43"/>
  <c r="AF44" i="43"/>
  <c r="AF45" i="43"/>
  <c r="AF46" i="43"/>
  <c r="AF47" i="43"/>
  <c r="AF48" i="43"/>
  <c r="AF49" i="43"/>
  <c r="AF50" i="43"/>
  <c r="AF51" i="43"/>
  <c r="AF52" i="43"/>
  <c r="AF53" i="43"/>
  <c r="AF54" i="43"/>
  <c r="AF55" i="43"/>
  <c r="AF56" i="43"/>
  <c r="AF57" i="43"/>
  <c r="AF58" i="43"/>
  <c r="AF59" i="43"/>
  <c r="AF60" i="43"/>
  <c r="AF61" i="43"/>
  <c r="AF62" i="43"/>
  <c r="AF63" i="43"/>
  <c r="AF64" i="43"/>
  <c r="AF65" i="43"/>
  <c r="AF66" i="43"/>
  <c r="AF67" i="43"/>
  <c r="AF68" i="43"/>
  <c r="AF69" i="43"/>
  <c r="AF70" i="43"/>
  <c r="AF71" i="43"/>
  <c r="AF72" i="43"/>
  <c r="AF73" i="43"/>
  <c r="AF74" i="43"/>
  <c r="AF75" i="43"/>
  <c r="AF76" i="43"/>
  <c r="AF77" i="43"/>
  <c r="AF78" i="43"/>
  <c r="AF79" i="43"/>
  <c r="AF80" i="43"/>
  <c r="AF81" i="43"/>
  <c r="AF82" i="43"/>
  <c r="AF83" i="43"/>
  <c r="AF84" i="43"/>
  <c r="AF85" i="43"/>
  <c r="AF86" i="43"/>
  <c r="AF87" i="43"/>
  <c r="AF88" i="43"/>
  <c r="AF89" i="43"/>
  <c r="AF90" i="43"/>
  <c r="AF91" i="43"/>
  <c r="AF92" i="43"/>
  <c r="AF93" i="43"/>
  <c r="AF94" i="43"/>
  <c r="AF95" i="43"/>
  <c r="AF96" i="43"/>
  <c r="AF97" i="43"/>
  <c r="AF98" i="43"/>
  <c r="AF99" i="43"/>
  <c r="AF100" i="43"/>
  <c r="AF101" i="43"/>
  <c r="AF102" i="43"/>
  <c r="AF103" i="43"/>
  <c r="AC14" i="43"/>
  <c r="AD14" i="43"/>
  <c r="AE14" i="43"/>
  <c r="AC15" i="43"/>
  <c r="AD15" i="43"/>
  <c r="AE15" i="43"/>
  <c r="AC16" i="43"/>
  <c r="AD16" i="43"/>
  <c r="AE16" i="43"/>
  <c r="AC17" i="43"/>
  <c r="AD17" i="43"/>
  <c r="AE17" i="43"/>
  <c r="AC18" i="43"/>
  <c r="AD18" i="43"/>
  <c r="AE18" i="43"/>
  <c r="AC19" i="43"/>
  <c r="AD19" i="43"/>
  <c r="AE19" i="43"/>
  <c r="AC20" i="43"/>
  <c r="AD20" i="43"/>
  <c r="AE20" i="43"/>
  <c r="AC21" i="43"/>
  <c r="AD21" i="43"/>
  <c r="AE21" i="43"/>
  <c r="AC22" i="43"/>
  <c r="AD22" i="43"/>
  <c r="AE22" i="43"/>
  <c r="AC23" i="43"/>
  <c r="AD23" i="43"/>
  <c r="AE23" i="43"/>
  <c r="AC24" i="43"/>
  <c r="AD24" i="43"/>
  <c r="AE24" i="43"/>
  <c r="AC25" i="43"/>
  <c r="AD25" i="43"/>
  <c r="AE25" i="43"/>
  <c r="AC26" i="43"/>
  <c r="AD26" i="43"/>
  <c r="AE26" i="43"/>
  <c r="AC27" i="43"/>
  <c r="AD27" i="43"/>
  <c r="AE27" i="43"/>
  <c r="AC28" i="43"/>
  <c r="AD28" i="43"/>
  <c r="AE28" i="43"/>
  <c r="AC29" i="43"/>
  <c r="AD29" i="43"/>
  <c r="AE29" i="43"/>
  <c r="AC30" i="43"/>
  <c r="AD30" i="43"/>
  <c r="AE30" i="43"/>
  <c r="AC31" i="43"/>
  <c r="AD31" i="43"/>
  <c r="AE31" i="43"/>
  <c r="AC32" i="43"/>
  <c r="AD32" i="43"/>
  <c r="AE32" i="43"/>
  <c r="AC33" i="43"/>
  <c r="AD33" i="43"/>
  <c r="AE33" i="43"/>
  <c r="AC34" i="43"/>
  <c r="AD34" i="43"/>
  <c r="AE34" i="43"/>
  <c r="AC35" i="43"/>
  <c r="AD35" i="43"/>
  <c r="AE35" i="43"/>
  <c r="AC36" i="43"/>
  <c r="AD36" i="43"/>
  <c r="AE36" i="43"/>
  <c r="AC37" i="43"/>
  <c r="AD37" i="43"/>
  <c r="AE37" i="43"/>
  <c r="AC38" i="43"/>
  <c r="AD38" i="43"/>
  <c r="AE38" i="43"/>
  <c r="AC39" i="43"/>
  <c r="AD39" i="43"/>
  <c r="AE39" i="43"/>
  <c r="AC40" i="43"/>
  <c r="AD40" i="43"/>
  <c r="AE40" i="43"/>
  <c r="AC41" i="43"/>
  <c r="AD41" i="43"/>
  <c r="AE41" i="43"/>
  <c r="AC42" i="43"/>
  <c r="AD42" i="43"/>
  <c r="AE42" i="43"/>
  <c r="AC43" i="43"/>
  <c r="AD43" i="43"/>
  <c r="AE43" i="43"/>
  <c r="AC44" i="43"/>
  <c r="AD44" i="43"/>
  <c r="AE44" i="43"/>
  <c r="AC45" i="43"/>
  <c r="AD45" i="43"/>
  <c r="AE45" i="43"/>
  <c r="AC46" i="43"/>
  <c r="AD46" i="43"/>
  <c r="AE46" i="43"/>
  <c r="AC47" i="43"/>
  <c r="AD47" i="43"/>
  <c r="AE47" i="43"/>
  <c r="AC48" i="43"/>
  <c r="AD48" i="43"/>
  <c r="AE48" i="43"/>
  <c r="AC49" i="43"/>
  <c r="AD49" i="43"/>
  <c r="AE49" i="43"/>
  <c r="AC50" i="43"/>
  <c r="AD50" i="43"/>
  <c r="AE50" i="43"/>
  <c r="AC51" i="43"/>
  <c r="AD51" i="43"/>
  <c r="AE51" i="43"/>
  <c r="AC52" i="43"/>
  <c r="AD52" i="43"/>
  <c r="AE52" i="43"/>
  <c r="AC53" i="43"/>
  <c r="AD53" i="43"/>
  <c r="AE53" i="43"/>
  <c r="AC54" i="43"/>
  <c r="AD54" i="43"/>
  <c r="AE54" i="43"/>
  <c r="AC55" i="43"/>
  <c r="AD55" i="43"/>
  <c r="AE55" i="43"/>
  <c r="AC56" i="43"/>
  <c r="AD56" i="43"/>
  <c r="AE56" i="43"/>
  <c r="AC57" i="43"/>
  <c r="AD57" i="43"/>
  <c r="AE57" i="43"/>
  <c r="AC58" i="43"/>
  <c r="AD58" i="43"/>
  <c r="AE58" i="43"/>
  <c r="AC59" i="43"/>
  <c r="AD59" i="43"/>
  <c r="AE59" i="43"/>
  <c r="AC60" i="43"/>
  <c r="AD60" i="43"/>
  <c r="AE60" i="43"/>
  <c r="AC61" i="43"/>
  <c r="AD61" i="43"/>
  <c r="AE61" i="43"/>
  <c r="AC62" i="43"/>
  <c r="AD62" i="43"/>
  <c r="AE62" i="43"/>
  <c r="AC63" i="43"/>
  <c r="AD63" i="43"/>
  <c r="AE63" i="43"/>
  <c r="AC64" i="43"/>
  <c r="AD64" i="43"/>
  <c r="AE64" i="43"/>
  <c r="AC65" i="43"/>
  <c r="AD65" i="43"/>
  <c r="AE65" i="43"/>
  <c r="AC66" i="43"/>
  <c r="AD66" i="43"/>
  <c r="AE66" i="43"/>
  <c r="AC67" i="43"/>
  <c r="AD67" i="43"/>
  <c r="AE67" i="43"/>
  <c r="AC68" i="43"/>
  <c r="AD68" i="43"/>
  <c r="AE68" i="43"/>
  <c r="AC69" i="43"/>
  <c r="AD69" i="43"/>
  <c r="AE69" i="43"/>
  <c r="AC70" i="43"/>
  <c r="AD70" i="43"/>
  <c r="AE70" i="43"/>
  <c r="AC71" i="43"/>
  <c r="AD71" i="43"/>
  <c r="AE71" i="43"/>
  <c r="AC72" i="43"/>
  <c r="AD72" i="43"/>
  <c r="AE72" i="43"/>
  <c r="AC73" i="43"/>
  <c r="AD73" i="43"/>
  <c r="AE73" i="43"/>
  <c r="AC74" i="43"/>
  <c r="AD74" i="43"/>
  <c r="AE74" i="43"/>
  <c r="AC75" i="43"/>
  <c r="AD75" i="43"/>
  <c r="AE75" i="43"/>
  <c r="AC76" i="43"/>
  <c r="AD76" i="43"/>
  <c r="AE76" i="43"/>
  <c r="AC77" i="43"/>
  <c r="AG77" i="43" s="1"/>
  <c r="AD77" i="43"/>
  <c r="AE77" i="43"/>
  <c r="AC78" i="43"/>
  <c r="AG78" i="43" s="1"/>
  <c r="AD78" i="43"/>
  <c r="AE78" i="43"/>
  <c r="AC79" i="43"/>
  <c r="AD79" i="43"/>
  <c r="AE79" i="43"/>
  <c r="AC80" i="43"/>
  <c r="AD80" i="43"/>
  <c r="AE80" i="43"/>
  <c r="AC81" i="43"/>
  <c r="AG81" i="43" s="1"/>
  <c r="AD81" i="43"/>
  <c r="AE81" i="43"/>
  <c r="AC82" i="43"/>
  <c r="AD82" i="43"/>
  <c r="AE82" i="43"/>
  <c r="AC83" i="43"/>
  <c r="AD83" i="43"/>
  <c r="AE83" i="43"/>
  <c r="AC84" i="43"/>
  <c r="AD84" i="43"/>
  <c r="AE84" i="43"/>
  <c r="AC85" i="43"/>
  <c r="AG85" i="43" s="1"/>
  <c r="AD85" i="43"/>
  <c r="AE85" i="43"/>
  <c r="AC86" i="43"/>
  <c r="AD86" i="43"/>
  <c r="AE86" i="43"/>
  <c r="AC87" i="43"/>
  <c r="AD87" i="43"/>
  <c r="AE87" i="43"/>
  <c r="AC88" i="43"/>
  <c r="AD88" i="43"/>
  <c r="AE88" i="43"/>
  <c r="AC89" i="43"/>
  <c r="AG89" i="43" s="1"/>
  <c r="AD89" i="43"/>
  <c r="AE89" i="43"/>
  <c r="AC90" i="43"/>
  <c r="AD90" i="43"/>
  <c r="AE90" i="43"/>
  <c r="AC91" i="43"/>
  <c r="AD91" i="43"/>
  <c r="AE91" i="43"/>
  <c r="AC92" i="43"/>
  <c r="AD92" i="43"/>
  <c r="AE92" i="43"/>
  <c r="AC93" i="43"/>
  <c r="AG93" i="43" s="1"/>
  <c r="AD93" i="43"/>
  <c r="AE93" i="43"/>
  <c r="AC94" i="43"/>
  <c r="AG94" i="43" s="1"/>
  <c r="AD94" i="43"/>
  <c r="AE94" i="43"/>
  <c r="AC95" i="43"/>
  <c r="AD95" i="43"/>
  <c r="AE95" i="43"/>
  <c r="AC96" i="43"/>
  <c r="AD96" i="43"/>
  <c r="AE96" i="43"/>
  <c r="AC97" i="43"/>
  <c r="AG97" i="43" s="1"/>
  <c r="AD97" i="43"/>
  <c r="AE97" i="43"/>
  <c r="AC98" i="43"/>
  <c r="AD98" i="43"/>
  <c r="AE98" i="43"/>
  <c r="AC99" i="43"/>
  <c r="AD99" i="43"/>
  <c r="AE99" i="43"/>
  <c r="AC100" i="43"/>
  <c r="AD100" i="43"/>
  <c r="AE100" i="43"/>
  <c r="AC101" i="43"/>
  <c r="AG101" i="43" s="1"/>
  <c r="AD101" i="43"/>
  <c r="AE101" i="43"/>
  <c r="AC102" i="43"/>
  <c r="AG102" i="43" s="1"/>
  <c r="AD102" i="43"/>
  <c r="AE102" i="43"/>
  <c r="AC103" i="43"/>
  <c r="AD103" i="43"/>
  <c r="AE103" i="43"/>
  <c r="AD13" i="43"/>
  <c r="AE13" i="43"/>
  <c r="M10" i="57"/>
  <c r="L10" i="57"/>
  <c r="P10" i="1"/>
  <c r="O10" i="1"/>
  <c r="E1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4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4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4" i="1"/>
  <c r="J11" i="1"/>
  <c r="I11" i="1"/>
  <c r="H10" i="1"/>
  <c r="R47" i="45"/>
  <c r="R7" i="45"/>
  <c r="Y51" i="45"/>
  <c r="W52" i="45"/>
  <c r="W51" i="45"/>
  <c r="W50" i="45"/>
  <c r="X51" i="45"/>
  <c r="X50" i="45"/>
  <c r="X58" i="45"/>
  <c r="W58" i="45"/>
  <c r="Z58" i="45" s="1"/>
  <c r="Y53" i="45"/>
  <c r="Z53" i="45" s="1"/>
  <c r="AD53" i="45" s="1"/>
  <c r="Y13" i="45"/>
  <c r="Y52" i="45"/>
  <c r="Y50" i="45"/>
  <c r="P111" i="49"/>
  <c r="L111" i="49"/>
  <c r="K111" i="49"/>
  <c r="J111" i="49"/>
  <c r="I111" i="49"/>
  <c r="X61" i="45"/>
  <c r="X59" i="45"/>
  <c r="W20" i="45"/>
  <c r="W19" i="45"/>
  <c r="G111" i="49"/>
  <c r="W18" i="45"/>
  <c r="W21" i="45"/>
  <c r="P11" i="49"/>
  <c r="O11" i="49"/>
  <c r="P10" i="49"/>
  <c r="O10" i="49"/>
  <c r="X10" i="45"/>
  <c r="E13" i="31"/>
  <c r="F20" i="31"/>
  <c r="O12" i="20"/>
  <c r="L12" i="20"/>
  <c r="O3" i="20"/>
  <c r="L3" i="20"/>
  <c r="B3" i="20"/>
  <c r="E12" i="20"/>
  <c r="B12" i="20"/>
  <c r="E3" i="20"/>
  <c r="J10" i="1"/>
  <c r="I10" i="1"/>
  <c r="F10" i="3"/>
  <c r="G10" i="3" s="1"/>
  <c r="F9" i="3"/>
  <c r="F8" i="3"/>
  <c r="X67" i="51"/>
  <c r="X68" i="51"/>
  <c r="X69" i="51"/>
  <c r="X70" i="51"/>
  <c r="X27" i="51"/>
  <c r="X28" i="51"/>
  <c r="X29" i="51"/>
  <c r="X30" i="51"/>
  <c r="X31" i="51"/>
  <c r="X32" i="51"/>
  <c r="X33" i="51"/>
  <c r="X34" i="51"/>
  <c r="X35" i="51"/>
  <c r="X36" i="51"/>
  <c r="X37" i="51"/>
  <c r="X38" i="51"/>
  <c r="X39" i="51"/>
  <c r="X40" i="51"/>
  <c r="X41" i="51"/>
  <c r="X42" i="51"/>
  <c r="X43" i="51"/>
  <c r="X44" i="51"/>
  <c r="X45" i="51"/>
  <c r="X46" i="51"/>
  <c r="X47" i="51"/>
  <c r="X48" i="51"/>
  <c r="X49" i="51"/>
  <c r="X50" i="51"/>
  <c r="X51" i="51"/>
  <c r="X52" i="51"/>
  <c r="X53" i="51"/>
  <c r="X54" i="51"/>
  <c r="X55" i="51"/>
  <c r="X56" i="51"/>
  <c r="X57" i="51"/>
  <c r="X58" i="51"/>
  <c r="X59" i="51"/>
  <c r="X60" i="51"/>
  <c r="X61" i="51"/>
  <c r="X62" i="51"/>
  <c r="X63" i="51"/>
  <c r="X64" i="51"/>
  <c r="X65" i="51"/>
  <c r="X66" i="51"/>
  <c r="X22" i="51"/>
  <c r="X23" i="51"/>
  <c r="X24" i="51"/>
  <c r="X25" i="51"/>
  <c r="X26" i="51"/>
  <c r="X9" i="51"/>
  <c r="X10" i="51"/>
  <c r="X11" i="51"/>
  <c r="X12" i="51"/>
  <c r="X13" i="51"/>
  <c r="X14" i="51"/>
  <c r="X15" i="51"/>
  <c r="X16" i="51"/>
  <c r="X17" i="51"/>
  <c r="X18" i="51"/>
  <c r="X19" i="51"/>
  <c r="X20" i="51"/>
  <c r="X21" i="51"/>
  <c r="X8" i="51"/>
  <c r="E23" i="45" l="1"/>
  <c r="D9" i="45"/>
  <c r="E9" i="45"/>
  <c r="AA54" i="45"/>
  <c r="AF15" i="45"/>
  <c r="Y63" i="45"/>
  <c r="AG103" i="43"/>
  <c r="AG95" i="43"/>
  <c r="AG87" i="43"/>
  <c r="AG79" i="43"/>
  <c r="AG104" i="43"/>
  <c r="AG75" i="43"/>
  <c r="AG96" i="43"/>
  <c r="AG88" i="43"/>
  <c r="AG80" i="43"/>
  <c r="AD130" i="43"/>
  <c r="AD114" i="43"/>
  <c r="AG86" i="43"/>
  <c r="AE132" i="43"/>
  <c r="AC130" i="43"/>
  <c r="AD127" i="43"/>
  <c r="AE124" i="43"/>
  <c r="AC122" i="43"/>
  <c r="AD119" i="43"/>
  <c r="AE116" i="43"/>
  <c r="AC114" i="43"/>
  <c r="AD111" i="43"/>
  <c r="AF130" i="43"/>
  <c r="AF122" i="43"/>
  <c r="AF114" i="43"/>
  <c r="AG100" i="43"/>
  <c r="AG92" i="43"/>
  <c r="AG84" i="43"/>
  <c r="AG76" i="43"/>
  <c r="AD134" i="43"/>
  <c r="AC129" i="43"/>
  <c r="AD126" i="43"/>
  <c r="AE123" i="43"/>
  <c r="AC121" i="43"/>
  <c r="AD118" i="43"/>
  <c r="AE115" i="43"/>
  <c r="AC113" i="43"/>
  <c r="AD110" i="43"/>
  <c r="AG136" i="43"/>
  <c r="AG99" i="43"/>
  <c r="AG91" i="43"/>
  <c r="AG83" i="43"/>
  <c r="AG98" i="43"/>
  <c r="AG90" i="43"/>
  <c r="AG82" i="43"/>
  <c r="AF128" i="43"/>
  <c r="AF120" i="43"/>
  <c r="AF112" i="43"/>
  <c r="AF127" i="43"/>
  <c r="AF119" i="43"/>
  <c r="AF111" i="43"/>
  <c r="AC134" i="43"/>
  <c r="AD131" i="43"/>
  <c r="AE128" i="43"/>
  <c r="AC126" i="43"/>
  <c r="AD123" i="43"/>
  <c r="AE120" i="43"/>
  <c r="AC118" i="43"/>
  <c r="AD115" i="43"/>
  <c r="AE112" i="43"/>
  <c r="AC110" i="43"/>
  <c r="AD122" i="43"/>
  <c r="AE133" i="43"/>
  <c r="AE125" i="43"/>
  <c r="AE117" i="43"/>
  <c r="AF133" i="43"/>
  <c r="AF125" i="43"/>
  <c r="AF117" i="43"/>
  <c r="AF134" i="43"/>
  <c r="AF126" i="43"/>
  <c r="AF118" i="43"/>
  <c r="AG118" i="43" s="1"/>
  <c r="AF110" i="43"/>
  <c r="AG110" i="43" s="1"/>
  <c r="AC131" i="43"/>
  <c r="AD128" i="43"/>
  <c r="AC123" i="43"/>
  <c r="AD120" i="43"/>
  <c r="AC115" i="43"/>
  <c r="AD112" i="43"/>
  <c r="AD133" i="43"/>
  <c r="AE130" i="43"/>
  <c r="AC128" i="43"/>
  <c r="AG128" i="43" s="1"/>
  <c r="AD125" i="43"/>
  <c r="AE122" i="43"/>
  <c r="AC120" i="43"/>
  <c r="AG120" i="43" s="1"/>
  <c r="AD117" i="43"/>
  <c r="AE114" i="43"/>
  <c r="AC112" i="43"/>
  <c r="AF132" i="43"/>
  <c r="AF124" i="43"/>
  <c r="AF116" i="43"/>
  <c r="AC133" i="43"/>
  <c r="AG133" i="43" s="1"/>
  <c r="AE127" i="43"/>
  <c r="AC125" i="43"/>
  <c r="AE119" i="43"/>
  <c r="AC117" i="43"/>
  <c r="AG117" i="43" s="1"/>
  <c r="AE111" i="43"/>
  <c r="AC109" i="43"/>
  <c r="AF131" i="43"/>
  <c r="AF123" i="43"/>
  <c r="AF115" i="43"/>
  <c r="AG19" i="43"/>
  <c r="AD132" i="43"/>
  <c r="AE129" i="43"/>
  <c r="AC127" i="43"/>
  <c r="AG127" i="43" s="1"/>
  <c r="AD124" i="43"/>
  <c r="AE121" i="43"/>
  <c r="AC119" i="43"/>
  <c r="AG119" i="43" s="1"/>
  <c r="AD116" i="43"/>
  <c r="AE113" i="43"/>
  <c r="AC111" i="43"/>
  <c r="AF129" i="43"/>
  <c r="AG129" i="43" s="1"/>
  <c r="AF121" i="43"/>
  <c r="AG121" i="43" s="1"/>
  <c r="AF113" i="43"/>
  <c r="AE134" i="43"/>
  <c r="AC132" i="43"/>
  <c r="AD129" i="43"/>
  <c r="AE126" i="43"/>
  <c r="AC124" i="43"/>
  <c r="AG124" i="43" s="1"/>
  <c r="AD121" i="43"/>
  <c r="AE118" i="43"/>
  <c r="AC116" i="43"/>
  <c r="AD113" i="43"/>
  <c r="AE110" i="43"/>
  <c r="AE109" i="43"/>
  <c r="AE131" i="43"/>
  <c r="AE107" i="43"/>
  <c r="AD108" i="43"/>
  <c r="AC107" i="43"/>
  <c r="AC108" i="43"/>
  <c r="AD107" i="43"/>
  <c r="AE106" i="43"/>
  <c r="AF109" i="43"/>
  <c r="AD106" i="43"/>
  <c r="AD109" i="43"/>
  <c r="AF108" i="43"/>
  <c r="AF107" i="43"/>
  <c r="AE108" i="43"/>
  <c r="Z52" i="45"/>
  <c r="Z51" i="45"/>
  <c r="W49" i="45"/>
  <c r="Z50" i="45"/>
  <c r="X49" i="45"/>
  <c r="X63" i="45" s="1"/>
  <c r="Y49" i="45"/>
  <c r="X9" i="45"/>
  <c r="AD105" i="43" l="1"/>
  <c r="X23" i="45"/>
  <c r="AG112" i="43"/>
  <c r="AG130" i="43"/>
  <c r="AG114" i="43"/>
  <c r="AG113" i="43"/>
  <c r="AG122" i="43"/>
  <c r="AG108" i="43"/>
  <c r="AG111" i="43"/>
  <c r="AG126" i="43"/>
  <c r="AG125" i="43"/>
  <c r="AG115" i="43"/>
  <c r="AG134" i="43"/>
  <c r="AG132" i="43"/>
  <c r="AG123" i="43"/>
  <c r="AG107" i="43"/>
  <c r="AG116" i="43"/>
  <c r="AG109" i="43"/>
  <c r="AG131" i="43"/>
  <c r="AD141" i="43"/>
  <c r="AE141" i="43"/>
  <c r="Z49" i="45"/>
  <c r="Q25" i="51"/>
  <c r="Q26" i="51"/>
  <c r="R27" i="51" s="1"/>
  <c r="T62" i="51" l="1"/>
  <c r="Q62" i="51"/>
  <c r="M62" i="51"/>
  <c r="L62" i="51"/>
  <c r="T68" i="51"/>
  <c r="Q68" i="51"/>
  <c r="T69" i="51"/>
  <c r="Q69" i="51"/>
  <c r="M9" i="51"/>
  <c r="M10" i="51"/>
  <c r="M11" i="51"/>
  <c r="M12" i="51"/>
  <c r="M13" i="51"/>
  <c r="M14" i="51"/>
  <c r="M15" i="51"/>
  <c r="M16" i="51"/>
  <c r="M17" i="51"/>
  <c r="M18" i="51"/>
  <c r="M19" i="51"/>
  <c r="M20" i="51"/>
  <c r="M21" i="51"/>
  <c r="M22" i="51"/>
  <c r="M23" i="51"/>
  <c r="M24" i="51"/>
  <c r="M25" i="51"/>
  <c r="M26" i="51"/>
  <c r="M27" i="51"/>
  <c r="M28" i="51"/>
  <c r="M29" i="51"/>
  <c r="M30" i="51"/>
  <c r="M31" i="51"/>
  <c r="M32" i="51"/>
  <c r="M33" i="51"/>
  <c r="M34" i="51"/>
  <c r="M35" i="51"/>
  <c r="M36" i="51"/>
  <c r="M37" i="51"/>
  <c r="M38" i="51"/>
  <c r="M39" i="51"/>
  <c r="M40" i="51"/>
  <c r="M41" i="51"/>
  <c r="M42" i="51"/>
  <c r="M43" i="51"/>
  <c r="M44" i="51"/>
  <c r="M45" i="51"/>
  <c r="M46" i="51"/>
  <c r="M47" i="51"/>
  <c r="M48" i="51"/>
  <c r="M49" i="51"/>
  <c r="M50" i="51"/>
  <c r="M51" i="51"/>
  <c r="M52" i="51"/>
  <c r="M53" i="51"/>
  <c r="M54" i="51"/>
  <c r="M55" i="51"/>
  <c r="M56" i="51"/>
  <c r="M57" i="51"/>
  <c r="M58" i="51"/>
  <c r="M59" i="51"/>
  <c r="M60" i="51"/>
  <c r="M61" i="51"/>
  <c r="M63" i="51"/>
  <c r="M64" i="51"/>
  <c r="M65" i="51"/>
  <c r="M66" i="51"/>
  <c r="M67" i="51"/>
  <c r="M68" i="51"/>
  <c r="M69" i="51"/>
  <c r="M70" i="51"/>
  <c r="M71" i="51"/>
  <c r="M72" i="51"/>
  <c r="M8" i="51"/>
  <c r="L68" i="51"/>
  <c r="L69" i="51"/>
  <c r="Q70" i="51"/>
  <c r="T70" i="51"/>
  <c r="J138" i="43" l="1"/>
  <c r="J137" i="43"/>
  <c r="J136" i="43"/>
  <c r="J134" i="43"/>
  <c r="J133" i="43"/>
  <c r="J131" i="43"/>
  <c r="J129" i="43"/>
  <c r="J128" i="43"/>
  <c r="J126" i="43"/>
  <c r="J125" i="43"/>
  <c r="J124" i="43"/>
  <c r="J123" i="43"/>
  <c r="J122" i="43"/>
  <c r="J121" i="43"/>
  <c r="J120" i="43"/>
  <c r="J119" i="43"/>
  <c r="J118" i="43"/>
  <c r="J117" i="43"/>
  <c r="J116" i="43"/>
  <c r="J114" i="43"/>
  <c r="J113" i="43"/>
  <c r="J112" i="43"/>
  <c r="J111" i="43"/>
  <c r="J110" i="43"/>
  <c r="J109" i="43"/>
  <c r="J108" i="43"/>
  <c r="J107" i="43"/>
  <c r="J106" i="43"/>
  <c r="U84" i="43" l="1"/>
  <c r="V84" i="43"/>
  <c r="AH84" i="43"/>
  <c r="T72" i="51"/>
  <c r="L70" i="51"/>
  <c r="Q49" i="51"/>
  <c r="S50" i="51" s="1"/>
  <c r="F12" i="3"/>
  <c r="F11" i="3"/>
  <c r="L26" i="51"/>
  <c r="AK84" i="43" l="1"/>
  <c r="AM84" i="43" s="1"/>
  <c r="W84" i="43"/>
  <c r="R84" i="43"/>
  <c r="AI84" i="43"/>
  <c r="L47" i="51" l="1"/>
  <c r="Q47" i="51"/>
  <c r="T47" i="51"/>
  <c r="R48" i="51" l="1"/>
  <c r="S48" i="51"/>
  <c r="I14" i="3"/>
  <c r="Q64" i="51" l="1"/>
  <c r="G10" i="49" l="1"/>
  <c r="H10" i="49"/>
  <c r="I10" i="49"/>
  <c r="J10" i="49"/>
  <c r="K10" i="49"/>
  <c r="L10" i="49"/>
  <c r="G11" i="49"/>
  <c r="H11" i="49"/>
  <c r="I11" i="49"/>
  <c r="J11" i="49"/>
  <c r="K11" i="49"/>
  <c r="L11" i="49"/>
  <c r="L48" i="51" l="1"/>
  <c r="T44" i="51" l="1"/>
  <c r="Q37" i="51"/>
  <c r="S38" i="51" s="1"/>
  <c r="S39" i="51" s="1"/>
  <c r="Q22" i="51"/>
  <c r="S23" i="51" s="1"/>
  <c r="T17" i="51"/>
  <c r="M11" i="49" l="1"/>
  <c r="W61" i="45" l="1"/>
  <c r="Z61" i="45" s="1"/>
  <c r="W59" i="45"/>
  <c r="W60" i="45"/>
  <c r="Z60" i="45" s="1"/>
  <c r="N111" i="49"/>
  <c r="O111" i="49"/>
  <c r="Q111" i="49"/>
  <c r="E111" i="49"/>
  <c r="X1" i="31"/>
  <c r="Z59" i="45" l="1"/>
  <c r="W63" i="45"/>
  <c r="E10" i="49"/>
  <c r="F10" i="49"/>
  <c r="M10" i="49"/>
  <c r="Y10" i="45"/>
  <c r="Z10" i="45" s="1"/>
  <c r="AU113" i="19" l="1"/>
  <c r="T48" i="51"/>
  <c r="Q48" i="51"/>
  <c r="R49" i="51" l="1"/>
  <c r="Q8" i="51"/>
  <c r="R9" i="51" s="1"/>
  <c r="Q9" i="51"/>
  <c r="R10" i="51" s="1"/>
  <c r="Q10" i="51"/>
  <c r="R11" i="51" s="1"/>
  <c r="Q11" i="51"/>
  <c r="R12" i="51" s="1"/>
  <c r="Q12" i="51"/>
  <c r="S13" i="51" s="1"/>
  <c r="Z13" i="45" l="1"/>
  <c r="AD13" i="45" s="1"/>
  <c r="T56" i="51" l="1"/>
  <c r="T31" i="51" l="1"/>
  <c r="Q29" i="51"/>
  <c r="L8" i="51" l="1"/>
  <c r="L9" i="51"/>
  <c r="L10" i="51"/>
  <c r="L11" i="51"/>
  <c r="E82" i="31" l="1"/>
  <c r="F82" i="31"/>
  <c r="I82" i="31"/>
  <c r="J82" i="31"/>
  <c r="M82" i="31"/>
  <c r="Y84" i="43" s="1"/>
  <c r="N82" i="31"/>
  <c r="Q82" i="31"/>
  <c r="R82" i="31"/>
  <c r="O82" i="31" l="1"/>
  <c r="AA84" i="43" s="1"/>
  <c r="K82" i="31"/>
  <c r="S82" i="31"/>
  <c r="G82" i="31"/>
  <c r="E51" i="31" l="1"/>
  <c r="F51" i="31"/>
  <c r="I51" i="31"/>
  <c r="J51" i="31"/>
  <c r="M51" i="31"/>
  <c r="N51" i="31"/>
  <c r="Q51" i="31"/>
  <c r="R51" i="31"/>
  <c r="E52" i="31"/>
  <c r="F52" i="31"/>
  <c r="I52" i="31"/>
  <c r="J52" i="31"/>
  <c r="M52" i="31"/>
  <c r="N52" i="31"/>
  <c r="Q52" i="31"/>
  <c r="R52" i="31"/>
  <c r="G53" i="43"/>
  <c r="R53" i="43"/>
  <c r="U53" i="43"/>
  <c r="V53" i="43"/>
  <c r="AA53" i="43" s="1"/>
  <c r="AH53" i="43"/>
  <c r="W53" i="43" l="1"/>
  <c r="AG53" i="43"/>
  <c r="AI53" i="43" s="1"/>
  <c r="Y53" i="43"/>
  <c r="S52" i="31"/>
  <c r="G52" i="31"/>
  <c r="O52" i="31"/>
  <c r="K52" i="31"/>
  <c r="K51" i="31"/>
  <c r="S51" i="31"/>
  <c r="O51" i="31"/>
  <c r="G51" i="31"/>
  <c r="AK53" i="43" l="1"/>
  <c r="AM53" i="43" s="1"/>
  <c r="L29" i="51"/>
  <c r="F13" i="3" l="1"/>
  <c r="R13" i="31"/>
  <c r="E86" i="31" l="1"/>
  <c r="Y22" i="45"/>
  <c r="Y21" i="45"/>
  <c r="Z21" i="45" s="1"/>
  <c r="Y20" i="45"/>
  <c r="Z20" i="45" s="1"/>
  <c r="Y19" i="45"/>
  <c r="Z19" i="45" s="1"/>
  <c r="Y18" i="45"/>
  <c r="Z18" i="45" s="1"/>
  <c r="AF13" i="43" l="1"/>
  <c r="AF106" i="43" s="1"/>
  <c r="AF141" i="43" s="1"/>
  <c r="AC13" i="43"/>
  <c r="AC106" i="43" s="1"/>
  <c r="I14" i="45"/>
  <c r="I12" i="45"/>
  <c r="I11" i="45"/>
  <c r="I10" i="45"/>
  <c r="H14" i="45"/>
  <c r="AD14" i="45" s="1"/>
  <c r="H12" i="45"/>
  <c r="Q12" i="45" s="1"/>
  <c r="H11" i="45"/>
  <c r="H10" i="45"/>
  <c r="AD10" i="45" s="1"/>
  <c r="I49" i="45"/>
  <c r="O226" i="57"/>
  <c r="N226" i="57"/>
  <c r="M226" i="57"/>
  <c r="L226" i="57"/>
  <c r="K226" i="57"/>
  <c r="J226" i="57"/>
  <c r="I226" i="57"/>
  <c r="H226" i="57"/>
  <c r="G226" i="57"/>
  <c r="F226" i="57"/>
  <c r="E226" i="57"/>
  <c r="O225" i="57"/>
  <c r="N225" i="57"/>
  <c r="M225" i="57"/>
  <c r="L225" i="57"/>
  <c r="K225" i="57"/>
  <c r="J225" i="57"/>
  <c r="I225" i="57"/>
  <c r="H225" i="57"/>
  <c r="G225" i="57"/>
  <c r="F225" i="57"/>
  <c r="E225" i="57"/>
  <c r="O224" i="57"/>
  <c r="N224" i="57"/>
  <c r="M224" i="57"/>
  <c r="L224" i="57"/>
  <c r="K224" i="57"/>
  <c r="J224" i="57"/>
  <c r="I224" i="57"/>
  <c r="H224" i="57"/>
  <c r="G224" i="57"/>
  <c r="F224" i="57"/>
  <c r="E224" i="57"/>
  <c r="O223" i="57"/>
  <c r="N223" i="57"/>
  <c r="M223" i="57"/>
  <c r="L223" i="57"/>
  <c r="K223" i="57"/>
  <c r="J223" i="57"/>
  <c r="I223" i="57"/>
  <c r="H223" i="57"/>
  <c r="G223" i="57"/>
  <c r="F223" i="57"/>
  <c r="E223" i="57"/>
  <c r="O222" i="57"/>
  <c r="N222" i="57"/>
  <c r="M222" i="57"/>
  <c r="L222" i="57"/>
  <c r="K222" i="57"/>
  <c r="J222" i="57"/>
  <c r="I222" i="57"/>
  <c r="H222" i="57"/>
  <c r="G222" i="57"/>
  <c r="F222" i="57"/>
  <c r="E222" i="57"/>
  <c r="O221" i="57"/>
  <c r="N221" i="57"/>
  <c r="M221" i="57"/>
  <c r="L221" i="57"/>
  <c r="K221" i="57"/>
  <c r="J221" i="57"/>
  <c r="I221" i="57"/>
  <c r="H221" i="57"/>
  <c r="G221" i="57"/>
  <c r="F221" i="57"/>
  <c r="E221" i="57"/>
  <c r="O220" i="57"/>
  <c r="N220" i="57"/>
  <c r="M220" i="57"/>
  <c r="L220" i="57"/>
  <c r="K220" i="57"/>
  <c r="J220" i="57"/>
  <c r="I220" i="57"/>
  <c r="H220" i="57"/>
  <c r="G220" i="57"/>
  <c r="F220" i="57"/>
  <c r="E220" i="57"/>
  <c r="O219" i="57"/>
  <c r="N219" i="57"/>
  <c r="M219" i="57"/>
  <c r="L219" i="57"/>
  <c r="K219" i="57"/>
  <c r="J219" i="57"/>
  <c r="I219" i="57"/>
  <c r="H219" i="57"/>
  <c r="G219" i="57"/>
  <c r="F219" i="57"/>
  <c r="E219" i="57"/>
  <c r="O218" i="57"/>
  <c r="N218" i="57"/>
  <c r="M218" i="57"/>
  <c r="L218" i="57"/>
  <c r="K218" i="57"/>
  <c r="J218" i="57"/>
  <c r="I218" i="57"/>
  <c r="H218" i="57"/>
  <c r="G218" i="57"/>
  <c r="F218" i="57"/>
  <c r="E218" i="57"/>
  <c r="O217" i="57"/>
  <c r="N217" i="57"/>
  <c r="M217" i="57"/>
  <c r="L217" i="57"/>
  <c r="K217" i="57"/>
  <c r="J217" i="57"/>
  <c r="I217" i="57"/>
  <c r="H217" i="57"/>
  <c r="G217" i="57"/>
  <c r="F217" i="57"/>
  <c r="E217" i="57"/>
  <c r="O216" i="57"/>
  <c r="N216" i="57"/>
  <c r="M216" i="57"/>
  <c r="L216" i="57"/>
  <c r="K216" i="57"/>
  <c r="J216" i="57"/>
  <c r="I216" i="57"/>
  <c r="H216" i="57"/>
  <c r="G216" i="57"/>
  <c r="F216" i="57"/>
  <c r="E216" i="57"/>
  <c r="O215" i="57"/>
  <c r="N215" i="57"/>
  <c r="M215" i="57"/>
  <c r="L215" i="57"/>
  <c r="K215" i="57"/>
  <c r="J215" i="57"/>
  <c r="I215" i="57"/>
  <c r="H215" i="57"/>
  <c r="G215" i="57"/>
  <c r="F215" i="57"/>
  <c r="E215" i="57"/>
  <c r="O214" i="57"/>
  <c r="N214" i="57"/>
  <c r="M214" i="57"/>
  <c r="L214" i="57"/>
  <c r="K214" i="57"/>
  <c r="J214" i="57"/>
  <c r="I214" i="57"/>
  <c r="H214" i="57"/>
  <c r="G214" i="57"/>
  <c r="F214" i="57"/>
  <c r="E214" i="57"/>
  <c r="O213" i="57"/>
  <c r="N213" i="57"/>
  <c r="M213" i="57"/>
  <c r="L213" i="57"/>
  <c r="K213" i="57"/>
  <c r="J213" i="57"/>
  <c r="I213" i="57"/>
  <c r="H213" i="57"/>
  <c r="G213" i="57"/>
  <c r="F213" i="57"/>
  <c r="E213" i="57"/>
  <c r="O212" i="57"/>
  <c r="N212" i="57"/>
  <c r="M212" i="57"/>
  <c r="L212" i="57"/>
  <c r="K212" i="57"/>
  <c r="J212" i="57"/>
  <c r="I212" i="57"/>
  <c r="H212" i="57"/>
  <c r="G212" i="57"/>
  <c r="F212" i="57"/>
  <c r="E212" i="57"/>
  <c r="O211" i="57"/>
  <c r="N211" i="57"/>
  <c r="M211" i="57"/>
  <c r="L211" i="57"/>
  <c r="K211" i="57"/>
  <c r="J211" i="57"/>
  <c r="I211" i="57"/>
  <c r="H211" i="57"/>
  <c r="G211" i="57"/>
  <c r="F211" i="57"/>
  <c r="E211" i="57"/>
  <c r="O210" i="57"/>
  <c r="N210" i="57"/>
  <c r="M210" i="57"/>
  <c r="L210" i="57"/>
  <c r="K210" i="57"/>
  <c r="J210" i="57"/>
  <c r="I210" i="57"/>
  <c r="H210" i="57"/>
  <c r="G210" i="57"/>
  <c r="F210" i="57"/>
  <c r="E210" i="57"/>
  <c r="O209" i="57"/>
  <c r="N209" i="57"/>
  <c r="M209" i="57"/>
  <c r="L209" i="57"/>
  <c r="K209" i="57"/>
  <c r="J209" i="57"/>
  <c r="I209" i="57"/>
  <c r="H209" i="57"/>
  <c r="G209" i="57"/>
  <c r="F209" i="57"/>
  <c r="E209" i="57"/>
  <c r="O208" i="57"/>
  <c r="N208" i="57"/>
  <c r="M208" i="57"/>
  <c r="L208" i="57"/>
  <c r="K208" i="57"/>
  <c r="J208" i="57"/>
  <c r="I208" i="57"/>
  <c r="H208" i="57"/>
  <c r="G208" i="57"/>
  <c r="F208" i="57"/>
  <c r="E208" i="57"/>
  <c r="O207" i="57"/>
  <c r="N207" i="57"/>
  <c r="M207" i="57"/>
  <c r="L207" i="57"/>
  <c r="K207" i="57"/>
  <c r="J207" i="57"/>
  <c r="I207" i="57"/>
  <c r="H207" i="57"/>
  <c r="G207" i="57"/>
  <c r="F207" i="57"/>
  <c r="E207" i="57"/>
  <c r="O206" i="57"/>
  <c r="N206" i="57"/>
  <c r="M206" i="57"/>
  <c r="L206" i="57"/>
  <c r="K206" i="57"/>
  <c r="J206" i="57"/>
  <c r="I206" i="57"/>
  <c r="H206" i="57"/>
  <c r="G206" i="57"/>
  <c r="F206" i="57"/>
  <c r="E206" i="57"/>
  <c r="O205" i="57"/>
  <c r="N205" i="57"/>
  <c r="M205" i="57"/>
  <c r="L205" i="57"/>
  <c r="K205" i="57"/>
  <c r="J205" i="57"/>
  <c r="I205" i="57"/>
  <c r="H205" i="57"/>
  <c r="G205" i="57"/>
  <c r="F205" i="57"/>
  <c r="E205" i="57"/>
  <c r="O204" i="57"/>
  <c r="N204" i="57"/>
  <c r="M204" i="57"/>
  <c r="L204" i="57"/>
  <c r="K204" i="57"/>
  <c r="J204" i="57"/>
  <c r="I204" i="57"/>
  <c r="H204" i="57"/>
  <c r="G204" i="57"/>
  <c r="F204" i="57"/>
  <c r="E204" i="57"/>
  <c r="O203" i="57"/>
  <c r="N203" i="57"/>
  <c r="M203" i="57"/>
  <c r="L203" i="57"/>
  <c r="K203" i="57"/>
  <c r="J203" i="57"/>
  <c r="I203" i="57"/>
  <c r="H203" i="57"/>
  <c r="G203" i="57"/>
  <c r="F203" i="57"/>
  <c r="E203" i="57"/>
  <c r="O202" i="57"/>
  <c r="N202" i="57"/>
  <c r="M202" i="57"/>
  <c r="L202" i="57"/>
  <c r="K202" i="57"/>
  <c r="J202" i="57"/>
  <c r="I202" i="57"/>
  <c r="H202" i="57"/>
  <c r="G202" i="57"/>
  <c r="F202" i="57"/>
  <c r="E202" i="57"/>
  <c r="O201" i="57"/>
  <c r="N201" i="57"/>
  <c r="M201" i="57"/>
  <c r="L201" i="57"/>
  <c r="K201" i="57"/>
  <c r="J201" i="57"/>
  <c r="I201" i="57"/>
  <c r="H201" i="57"/>
  <c r="G201" i="57"/>
  <c r="F201" i="57"/>
  <c r="E201" i="57"/>
  <c r="O200" i="57"/>
  <c r="N200" i="57"/>
  <c r="M200" i="57"/>
  <c r="L200" i="57"/>
  <c r="K200" i="57"/>
  <c r="J200" i="57"/>
  <c r="I200" i="57"/>
  <c r="H200" i="57"/>
  <c r="G200" i="57"/>
  <c r="F200" i="57"/>
  <c r="E200" i="57"/>
  <c r="O198" i="57"/>
  <c r="N198" i="57"/>
  <c r="M198" i="57"/>
  <c r="L198" i="57"/>
  <c r="K198" i="57"/>
  <c r="J198" i="57"/>
  <c r="I198" i="57"/>
  <c r="H198" i="57"/>
  <c r="G198" i="57"/>
  <c r="F198" i="57"/>
  <c r="E198" i="57"/>
  <c r="H196" i="57"/>
  <c r="H195" i="57"/>
  <c r="H194" i="57"/>
  <c r="E194" i="57"/>
  <c r="H193" i="57"/>
  <c r="H192" i="57"/>
  <c r="H191" i="57"/>
  <c r="M11" i="57"/>
  <c r="O11" i="57" s="1"/>
  <c r="H11" i="57"/>
  <c r="I11" i="57" s="1"/>
  <c r="J11" i="57" s="1"/>
  <c r="G11" i="57"/>
  <c r="F11" i="57"/>
  <c r="O10" i="57"/>
  <c r="N10" i="57"/>
  <c r="H10" i="57"/>
  <c r="G10" i="57"/>
  <c r="F10" i="57"/>
  <c r="E10" i="57"/>
  <c r="H5" i="57"/>
  <c r="G5" i="57"/>
  <c r="E4" i="57"/>
  <c r="E3" i="57"/>
  <c r="E2" i="57"/>
  <c r="E1" i="57"/>
  <c r="W22" i="45"/>
  <c r="Z22" i="45" s="1"/>
  <c r="AC141" i="43" l="1"/>
  <c r="AG106" i="43"/>
  <c r="H9" i="45"/>
  <c r="I19" i="45"/>
  <c r="I20" i="45"/>
  <c r="I21" i="45"/>
  <c r="I18" i="45"/>
  <c r="I9" i="45"/>
  <c r="N11" i="57"/>
  <c r="J10" i="57"/>
  <c r="I10" i="57"/>
  <c r="I23" i="45" l="1"/>
  <c r="J105" i="43"/>
  <c r="E21" i="31"/>
  <c r="R22" i="31"/>
  <c r="Q22" i="31"/>
  <c r="N22" i="31"/>
  <c r="M22" i="31"/>
  <c r="J22" i="31"/>
  <c r="I22" i="31"/>
  <c r="F22" i="31"/>
  <c r="E22" i="31"/>
  <c r="R21" i="31"/>
  <c r="Q21" i="31"/>
  <c r="N21" i="31"/>
  <c r="M21" i="31"/>
  <c r="J21" i="31"/>
  <c r="I21" i="31"/>
  <c r="F21" i="31"/>
  <c r="R39" i="31"/>
  <c r="Q39" i="31"/>
  <c r="N39" i="31"/>
  <c r="M39" i="31"/>
  <c r="J39" i="31"/>
  <c r="I39" i="31"/>
  <c r="F39" i="31"/>
  <c r="E39" i="31"/>
  <c r="R38" i="31"/>
  <c r="Q38" i="31"/>
  <c r="N38" i="31"/>
  <c r="M38" i="31"/>
  <c r="J38" i="31"/>
  <c r="I38" i="31"/>
  <c r="F38" i="31"/>
  <c r="E38" i="31"/>
  <c r="R37" i="31"/>
  <c r="Q37" i="31"/>
  <c r="N37" i="31"/>
  <c r="M37" i="31"/>
  <c r="J37" i="31"/>
  <c r="I37" i="31"/>
  <c r="F37" i="31"/>
  <c r="E37" i="31"/>
  <c r="E16" i="31"/>
  <c r="M12" i="57" l="1"/>
  <c r="G22" i="31"/>
  <c r="O38" i="31"/>
  <c r="K38" i="31"/>
  <c r="O37" i="31"/>
  <c r="S22" i="31"/>
  <c r="G37" i="31"/>
  <c r="K22" i="31"/>
  <c r="K39" i="31"/>
  <c r="O22" i="31"/>
  <c r="S39" i="31"/>
  <c r="O39" i="31"/>
  <c r="S37" i="31"/>
  <c r="S21" i="31"/>
  <c r="K37" i="31"/>
  <c r="O21" i="31"/>
  <c r="S38" i="31"/>
  <c r="G38" i="31"/>
  <c r="G39" i="31"/>
  <c r="K21" i="31"/>
  <c r="G21" i="31"/>
  <c r="AS11" i="19"/>
  <c r="AR11" i="19"/>
  <c r="AQ11" i="19"/>
  <c r="AP11" i="19"/>
  <c r="AO11" i="19"/>
  <c r="AE11" i="19"/>
  <c r="AD11" i="19"/>
  <c r="AC11" i="19"/>
  <c r="AB11" i="19"/>
  <c r="AA11" i="19"/>
  <c r="Q11" i="19"/>
  <c r="P11" i="19"/>
  <c r="O11" i="19"/>
  <c r="N11" i="19"/>
  <c r="M11" i="19"/>
  <c r="E161" i="1" l="1"/>
  <c r="F161" i="1"/>
  <c r="G161" i="1"/>
  <c r="K161" i="1"/>
  <c r="L161" i="1"/>
  <c r="M161" i="1"/>
  <c r="N161" i="1"/>
  <c r="O161" i="1"/>
  <c r="P161" i="1"/>
  <c r="Q161" i="1"/>
  <c r="R161" i="1"/>
  <c r="E162" i="1"/>
  <c r="F162" i="1"/>
  <c r="G162" i="1"/>
  <c r="K162" i="1"/>
  <c r="L162" i="1"/>
  <c r="M162" i="1"/>
  <c r="N162" i="1"/>
  <c r="O162" i="1"/>
  <c r="P162" i="1"/>
  <c r="Q162" i="1"/>
  <c r="R162" i="1"/>
  <c r="E163" i="1"/>
  <c r="F163" i="1"/>
  <c r="G163" i="1"/>
  <c r="K163" i="1"/>
  <c r="L163" i="1"/>
  <c r="M163" i="1"/>
  <c r="N163" i="1"/>
  <c r="O163" i="1"/>
  <c r="P163" i="1"/>
  <c r="Q163" i="1"/>
  <c r="R163" i="1"/>
  <c r="M157" i="1" l="1"/>
  <c r="N157" i="1"/>
  <c r="O157" i="1"/>
  <c r="P157" i="1"/>
  <c r="Q157" i="1"/>
  <c r="R157" i="1"/>
  <c r="M158" i="1"/>
  <c r="N158" i="1"/>
  <c r="O158" i="1"/>
  <c r="P158" i="1"/>
  <c r="Q158" i="1"/>
  <c r="R158" i="1"/>
  <c r="M159" i="1"/>
  <c r="N159" i="1"/>
  <c r="O159" i="1"/>
  <c r="P159" i="1"/>
  <c r="Q159" i="1"/>
  <c r="R159" i="1"/>
  <c r="M160" i="1"/>
  <c r="N160" i="1"/>
  <c r="O160" i="1"/>
  <c r="P160" i="1"/>
  <c r="Q160" i="1"/>
  <c r="R160" i="1"/>
  <c r="M164" i="1"/>
  <c r="N164" i="1"/>
  <c r="O164" i="1"/>
  <c r="P164" i="1"/>
  <c r="Q164" i="1"/>
  <c r="R164" i="1"/>
  <c r="M165" i="1"/>
  <c r="N165" i="1"/>
  <c r="O165" i="1"/>
  <c r="P165" i="1"/>
  <c r="Q165" i="1"/>
  <c r="R165" i="1"/>
  <c r="M166" i="1"/>
  <c r="N166" i="1"/>
  <c r="O166" i="1"/>
  <c r="P166" i="1"/>
  <c r="Q166" i="1"/>
  <c r="R166" i="1"/>
  <c r="M167" i="1"/>
  <c r="N167" i="1"/>
  <c r="O167" i="1"/>
  <c r="P167" i="1"/>
  <c r="Q167" i="1"/>
  <c r="R167" i="1"/>
  <c r="M168" i="1"/>
  <c r="N168" i="1"/>
  <c r="O168" i="1"/>
  <c r="P168" i="1"/>
  <c r="Q168" i="1"/>
  <c r="R168" i="1"/>
  <c r="M169" i="1"/>
  <c r="N169" i="1"/>
  <c r="O169" i="1"/>
  <c r="P169" i="1"/>
  <c r="Q169" i="1"/>
  <c r="R169" i="1"/>
  <c r="M170" i="1"/>
  <c r="N170" i="1"/>
  <c r="O170" i="1"/>
  <c r="P170" i="1"/>
  <c r="Q170" i="1"/>
  <c r="R170" i="1"/>
  <c r="M171" i="1"/>
  <c r="N171" i="1"/>
  <c r="O171" i="1"/>
  <c r="P171" i="1"/>
  <c r="Q171" i="1"/>
  <c r="R171" i="1"/>
  <c r="M172" i="1"/>
  <c r="N172" i="1"/>
  <c r="O172" i="1"/>
  <c r="P172" i="1"/>
  <c r="Q172" i="1"/>
  <c r="R172" i="1"/>
  <c r="M173" i="1"/>
  <c r="N173" i="1"/>
  <c r="O173" i="1"/>
  <c r="P173" i="1"/>
  <c r="Q173" i="1"/>
  <c r="R173" i="1"/>
  <c r="M174" i="1"/>
  <c r="N174" i="1"/>
  <c r="O174" i="1"/>
  <c r="P174" i="1"/>
  <c r="Q174" i="1"/>
  <c r="R174" i="1"/>
  <c r="M175" i="1"/>
  <c r="N175" i="1"/>
  <c r="O175" i="1"/>
  <c r="P175" i="1"/>
  <c r="Q175" i="1"/>
  <c r="R175" i="1"/>
  <c r="M176" i="1"/>
  <c r="N176" i="1"/>
  <c r="O176" i="1"/>
  <c r="P176" i="1"/>
  <c r="Q176" i="1"/>
  <c r="R176" i="1"/>
  <c r="M177" i="1"/>
  <c r="N177" i="1"/>
  <c r="O177" i="1"/>
  <c r="P177" i="1"/>
  <c r="Q177" i="1"/>
  <c r="R177" i="1"/>
  <c r="M178" i="1"/>
  <c r="N178" i="1"/>
  <c r="O178" i="1"/>
  <c r="P178" i="1"/>
  <c r="Q178" i="1"/>
  <c r="R178" i="1"/>
  <c r="M179" i="1"/>
  <c r="N179" i="1"/>
  <c r="O179" i="1"/>
  <c r="P179" i="1"/>
  <c r="Q179" i="1"/>
  <c r="R179" i="1"/>
  <c r="M180" i="1"/>
  <c r="N180" i="1"/>
  <c r="O180" i="1"/>
  <c r="P180" i="1"/>
  <c r="Q180" i="1"/>
  <c r="R180" i="1"/>
  <c r="M181" i="1"/>
  <c r="N181" i="1"/>
  <c r="O181" i="1"/>
  <c r="P181" i="1"/>
  <c r="Q181" i="1"/>
  <c r="R181" i="1"/>
  <c r="E179" i="1"/>
  <c r="F179" i="1"/>
  <c r="G179" i="1"/>
  <c r="K179" i="1"/>
  <c r="L179" i="1"/>
  <c r="E180" i="1"/>
  <c r="F180" i="1"/>
  <c r="G180" i="1"/>
  <c r="K180" i="1"/>
  <c r="L180" i="1"/>
  <c r="E175" i="1"/>
  <c r="F175" i="1"/>
  <c r="G175" i="1"/>
  <c r="K175" i="1"/>
  <c r="L175" i="1"/>
  <c r="E159" i="1"/>
  <c r="F159" i="1"/>
  <c r="G159" i="1"/>
  <c r="K159" i="1"/>
  <c r="L159" i="1"/>
  <c r="Q46" i="51" l="1"/>
  <c r="R47" i="51" s="1"/>
  <c r="Q45" i="51"/>
  <c r="R46" i="51" s="1"/>
  <c r="Q44" i="51"/>
  <c r="Q43" i="51"/>
  <c r="Q42" i="51"/>
  <c r="S43" i="51" s="1"/>
  <c r="Q41" i="51"/>
  <c r="Q40" i="51"/>
  <c r="Q39" i="51"/>
  <c r="Q38" i="51"/>
  <c r="Q36" i="51"/>
  <c r="Q35" i="51"/>
  <c r="Q34" i="51"/>
  <c r="Q33" i="51"/>
  <c r="Q32" i="51"/>
  <c r="S33" i="51" s="1"/>
  <c r="S34" i="51" s="1"/>
  <c r="Q31" i="51"/>
  <c r="R45" i="51" l="1"/>
  <c r="R44" i="51"/>
  <c r="R43" i="51"/>
  <c r="R42" i="51"/>
  <c r="R41" i="51"/>
  <c r="R40" i="51"/>
  <c r="R39" i="51"/>
  <c r="R38" i="51"/>
  <c r="R37" i="51"/>
  <c r="R36" i="51"/>
  <c r="R35" i="51"/>
  <c r="R34" i="51"/>
  <c r="R33" i="51"/>
  <c r="R32" i="51"/>
  <c r="R235" i="26" l="1"/>
  <c r="Q235" i="26"/>
  <c r="P235" i="26"/>
  <c r="O235" i="26"/>
  <c r="N235" i="26"/>
  <c r="M235" i="26"/>
  <c r="L235" i="26"/>
  <c r="K235" i="26"/>
  <c r="J235" i="26"/>
  <c r="I235" i="26"/>
  <c r="H235" i="26"/>
  <c r="G235" i="26"/>
  <c r="F235" i="26"/>
  <c r="E235" i="26"/>
  <c r="R234" i="26"/>
  <c r="Q234" i="26"/>
  <c r="P234" i="26"/>
  <c r="O234" i="26"/>
  <c r="N234" i="26"/>
  <c r="M234" i="26"/>
  <c r="L234" i="26"/>
  <c r="K234" i="26"/>
  <c r="J234" i="26"/>
  <c r="I234" i="26"/>
  <c r="H234" i="26"/>
  <c r="G234" i="26"/>
  <c r="F234" i="26"/>
  <c r="E234" i="26"/>
  <c r="R233" i="26"/>
  <c r="Q233" i="26"/>
  <c r="P233" i="26"/>
  <c r="O233" i="26"/>
  <c r="N233" i="26"/>
  <c r="M233" i="26"/>
  <c r="L233" i="26"/>
  <c r="K233" i="26"/>
  <c r="J233" i="26"/>
  <c r="I233" i="26"/>
  <c r="H233" i="26"/>
  <c r="G233" i="26"/>
  <c r="F233" i="26"/>
  <c r="E233" i="26"/>
  <c r="R232" i="26"/>
  <c r="Q232" i="26"/>
  <c r="P232" i="26"/>
  <c r="O232" i="26"/>
  <c r="N232" i="26"/>
  <c r="M232" i="26"/>
  <c r="L232" i="26"/>
  <c r="K232" i="26"/>
  <c r="J232" i="26"/>
  <c r="I232" i="26"/>
  <c r="H232" i="26"/>
  <c r="G232" i="26"/>
  <c r="F232" i="26"/>
  <c r="E232" i="26"/>
  <c r="R231" i="26"/>
  <c r="Q231" i="26"/>
  <c r="P231" i="26"/>
  <c r="O231" i="26"/>
  <c r="N231" i="26"/>
  <c r="M231" i="26"/>
  <c r="L231" i="26"/>
  <c r="K231" i="26"/>
  <c r="J231" i="26"/>
  <c r="I231" i="26"/>
  <c r="H231" i="26"/>
  <c r="G231" i="26"/>
  <c r="F231" i="26"/>
  <c r="E231" i="26"/>
  <c r="R230" i="26"/>
  <c r="Q230" i="26"/>
  <c r="P230" i="26"/>
  <c r="O230" i="26"/>
  <c r="N230" i="26"/>
  <c r="M230" i="26"/>
  <c r="L230" i="26"/>
  <c r="K230" i="26"/>
  <c r="J230" i="26"/>
  <c r="I230" i="26"/>
  <c r="H230" i="26"/>
  <c r="G230" i="26"/>
  <c r="F230" i="26"/>
  <c r="E230" i="26"/>
  <c r="R229" i="26"/>
  <c r="Q229" i="26"/>
  <c r="P229" i="26"/>
  <c r="O229" i="26"/>
  <c r="N229" i="26"/>
  <c r="M229" i="26"/>
  <c r="L229" i="26"/>
  <c r="K229" i="26"/>
  <c r="J229" i="26"/>
  <c r="I229" i="26"/>
  <c r="H229" i="26"/>
  <c r="G229" i="26"/>
  <c r="F229" i="26"/>
  <c r="E229" i="26"/>
  <c r="R228" i="26"/>
  <c r="Q228" i="26"/>
  <c r="P228" i="26"/>
  <c r="O228" i="26"/>
  <c r="N228" i="26"/>
  <c r="M228" i="26"/>
  <c r="L228" i="26"/>
  <c r="K228" i="26"/>
  <c r="J228" i="26"/>
  <c r="I228" i="26"/>
  <c r="H228" i="26"/>
  <c r="G228" i="26"/>
  <c r="F228" i="26"/>
  <c r="E228" i="26"/>
  <c r="R227" i="26"/>
  <c r="Q227" i="26"/>
  <c r="P227" i="26"/>
  <c r="O227" i="26"/>
  <c r="N227" i="26"/>
  <c r="M227" i="26"/>
  <c r="L227" i="26"/>
  <c r="K227" i="26"/>
  <c r="J227" i="26"/>
  <c r="I227" i="26"/>
  <c r="H227" i="26"/>
  <c r="G227" i="26"/>
  <c r="F227" i="26"/>
  <c r="E227" i="26"/>
  <c r="R226" i="26"/>
  <c r="Q226" i="26"/>
  <c r="P226" i="26"/>
  <c r="O226" i="26"/>
  <c r="N226" i="26"/>
  <c r="M226" i="26"/>
  <c r="L226" i="26"/>
  <c r="K226" i="26"/>
  <c r="J226" i="26"/>
  <c r="I226" i="26"/>
  <c r="H226" i="26"/>
  <c r="G226" i="26"/>
  <c r="F226" i="26"/>
  <c r="E226" i="26"/>
  <c r="R225" i="26"/>
  <c r="Q225" i="26"/>
  <c r="P225" i="26"/>
  <c r="O225" i="26"/>
  <c r="N225" i="26"/>
  <c r="M225" i="26"/>
  <c r="L225" i="26"/>
  <c r="K225" i="26"/>
  <c r="J225" i="26"/>
  <c r="I225" i="26"/>
  <c r="H225" i="26"/>
  <c r="G225" i="26"/>
  <c r="F225" i="26"/>
  <c r="E225" i="26"/>
  <c r="R224" i="26"/>
  <c r="Q224" i="26"/>
  <c r="P224" i="26"/>
  <c r="O224" i="26"/>
  <c r="N224" i="26"/>
  <c r="M224" i="26"/>
  <c r="L224" i="26"/>
  <c r="K224" i="26"/>
  <c r="J224" i="26"/>
  <c r="I224" i="26"/>
  <c r="H224" i="26"/>
  <c r="G224" i="26"/>
  <c r="F224" i="26"/>
  <c r="E224" i="26"/>
  <c r="R223" i="26"/>
  <c r="Q223" i="26"/>
  <c r="P223" i="26"/>
  <c r="O223" i="26"/>
  <c r="N223" i="26"/>
  <c r="M223" i="26"/>
  <c r="L223" i="26"/>
  <c r="K223" i="26"/>
  <c r="J223" i="26"/>
  <c r="I223" i="26"/>
  <c r="H223" i="26"/>
  <c r="G223" i="26"/>
  <c r="F223" i="26"/>
  <c r="E223" i="26"/>
  <c r="R222" i="26"/>
  <c r="Q222" i="26"/>
  <c r="P222" i="26"/>
  <c r="O222" i="26"/>
  <c r="N222" i="26"/>
  <c r="M222" i="26"/>
  <c r="L222" i="26"/>
  <c r="K222" i="26"/>
  <c r="J222" i="26"/>
  <c r="I222" i="26"/>
  <c r="H222" i="26"/>
  <c r="G222" i="26"/>
  <c r="F222" i="26"/>
  <c r="E222" i="26"/>
  <c r="R221" i="26"/>
  <c r="Q221" i="26"/>
  <c r="P221" i="26"/>
  <c r="O221" i="26"/>
  <c r="N221" i="26"/>
  <c r="M221" i="26"/>
  <c r="L221" i="26"/>
  <c r="K221" i="26"/>
  <c r="J221" i="26"/>
  <c r="I221" i="26"/>
  <c r="H221" i="26"/>
  <c r="G221" i="26"/>
  <c r="F221" i="26"/>
  <c r="E221" i="26"/>
  <c r="R220" i="26"/>
  <c r="Q220" i="26"/>
  <c r="P220" i="26"/>
  <c r="O220" i="26"/>
  <c r="N220" i="26"/>
  <c r="M220" i="26"/>
  <c r="L220" i="26"/>
  <c r="K220" i="26"/>
  <c r="J220" i="26"/>
  <c r="I220" i="26"/>
  <c r="H220" i="26"/>
  <c r="G220" i="26"/>
  <c r="F220" i="26"/>
  <c r="E220" i="26"/>
  <c r="R219" i="26"/>
  <c r="Q219" i="26"/>
  <c r="P219" i="26"/>
  <c r="O219" i="26"/>
  <c r="N219" i="26"/>
  <c r="M219" i="26"/>
  <c r="L219" i="26"/>
  <c r="K219" i="26"/>
  <c r="J219" i="26"/>
  <c r="I219" i="26"/>
  <c r="H219" i="26"/>
  <c r="G219" i="26"/>
  <c r="F219" i="26"/>
  <c r="E219" i="26"/>
  <c r="R218" i="26"/>
  <c r="Q218" i="26"/>
  <c r="P218" i="26"/>
  <c r="O218" i="26"/>
  <c r="N218" i="26"/>
  <c r="M218" i="26"/>
  <c r="L218" i="26"/>
  <c r="K218" i="26"/>
  <c r="J218" i="26"/>
  <c r="I218" i="26"/>
  <c r="H218" i="26"/>
  <c r="G218" i="26"/>
  <c r="F218" i="26"/>
  <c r="E218" i="26"/>
  <c r="R217" i="26"/>
  <c r="Q217" i="26"/>
  <c r="P217" i="26"/>
  <c r="O217" i="26"/>
  <c r="N217" i="26"/>
  <c r="M217" i="26"/>
  <c r="L217" i="26"/>
  <c r="K217" i="26"/>
  <c r="J217" i="26"/>
  <c r="I217" i="26"/>
  <c r="H217" i="26"/>
  <c r="G217" i="26"/>
  <c r="F217" i="26"/>
  <c r="E217" i="26"/>
  <c r="R216" i="26"/>
  <c r="Q216" i="26"/>
  <c r="P216" i="26"/>
  <c r="O216" i="26"/>
  <c r="N216" i="26"/>
  <c r="M216" i="26"/>
  <c r="L216" i="26"/>
  <c r="K216" i="26"/>
  <c r="J216" i="26"/>
  <c r="I216" i="26"/>
  <c r="H216" i="26"/>
  <c r="G216" i="26"/>
  <c r="F216" i="26"/>
  <c r="E216" i="26"/>
  <c r="R214" i="26"/>
  <c r="Q214" i="26"/>
  <c r="P214" i="26"/>
  <c r="O214" i="26"/>
  <c r="N214" i="26"/>
  <c r="M214" i="26"/>
  <c r="L214" i="26"/>
  <c r="K214" i="26"/>
  <c r="J214" i="26"/>
  <c r="I214" i="26"/>
  <c r="H214" i="26"/>
  <c r="G214" i="26"/>
  <c r="F214" i="26"/>
  <c r="E214" i="26"/>
  <c r="E1" i="3" l="1"/>
  <c r="T71" i="51"/>
  <c r="Q71" i="51"/>
  <c r="R72" i="51" s="1"/>
  <c r="Q72" i="51"/>
  <c r="Q50" i="51"/>
  <c r="R51" i="51" s="1"/>
  <c r="Q51" i="51"/>
  <c r="Q52" i="51"/>
  <c r="Q53" i="51"/>
  <c r="R54" i="51" s="1"/>
  <c r="Q54" i="51"/>
  <c r="Q55" i="51"/>
  <c r="R56" i="51" s="1"/>
  <c r="Q56" i="51"/>
  <c r="Q57" i="51"/>
  <c r="Q58" i="51"/>
  <c r="R59" i="51" s="1"/>
  <c r="Q59" i="51"/>
  <c r="Q60" i="51"/>
  <c r="Q61" i="51"/>
  <c r="Q63" i="51"/>
  <c r="S64" i="51" s="1"/>
  <c r="R65" i="51"/>
  <c r="Q65" i="51"/>
  <c r="R68" i="51" s="1"/>
  <c r="Q66" i="51"/>
  <c r="Q67" i="51"/>
  <c r="L71" i="51"/>
  <c r="L72" i="51"/>
  <c r="L67" i="51"/>
  <c r="T13" i="51"/>
  <c r="R13" i="51"/>
  <c r="R61" i="51" l="1"/>
  <c r="R62" i="51"/>
  <c r="R67" i="51"/>
  <c r="R69" i="51"/>
  <c r="S71" i="51"/>
  <c r="R70" i="51"/>
  <c r="R64" i="51"/>
  <c r="R53" i="51"/>
  <c r="S53" i="51"/>
  <c r="R58" i="51"/>
  <c r="S58" i="51"/>
  <c r="R71" i="51"/>
  <c r="R55" i="51"/>
  <c r="R60" i="51"/>
  <c r="R66" i="51"/>
  <c r="R57" i="51"/>
  <c r="R52" i="51"/>
  <c r="R63" i="51"/>
  <c r="S14" i="51"/>
  <c r="S15" i="51" s="1"/>
  <c r="S16" i="51" s="1"/>
  <c r="S17" i="51" s="1"/>
  <c r="T67" i="51"/>
  <c r="T66" i="51"/>
  <c r="T65" i="51"/>
  <c r="T64" i="51"/>
  <c r="T63" i="51"/>
  <c r="T61" i="51"/>
  <c r="T60" i="51"/>
  <c r="T59" i="51"/>
  <c r="T58" i="51"/>
  <c r="T57" i="51"/>
  <c r="T55" i="51"/>
  <c r="T54" i="51"/>
  <c r="T53" i="51"/>
  <c r="T52" i="51"/>
  <c r="T51" i="51"/>
  <c r="T50" i="51"/>
  <c r="T49" i="51"/>
  <c r="T46" i="51"/>
  <c r="T45" i="51"/>
  <c r="T43" i="51"/>
  <c r="T42" i="51"/>
  <c r="T41" i="51"/>
  <c r="T40" i="51"/>
  <c r="T39" i="51"/>
  <c r="T38" i="51"/>
  <c r="T37" i="51"/>
  <c r="T36" i="51"/>
  <c r="T35" i="51"/>
  <c r="T34" i="51"/>
  <c r="T33" i="51"/>
  <c r="T32" i="51"/>
  <c r="T30" i="51"/>
  <c r="T29" i="51"/>
  <c r="T28" i="51"/>
  <c r="T27" i="51"/>
  <c r="T26" i="51"/>
  <c r="T25" i="51"/>
  <c r="T24" i="51"/>
  <c r="T23" i="51"/>
  <c r="T22" i="51"/>
  <c r="T21" i="51"/>
  <c r="T20" i="51"/>
  <c r="T19" i="51"/>
  <c r="T18" i="51"/>
  <c r="T16" i="51"/>
  <c r="T15" i="51"/>
  <c r="T14" i="51"/>
  <c r="T12" i="51"/>
  <c r="Q13" i="51"/>
  <c r="R14" i="51" s="1"/>
  <c r="Q14" i="51"/>
  <c r="R15" i="51" s="1"/>
  <c r="Q15" i="51"/>
  <c r="R16" i="51" s="1"/>
  <c r="Q16" i="51"/>
  <c r="Q30" i="51"/>
  <c r="R31" i="51" s="1"/>
  <c r="R30" i="51"/>
  <c r="Q28" i="51"/>
  <c r="R29" i="51" s="1"/>
  <c r="Q27" i="51"/>
  <c r="R26" i="51"/>
  <c r="Q24" i="51"/>
  <c r="R25" i="51" s="1"/>
  <c r="Q23" i="51"/>
  <c r="R24" i="51" s="1"/>
  <c r="S24" i="51"/>
  <c r="Q21" i="51"/>
  <c r="R22" i="51" s="1"/>
  <c r="Q20" i="51"/>
  <c r="R21" i="51" s="1"/>
  <c r="Q19" i="51"/>
  <c r="R20" i="51" s="1"/>
  <c r="Q18" i="51"/>
  <c r="R19" i="51" s="1"/>
  <c r="Q17" i="51"/>
  <c r="S18" i="51" s="1"/>
  <c r="S29" i="51" l="1"/>
  <c r="S30" i="51" s="1"/>
  <c r="S31" i="51" s="1"/>
  <c r="S32" i="51" s="1"/>
  <c r="S35" i="51" s="1"/>
  <c r="S36" i="51" s="1"/>
  <c r="S37" i="51" s="1"/>
  <c r="S40" i="51" s="1"/>
  <c r="S41" i="51" s="1"/>
  <c r="S42" i="51" s="1"/>
  <c r="S44" i="51" s="1"/>
  <c r="S45" i="51" s="1"/>
  <c r="S46" i="51" s="1"/>
  <c r="S47" i="51" s="1"/>
  <c r="S49" i="51" s="1"/>
  <c r="S28" i="51"/>
  <c r="R28" i="51"/>
  <c r="R18" i="51"/>
  <c r="S51" i="51"/>
  <c r="R50" i="51"/>
  <c r="S25" i="51"/>
  <c r="S26" i="51" s="1"/>
  <c r="S27" i="51" s="1"/>
  <c r="R23" i="51"/>
  <c r="R17" i="51"/>
  <c r="S52" i="51" l="1"/>
  <c r="S54" i="51" s="1"/>
  <c r="S55" i="51" s="1"/>
  <c r="S56" i="51" s="1"/>
  <c r="S57" i="51" s="1"/>
  <c r="S59" i="51" s="1"/>
  <c r="S60" i="51" s="1"/>
  <c r="S61" i="51" l="1"/>
  <c r="S63" i="51" s="1"/>
  <c r="S65" i="51" s="1"/>
  <c r="S66" i="51" s="1"/>
  <c r="S62" i="51"/>
  <c r="S72" i="51"/>
  <c r="S68" i="51" l="1"/>
  <c r="S67" i="51"/>
  <c r="S70" i="51" s="1"/>
  <c r="S69" i="51"/>
  <c r="L63" i="51" l="1"/>
  <c r="S19" i="51"/>
  <c r="S20" i="51" s="1"/>
  <c r="S21" i="51" s="1"/>
  <c r="S22" i="51" s="1"/>
  <c r="AJ3" i="31" l="1"/>
  <c r="BL12" i="31" s="1"/>
  <c r="AI3" i="31"/>
  <c r="AI12" i="31" s="1"/>
  <c r="AH3" i="31"/>
  <c r="BX12" i="31" s="1"/>
  <c r="AG3" i="31"/>
  <c r="BW12" i="31" s="1"/>
  <c r="AF3" i="31"/>
  <c r="AT12" i="31" s="1"/>
  <c r="AE3" i="31"/>
  <c r="BG12" i="31" s="1"/>
  <c r="AD3" i="31"/>
  <c r="BF12" i="31" s="1"/>
  <c r="AC3" i="31"/>
  <c r="BE12" i="31" s="1"/>
  <c r="AB3" i="31"/>
  <c r="BD12" i="31" s="1"/>
  <c r="AA3" i="31"/>
  <c r="AA12" i="31" s="1"/>
  <c r="Z3" i="31"/>
  <c r="BP12" i="31" s="1"/>
  <c r="Y3" i="31"/>
  <c r="BO12" i="31" s="1"/>
  <c r="X3" i="31"/>
  <c r="AZ12" i="31" s="1"/>
  <c r="BZ10" i="31"/>
  <c r="BF10" i="31"/>
  <c r="AX12" i="31" l="1"/>
  <c r="AD12" i="31"/>
  <c r="AC10" i="31"/>
  <c r="Y10" i="31"/>
  <c r="Z12" i="31"/>
  <c r="BK10" i="31"/>
  <c r="AR12" i="31"/>
  <c r="BB10" i="31"/>
  <c r="AS12" i="31"/>
  <c r="X10" i="31"/>
  <c r="BC10" i="31"/>
  <c r="AP12" i="31"/>
  <c r="AF10" i="31"/>
  <c r="BH10" i="31"/>
  <c r="AH12" i="31"/>
  <c r="BT12" i="31"/>
  <c r="AZ10" i="31"/>
  <c r="AG10" i="31"/>
  <c r="BG10" i="31"/>
  <c r="AD10" i="31"/>
  <c r="BJ10" i="31"/>
  <c r="AE12" i="31"/>
  <c r="AG12" i="31"/>
  <c r="Y12" i="31"/>
  <c r="BK12" i="31"/>
  <c r="BC12" i="31"/>
  <c r="BV12" i="31"/>
  <c r="AE10" i="31"/>
  <c r="BA10" i="31"/>
  <c r="BI10" i="31"/>
  <c r="AP10" i="31"/>
  <c r="AX10" i="31"/>
  <c r="BU10" i="31"/>
  <c r="AF12" i="31"/>
  <c r="AL12" i="31"/>
  <c r="AQ12" i="31"/>
  <c r="BJ12" i="31"/>
  <c r="BB12" i="31"/>
  <c r="BU12" i="31"/>
  <c r="BS10" i="31"/>
  <c r="BN10" i="31"/>
  <c r="AW10" i="31"/>
  <c r="AW12" i="31"/>
  <c r="AO12" i="31"/>
  <c r="BH12" i="31"/>
  <c r="BN12" i="31"/>
  <c r="BS12" i="31"/>
  <c r="AQ10" i="31"/>
  <c r="BV10" i="31"/>
  <c r="BA12" i="31"/>
  <c r="AJ10" i="31"/>
  <c r="AB10" i="31"/>
  <c r="BD10" i="31"/>
  <c r="BL10" i="31"/>
  <c r="AS10" i="31"/>
  <c r="BP10" i="31"/>
  <c r="BX10" i="31"/>
  <c r="X12" i="31"/>
  <c r="AC12" i="31"/>
  <c r="AV12" i="31"/>
  <c r="AN12" i="31"/>
  <c r="BZ12" i="31"/>
  <c r="BR12" i="31"/>
  <c r="AV10" i="31"/>
  <c r="BT10" i="31"/>
  <c r="BI12" i="31"/>
  <c r="AR10" i="31"/>
  <c r="BO10" i="31"/>
  <c r="AI10" i="31"/>
  <c r="AA10" i="31"/>
  <c r="BE10" i="31"/>
  <c r="AL10" i="31"/>
  <c r="AT10" i="31"/>
  <c r="BQ10" i="31"/>
  <c r="BY10" i="31"/>
  <c r="AJ12" i="31"/>
  <c r="AB12" i="31"/>
  <c r="AU12" i="31"/>
  <c r="AM12" i="31"/>
  <c r="BY12" i="31"/>
  <c r="BQ12" i="31"/>
  <c r="AN10" i="31"/>
  <c r="AO10" i="31"/>
  <c r="BW10" i="31"/>
  <c r="AH10" i="31"/>
  <c r="Z10" i="31"/>
  <c r="AM10" i="31"/>
  <c r="AU10" i="31"/>
  <c r="BR10" i="31"/>
  <c r="Q11" i="49" l="1"/>
  <c r="N11" i="49"/>
  <c r="F11" i="49"/>
  <c r="E11" i="49"/>
  <c r="R135" i="31"/>
  <c r="Q135" i="31"/>
  <c r="N135" i="31"/>
  <c r="M135" i="31"/>
  <c r="J135" i="31"/>
  <c r="I135" i="31"/>
  <c r="F135" i="31"/>
  <c r="E135" i="31"/>
  <c r="R134" i="31"/>
  <c r="Q134" i="31"/>
  <c r="N134" i="31"/>
  <c r="M134" i="31"/>
  <c r="J134" i="31"/>
  <c r="I134" i="31"/>
  <c r="F134" i="31"/>
  <c r="E134" i="31"/>
  <c r="R131" i="31"/>
  <c r="Q131" i="31"/>
  <c r="N131" i="31"/>
  <c r="M131" i="31"/>
  <c r="J131" i="31"/>
  <c r="I131" i="31"/>
  <c r="F131" i="31"/>
  <c r="E131" i="31"/>
  <c r="R130" i="31"/>
  <c r="Q130" i="31"/>
  <c r="N130" i="31"/>
  <c r="M130" i="31"/>
  <c r="J130" i="31"/>
  <c r="I130" i="31"/>
  <c r="F130" i="31"/>
  <c r="E130" i="31"/>
  <c r="R129" i="31"/>
  <c r="Q129" i="31"/>
  <c r="N129" i="31"/>
  <c r="M129" i="31"/>
  <c r="J129" i="31"/>
  <c r="I129" i="31"/>
  <c r="F129" i="31"/>
  <c r="E129" i="31"/>
  <c r="R127" i="31"/>
  <c r="Q127" i="31"/>
  <c r="N127" i="31"/>
  <c r="M127" i="31"/>
  <c r="J127" i="31"/>
  <c r="I127" i="31"/>
  <c r="F127" i="31"/>
  <c r="E127" i="31"/>
  <c r="R126" i="31"/>
  <c r="Q126" i="31"/>
  <c r="N126" i="31"/>
  <c r="M126" i="31"/>
  <c r="J126" i="31"/>
  <c r="I126" i="31"/>
  <c r="F126" i="31"/>
  <c r="E126" i="31"/>
  <c r="R125" i="31"/>
  <c r="Q125" i="31"/>
  <c r="N125" i="31"/>
  <c r="M125" i="31"/>
  <c r="J125" i="31"/>
  <c r="I125" i="31"/>
  <c r="F125" i="31"/>
  <c r="E125" i="31"/>
  <c r="R124" i="31"/>
  <c r="Q124" i="31"/>
  <c r="N124" i="31"/>
  <c r="M124" i="31"/>
  <c r="J124" i="31"/>
  <c r="I124" i="31"/>
  <c r="F124" i="31"/>
  <c r="E124" i="31"/>
  <c r="R123" i="31"/>
  <c r="Q123" i="31"/>
  <c r="N123" i="31"/>
  <c r="M123" i="31"/>
  <c r="J123" i="31"/>
  <c r="I123" i="31"/>
  <c r="F123" i="31"/>
  <c r="E123" i="31"/>
  <c r="R122" i="31"/>
  <c r="Q122" i="31"/>
  <c r="N122" i="31"/>
  <c r="M122" i="31"/>
  <c r="J122" i="31"/>
  <c r="I122" i="31"/>
  <c r="F122" i="31"/>
  <c r="E122" i="31"/>
  <c r="R121" i="31"/>
  <c r="Q121" i="31"/>
  <c r="N121" i="31"/>
  <c r="M121" i="31"/>
  <c r="J121" i="31"/>
  <c r="I121" i="31"/>
  <c r="F121" i="31"/>
  <c r="E121" i="31"/>
  <c r="R120" i="31"/>
  <c r="Q120" i="31"/>
  <c r="N120" i="31"/>
  <c r="M120" i="31"/>
  <c r="J120" i="31"/>
  <c r="I120" i="31"/>
  <c r="F120" i="31"/>
  <c r="E120" i="31"/>
  <c r="R119" i="31"/>
  <c r="Q119" i="31"/>
  <c r="N119" i="31"/>
  <c r="M119" i="31"/>
  <c r="J119" i="31"/>
  <c r="I119" i="31"/>
  <c r="F119" i="31"/>
  <c r="E119" i="31"/>
  <c r="R118" i="31"/>
  <c r="Q118" i="31"/>
  <c r="N118" i="31"/>
  <c r="M118" i="31"/>
  <c r="J118" i="31"/>
  <c r="I118" i="31"/>
  <c r="F118" i="31"/>
  <c r="E118" i="31"/>
  <c r="R117" i="31"/>
  <c r="Q117" i="31"/>
  <c r="N117" i="31"/>
  <c r="M117" i="31"/>
  <c r="J117" i="31"/>
  <c r="I117" i="31"/>
  <c r="F117" i="31"/>
  <c r="E117" i="31"/>
  <c r="R115" i="31"/>
  <c r="Q115" i="31"/>
  <c r="N115" i="31"/>
  <c r="M115" i="31"/>
  <c r="J115" i="31"/>
  <c r="I115" i="31"/>
  <c r="F115" i="31"/>
  <c r="E115" i="31"/>
  <c r="R114" i="31"/>
  <c r="Q114" i="31"/>
  <c r="N114" i="31"/>
  <c r="M114" i="31"/>
  <c r="J114" i="31"/>
  <c r="I114" i="31"/>
  <c r="F114" i="31"/>
  <c r="E114" i="31"/>
  <c r="R113" i="31"/>
  <c r="Q113" i="31"/>
  <c r="N113" i="31"/>
  <c r="M113" i="31"/>
  <c r="J113" i="31"/>
  <c r="I113" i="31"/>
  <c r="F113" i="31"/>
  <c r="E113" i="31"/>
  <c r="R112" i="31"/>
  <c r="Q112" i="31"/>
  <c r="N112" i="31"/>
  <c r="M112" i="31"/>
  <c r="J112" i="31"/>
  <c r="I112" i="31"/>
  <c r="F112" i="31"/>
  <c r="E112" i="31"/>
  <c r="R111" i="31"/>
  <c r="Q111" i="31"/>
  <c r="N111" i="31"/>
  <c r="M111" i="31"/>
  <c r="J111" i="31"/>
  <c r="I111" i="31"/>
  <c r="F111" i="31"/>
  <c r="E111" i="31"/>
  <c r="R110" i="31"/>
  <c r="Q110" i="31"/>
  <c r="N110" i="31"/>
  <c r="M110" i="31"/>
  <c r="J110" i="31"/>
  <c r="I110" i="31"/>
  <c r="F110" i="31"/>
  <c r="E110" i="31"/>
  <c r="R109" i="31"/>
  <c r="Q109" i="31"/>
  <c r="N109" i="31"/>
  <c r="M109" i="31"/>
  <c r="J109" i="31"/>
  <c r="I109" i="31"/>
  <c r="F109" i="31"/>
  <c r="E109" i="31"/>
  <c r="R107" i="31"/>
  <c r="Q107" i="31"/>
  <c r="N107" i="31"/>
  <c r="M107" i="31"/>
  <c r="J107" i="31"/>
  <c r="I107" i="31"/>
  <c r="F107" i="31"/>
  <c r="E107" i="31"/>
  <c r="R105" i="31"/>
  <c r="Q105" i="31"/>
  <c r="N105" i="31"/>
  <c r="M105" i="31"/>
  <c r="J105" i="31"/>
  <c r="I105" i="31"/>
  <c r="F105" i="31"/>
  <c r="E105" i="31"/>
  <c r="R104" i="31"/>
  <c r="Q104" i="31"/>
  <c r="N104" i="31"/>
  <c r="M104" i="31"/>
  <c r="J104" i="31"/>
  <c r="I104" i="31"/>
  <c r="F104" i="31"/>
  <c r="E104" i="31"/>
  <c r="R103" i="31"/>
  <c r="Q103" i="31"/>
  <c r="N103" i="31"/>
  <c r="M103" i="31"/>
  <c r="J103" i="31"/>
  <c r="I103" i="31"/>
  <c r="F103" i="31"/>
  <c r="E103" i="31"/>
  <c r="R101" i="31"/>
  <c r="Q101" i="31"/>
  <c r="N101" i="31"/>
  <c r="M101" i="31"/>
  <c r="J101" i="31"/>
  <c r="I101" i="31"/>
  <c r="F101" i="31"/>
  <c r="E101" i="31"/>
  <c r="R100" i="31"/>
  <c r="Q100" i="31"/>
  <c r="N100" i="31"/>
  <c r="M100" i="31"/>
  <c r="J100" i="31"/>
  <c r="I100" i="31"/>
  <c r="F100" i="31"/>
  <c r="E100" i="31"/>
  <c r="R97" i="31"/>
  <c r="Q97" i="31"/>
  <c r="N97" i="31"/>
  <c r="M97" i="31"/>
  <c r="J97" i="31"/>
  <c r="I97" i="31"/>
  <c r="F97" i="31"/>
  <c r="E97" i="31"/>
  <c r="R96" i="31"/>
  <c r="Q96" i="31"/>
  <c r="N96" i="31"/>
  <c r="M96" i="31"/>
  <c r="J96" i="31"/>
  <c r="I96" i="31"/>
  <c r="F96" i="31"/>
  <c r="E96" i="31"/>
  <c r="R95" i="31"/>
  <c r="Q95" i="31"/>
  <c r="N95" i="31"/>
  <c r="M95" i="31"/>
  <c r="J95" i="31"/>
  <c r="I95" i="31"/>
  <c r="F95" i="31"/>
  <c r="E95" i="31"/>
  <c r="R93" i="31"/>
  <c r="Q93" i="31"/>
  <c r="N93" i="31"/>
  <c r="M93" i="31"/>
  <c r="J93" i="31"/>
  <c r="I93" i="31"/>
  <c r="F93" i="31"/>
  <c r="E93" i="31"/>
  <c r="R92" i="31"/>
  <c r="Q92" i="31"/>
  <c r="N92" i="31"/>
  <c r="M92" i="31"/>
  <c r="J92" i="31"/>
  <c r="I92" i="31"/>
  <c r="F92" i="31"/>
  <c r="E92" i="31"/>
  <c r="R91" i="31"/>
  <c r="Q91" i="31"/>
  <c r="N91" i="31"/>
  <c r="M91" i="31"/>
  <c r="J91" i="31"/>
  <c r="I91" i="31"/>
  <c r="F91" i="31"/>
  <c r="E91" i="31"/>
  <c r="R90" i="31"/>
  <c r="Q90" i="31"/>
  <c r="N90" i="31"/>
  <c r="M90" i="31"/>
  <c r="J90" i="31"/>
  <c r="I90" i="31"/>
  <c r="F90" i="31"/>
  <c r="E90" i="31"/>
  <c r="R89" i="31"/>
  <c r="Q89" i="31"/>
  <c r="N89" i="31"/>
  <c r="M89" i="31"/>
  <c r="J89" i="31"/>
  <c r="I89" i="31"/>
  <c r="F89" i="31"/>
  <c r="E89" i="31"/>
  <c r="R88" i="31"/>
  <c r="Q88" i="31"/>
  <c r="N88" i="31"/>
  <c r="M88" i="31"/>
  <c r="J88" i="31"/>
  <c r="I88" i="31"/>
  <c r="F88" i="31"/>
  <c r="E88" i="31"/>
  <c r="R87" i="31"/>
  <c r="Q87" i="31"/>
  <c r="N87" i="31"/>
  <c r="M87" i="31"/>
  <c r="J87" i="31"/>
  <c r="I87" i="31"/>
  <c r="F87" i="31"/>
  <c r="E87" i="31"/>
  <c r="R86" i="31"/>
  <c r="Q86" i="31"/>
  <c r="N86" i="31"/>
  <c r="M86" i="31"/>
  <c r="J86" i="31"/>
  <c r="I86" i="31"/>
  <c r="F86" i="31"/>
  <c r="R85" i="31"/>
  <c r="Q85" i="31"/>
  <c r="N85" i="31"/>
  <c r="M85" i="31"/>
  <c r="J85" i="31"/>
  <c r="I85" i="31"/>
  <c r="F85" i="31"/>
  <c r="E85" i="31"/>
  <c r="R84" i="31"/>
  <c r="Q84" i="31"/>
  <c r="N84" i="31"/>
  <c r="M84" i="31"/>
  <c r="J84" i="31"/>
  <c r="I84" i="31"/>
  <c r="F84" i="31"/>
  <c r="E84" i="31"/>
  <c r="R83" i="31"/>
  <c r="Q83" i="31"/>
  <c r="N83" i="31"/>
  <c r="M83" i="31"/>
  <c r="J83" i="31"/>
  <c r="I83" i="31"/>
  <c r="F83" i="31"/>
  <c r="E83" i="31"/>
  <c r="R81" i="31"/>
  <c r="Q81" i="31"/>
  <c r="N81" i="31"/>
  <c r="M81" i="31"/>
  <c r="J81" i="31"/>
  <c r="I81" i="31"/>
  <c r="F81" i="31"/>
  <c r="E81" i="31"/>
  <c r="R80" i="31"/>
  <c r="Q80" i="31"/>
  <c r="N80" i="31"/>
  <c r="M80" i="31"/>
  <c r="J80" i="31"/>
  <c r="I80" i="31"/>
  <c r="F80" i="31"/>
  <c r="E80" i="31"/>
  <c r="R79" i="31"/>
  <c r="Q79" i="31"/>
  <c r="N79" i="31"/>
  <c r="M79" i="31"/>
  <c r="J79" i="31"/>
  <c r="I79" i="31"/>
  <c r="F79" i="31"/>
  <c r="E79" i="31"/>
  <c r="R78" i="31"/>
  <c r="Q78" i="31"/>
  <c r="N78" i="31"/>
  <c r="M78" i="31"/>
  <c r="J78" i="31"/>
  <c r="I78" i="31"/>
  <c r="F78" i="31"/>
  <c r="E78" i="31"/>
  <c r="R77" i="31"/>
  <c r="Q77" i="31"/>
  <c r="N77" i="31"/>
  <c r="M77" i="31"/>
  <c r="J77" i="31"/>
  <c r="I77" i="31"/>
  <c r="F77" i="31"/>
  <c r="E77" i="31"/>
  <c r="R76" i="31"/>
  <c r="Q76" i="31"/>
  <c r="N76" i="31"/>
  <c r="M76" i="31"/>
  <c r="J76" i="31"/>
  <c r="I76" i="31"/>
  <c r="F76" i="31"/>
  <c r="E76" i="31"/>
  <c r="R75" i="31"/>
  <c r="Q75" i="31"/>
  <c r="N75" i="31"/>
  <c r="M75" i="31"/>
  <c r="J75" i="31"/>
  <c r="I75" i="31"/>
  <c r="F75" i="31"/>
  <c r="E75" i="31"/>
  <c r="R73" i="31"/>
  <c r="Q73" i="31"/>
  <c r="N73" i="31"/>
  <c r="M73" i="31"/>
  <c r="J73" i="31"/>
  <c r="I73" i="31"/>
  <c r="F73" i="31"/>
  <c r="E73" i="31"/>
  <c r="R71" i="31"/>
  <c r="Q71" i="31"/>
  <c r="N71" i="31"/>
  <c r="M71" i="31"/>
  <c r="J71" i="31"/>
  <c r="I71" i="31"/>
  <c r="F71" i="31"/>
  <c r="E71" i="31"/>
  <c r="R70" i="31"/>
  <c r="Q70" i="31"/>
  <c r="N70" i="31"/>
  <c r="M70" i="31"/>
  <c r="J70" i="31"/>
  <c r="I70" i="31"/>
  <c r="F70" i="31"/>
  <c r="E70" i="31"/>
  <c r="R67" i="31"/>
  <c r="Q67" i="31"/>
  <c r="N67" i="31"/>
  <c r="M67" i="31"/>
  <c r="J67" i="31"/>
  <c r="I67" i="31"/>
  <c r="F67" i="31"/>
  <c r="E67" i="31"/>
  <c r="R66" i="31"/>
  <c r="Q66" i="31"/>
  <c r="N66" i="31"/>
  <c r="M66" i="31"/>
  <c r="J66" i="31"/>
  <c r="I66" i="31"/>
  <c r="F66" i="31"/>
  <c r="E66" i="31"/>
  <c r="R65" i="31"/>
  <c r="Q65" i="31"/>
  <c r="N65" i="31"/>
  <c r="M65" i="31"/>
  <c r="J65" i="31"/>
  <c r="I65" i="31"/>
  <c r="F65" i="31"/>
  <c r="E65" i="31"/>
  <c r="R63" i="31"/>
  <c r="Q63" i="31"/>
  <c r="N63" i="31"/>
  <c r="M63" i="31"/>
  <c r="J63" i="31"/>
  <c r="I63" i="31"/>
  <c r="F63" i="31"/>
  <c r="E63" i="31"/>
  <c r="R62" i="31"/>
  <c r="Q62" i="31"/>
  <c r="N62" i="31"/>
  <c r="M62" i="31"/>
  <c r="J62" i="31"/>
  <c r="I62" i="31"/>
  <c r="F62" i="31"/>
  <c r="E62" i="31"/>
  <c r="R61" i="31"/>
  <c r="Q61" i="31"/>
  <c r="N61" i="31"/>
  <c r="M61" i="31"/>
  <c r="J61" i="31"/>
  <c r="I61" i="31"/>
  <c r="F61" i="31"/>
  <c r="E61" i="31"/>
  <c r="R60" i="31"/>
  <c r="Q60" i="31"/>
  <c r="N60" i="31"/>
  <c r="M60" i="31"/>
  <c r="J60" i="31"/>
  <c r="I60" i="31"/>
  <c r="F60" i="31"/>
  <c r="E60" i="31"/>
  <c r="R59" i="31"/>
  <c r="Q59" i="31"/>
  <c r="N59" i="31"/>
  <c r="M59" i="31"/>
  <c r="J59" i="31"/>
  <c r="I59" i="31"/>
  <c r="F59" i="31"/>
  <c r="E59" i="31"/>
  <c r="R58" i="31"/>
  <c r="Q58" i="31"/>
  <c r="N58" i="31"/>
  <c r="M58" i="31"/>
  <c r="J58" i="31"/>
  <c r="I58" i="31"/>
  <c r="F58" i="31"/>
  <c r="E58" i="31"/>
  <c r="R57" i="31"/>
  <c r="Q57" i="31"/>
  <c r="N57" i="31"/>
  <c r="M57" i="31"/>
  <c r="J57" i="31"/>
  <c r="I57" i="31"/>
  <c r="F57" i="31"/>
  <c r="E57" i="31"/>
  <c r="R56" i="31"/>
  <c r="Q56" i="31"/>
  <c r="N56" i="31"/>
  <c r="M56" i="31"/>
  <c r="J56" i="31"/>
  <c r="I56" i="31"/>
  <c r="F56" i="31"/>
  <c r="E56" i="31"/>
  <c r="R55" i="31"/>
  <c r="Q55" i="31"/>
  <c r="N55" i="31"/>
  <c r="M55" i="31"/>
  <c r="J55" i="31"/>
  <c r="I55" i="31"/>
  <c r="F55" i="31"/>
  <c r="E55" i="31"/>
  <c r="R54" i="31"/>
  <c r="Q54" i="31"/>
  <c r="N54" i="31"/>
  <c r="M54" i="31"/>
  <c r="J54" i="31"/>
  <c r="I54" i="31"/>
  <c r="F54" i="31"/>
  <c r="E54" i="31"/>
  <c r="R53" i="31"/>
  <c r="Q53" i="31"/>
  <c r="N53" i="31"/>
  <c r="M53" i="31"/>
  <c r="J53" i="31"/>
  <c r="I53" i="31"/>
  <c r="F53" i="31"/>
  <c r="E53" i="31"/>
  <c r="R50" i="31"/>
  <c r="Q50" i="31"/>
  <c r="N50" i="31"/>
  <c r="M50" i="31"/>
  <c r="J50" i="31"/>
  <c r="I50" i="31"/>
  <c r="F50" i="31"/>
  <c r="E50" i="31"/>
  <c r="R49" i="31"/>
  <c r="Q49" i="31"/>
  <c r="N49" i="31"/>
  <c r="M49" i="31"/>
  <c r="J49" i="31"/>
  <c r="I49" i="31"/>
  <c r="F49" i="31"/>
  <c r="E49" i="31"/>
  <c r="R48" i="31"/>
  <c r="Q48" i="31"/>
  <c r="N48" i="31"/>
  <c r="M48" i="31"/>
  <c r="J48" i="31"/>
  <c r="I48" i="31"/>
  <c r="F48" i="31"/>
  <c r="E48" i="31"/>
  <c r="R47" i="31"/>
  <c r="Q47" i="31"/>
  <c r="N47" i="31"/>
  <c r="M47" i="31"/>
  <c r="J47" i="31"/>
  <c r="I47" i="31"/>
  <c r="F47" i="31"/>
  <c r="E47" i="31"/>
  <c r="R46" i="31"/>
  <c r="Q46" i="31"/>
  <c r="N46" i="31"/>
  <c r="M46" i="31"/>
  <c r="J46" i="31"/>
  <c r="I46" i="31"/>
  <c r="F46" i="31"/>
  <c r="E46" i="31"/>
  <c r="R45" i="31"/>
  <c r="Q45" i="31"/>
  <c r="N45" i="31"/>
  <c r="M45" i="31"/>
  <c r="J45" i="31"/>
  <c r="I45" i="31"/>
  <c r="F45" i="31"/>
  <c r="E45" i="31"/>
  <c r="R43" i="31"/>
  <c r="Q43" i="31"/>
  <c r="N43" i="31"/>
  <c r="M43" i="31"/>
  <c r="X42" i="43" s="1"/>
  <c r="J43" i="31"/>
  <c r="I43" i="31"/>
  <c r="F43" i="31"/>
  <c r="E43" i="31"/>
  <c r="R41" i="31"/>
  <c r="Q41" i="31"/>
  <c r="N41" i="31"/>
  <c r="M41" i="31"/>
  <c r="J41" i="31"/>
  <c r="I41" i="31"/>
  <c r="F41" i="31"/>
  <c r="E41" i="31"/>
  <c r="R40" i="31"/>
  <c r="Q40" i="31"/>
  <c r="N40" i="31"/>
  <c r="M40" i="31"/>
  <c r="J40" i="31"/>
  <c r="I40" i="31"/>
  <c r="F40" i="31"/>
  <c r="E40" i="31"/>
  <c r="R36" i="31"/>
  <c r="Q36" i="31"/>
  <c r="N36" i="31"/>
  <c r="M36" i="31"/>
  <c r="J36" i="31"/>
  <c r="I36" i="31"/>
  <c r="F36" i="31"/>
  <c r="E36" i="31"/>
  <c r="R35" i="31"/>
  <c r="Q35" i="31"/>
  <c r="N35" i="31"/>
  <c r="M35" i="31"/>
  <c r="J35" i="31"/>
  <c r="I35" i="31"/>
  <c r="F35" i="31"/>
  <c r="E35" i="31"/>
  <c r="R33" i="31"/>
  <c r="Q33" i="31"/>
  <c r="N33" i="31"/>
  <c r="M33" i="31"/>
  <c r="J33" i="31"/>
  <c r="I33" i="31"/>
  <c r="F33" i="31"/>
  <c r="E33" i="31"/>
  <c r="R32" i="31"/>
  <c r="Q32" i="31"/>
  <c r="N32" i="31"/>
  <c r="M32" i="31"/>
  <c r="J32" i="31"/>
  <c r="I32" i="31"/>
  <c r="F32" i="31"/>
  <c r="E32" i="31"/>
  <c r="R31" i="31"/>
  <c r="Q31" i="31"/>
  <c r="N31" i="31"/>
  <c r="M31" i="31"/>
  <c r="J31" i="31"/>
  <c r="I31" i="31"/>
  <c r="F31" i="31"/>
  <c r="E31" i="31"/>
  <c r="R30" i="31"/>
  <c r="Q30" i="31"/>
  <c r="N30" i="31"/>
  <c r="M30" i="31"/>
  <c r="J30" i="31"/>
  <c r="I30" i="31"/>
  <c r="F30" i="31"/>
  <c r="E30" i="31"/>
  <c r="R29" i="31"/>
  <c r="Q29" i="31"/>
  <c r="N29" i="31"/>
  <c r="M29" i="31"/>
  <c r="J29" i="31"/>
  <c r="I29" i="31"/>
  <c r="F29" i="31"/>
  <c r="E29" i="31"/>
  <c r="R28" i="31"/>
  <c r="Q28" i="31"/>
  <c r="N28" i="31"/>
  <c r="M28" i="31"/>
  <c r="J28" i="31"/>
  <c r="I28" i="31"/>
  <c r="F28" i="31"/>
  <c r="E28" i="31"/>
  <c r="R27" i="31"/>
  <c r="Q27" i="31"/>
  <c r="N27" i="31"/>
  <c r="M27" i="31"/>
  <c r="J27" i="31"/>
  <c r="I27" i="31"/>
  <c r="F27" i="31"/>
  <c r="E27" i="31"/>
  <c r="R26" i="31"/>
  <c r="Q26" i="31"/>
  <c r="N26" i="31"/>
  <c r="M26" i="31"/>
  <c r="J26" i="31"/>
  <c r="I26" i="31"/>
  <c r="F26" i="31"/>
  <c r="E26" i="31"/>
  <c r="R25" i="31"/>
  <c r="Q25" i="31"/>
  <c r="N25" i="31"/>
  <c r="M25" i="31"/>
  <c r="J25" i="31"/>
  <c r="I25" i="31"/>
  <c r="F25" i="31"/>
  <c r="E25" i="31"/>
  <c r="R24" i="31"/>
  <c r="Q24" i="31"/>
  <c r="N24" i="31"/>
  <c r="M24" i="31"/>
  <c r="J24" i="31"/>
  <c r="I24" i="31"/>
  <c r="F24" i="31"/>
  <c r="E24" i="31"/>
  <c r="R23" i="31"/>
  <c r="Q23" i="31"/>
  <c r="N23" i="31"/>
  <c r="M23" i="31"/>
  <c r="J23" i="31"/>
  <c r="I23" i="31"/>
  <c r="F23" i="31"/>
  <c r="E23" i="31"/>
  <c r="R20" i="31"/>
  <c r="Q20" i="31"/>
  <c r="N20" i="31"/>
  <c r="M20" i="31"/>
  <c r="J20" i="31"/>
  <c r="I20" i="31"/>
  <c r="E20" i="31"/>
  <c r="R19" i="31"/>
  <c r="Q19" i="31"/>
  <c r="N19" i="31"/>
  <c r="M19" i="31"/>
  <c r="J19" i="31"/>
  <c r="I19" i="31"/>
  <c r="F19" i="31"/>
  <c r="E19" i="31"/>
  <c r="R18" i="31"/>
  <c r="Q18" i="31"/>
  <c r="N18" i="31"/>
  <c r="M18" i="31"/>
  <c r="J18" i="31"/>
  <c r="I18" i="31"/>
  <c r="F18" i="31"/>
  <c r="E18" i="31"/>
  <c r="R17" i="31"/>
  <c r="Q17" i="31"/>
  <c r="N17" i="31"/>
  <c r="M17" i="31"/>
  <c r="J17" i="31"/>
  <c r="I17" i="31"/>
  <c r="F17" i="31"/>
  <c r="E17" i="31"/>
  <c r="R16" i="31"/>
  <c r="Q16" i="31"/>
  <c r="N16" i="31"/>
  <c r="M16" i="31"/>
  <c r="J16" i="31"/>
  <c r="I16" i="31"/>
  <c r="F16" i="31"/>
  <c r="R15" i="31"/>
  <c r="Q15" i="31"/>
  <c r="N15" i="31"/>
  <c r="M15" i="31"/>
  <c r="J15" i="31"/>
  <c r="I15" i="31"/>
  <c r="F15" i="31"/>
  <c r="E15" i="31"/>
  <c r="Q13" i="31"/>
  <c r="N13" i="31"/>
  <c r="M13" i="31"/>
  <c r="J13" i="31"/>
  <c r="I13" i="31"/>
  <c r="F13" i="31"/>
  <c r="R10" i="45"/>
  <c r="R12" i="31"/>
  <c r="Q12" i="31"/>
  <c r="N12" i="31"/>
  <c r="M12" i="31"/>
  <c r="J12" i="31"/>
  <c r="I12" i="31"/>
  <c r="F12" i="31"/>
  <c r="E12" i="31"/>
  <c r="E4" i="31"/>
  <c r="F4" i="31" s="1"/>
  <c r="H4" i="31" s="1"/>
  <c r="I4" i="31" s="1"/>
  <c r="J4" i="31" s="1"/>
  <c r="L4" i="31" s="1"/>
  <c r="M4" i="31" s="1"/>
  <c r="N4" i="31" s="1"/>
  <c r="P4" i="31" s="1"/>
  <c r="Q4" i="31" s="1"/>
  <c r="R4" i="31" s="1"/>
  <c r="M11" i="26"/>
  <c r="H11" i="26"/>
  <c r="I11" i="26" s="1"/>
  <c r="J11" i="26" s="1"/>
  <c r="G11" i="26"/>
  <c r="F11" i="26"/>
  <c r="O10" i="26"/>
  <c r="N10" i="26"/>
  <c r="M10" i="26"/>
  <c r="L10" i="26"/>
  <c r="J10" i="26"/>
  <c r="I10" i="26"/>
  <c r="H10" i="26"/>
  <c r="G10" i="26"/>
  <c r="F10" i="26"/>
  <c r="E10" i="26"/>
  <c r="R182" i="1"/>
  <c r="Q182" i="1"/>
  <c r="P182" i="1"/>
  <c r="O182" i="1"/>
  <c r="N182" i="1"/>
  <c r="M182" i="1"/>
  <c r="L182" i="1"/>
  <c r="K182" i="1"/>
  <c r="G182" i="1"/>
  <c r="F182" i="1"/>
  <c r="E182" i="1"/>
  <c r="L181" i="1"/>
  <c r="K181" i="1"/>
  <c r="G181" i="1"/>
  <c r="F181" i="1"/>
  <c r="E181" i="1"/>
  <c r="L178" i="1"/>
  <c r="K178" i="1"/>
  <c r="G178" i="1"/>
  <c r="F178" i="1"/>
  <c r="E178" i="1"/>
  <c r="J21" i="45"/>
  <c r="J61" i="45"/>
  <c r="M61" i="45"/>
  <c r="L177" i="1"/>
  <c r="K177" i="1"/>
  <c r="G177" i="1"/>
  <c r="F177" i="1"/>
  <c r="E177" i="1"/>
  <c r="J20" i="45"/>
  <c r="J60" i="45"/>
  <c r="M60" i="45"/>
  <c r="L176" i="1"/>
  <c r="K176" i="1"/>
  <c r="G176" i="1"/>
  <c r="F176" i="1"/>
  <c r="E176" i="1"/>
  <c r="L174" i="1"/>
  <c r="K174" i="1"/>
  <c r="G174" i="1"/>
  <c r="F174" i="1"/>
  <c r="E174" i="1"/>
  <c r="L173" i="1"/>
  <c r="K173" i="1"/>
  <c r="G173" i="1"/>
  <c r="F173" i="1"/>
  <c r="E173" i="1"/>
  <c r="L172" i="1"/>
  <c r="K172" i="1"/>
  <c r="G172" i="1"/>
  <c r="F172" i="1"/>
  <c r="E172" i="1"/>
  <c r="L171" i="1"/>
  <c r="K171" i="1"/>
  <c r="G171" i="1"/>
  <c r="F171" i="1"/>
  <c r="E171" i="1"/>
  <c r="L170" i="1"/>
  <c r="K170" i="1"/>
  <c r="G170" i="1"/>
  <c r="F170" i="1"/>
  <c r="E170" i="1"/>
  <c r="L169" i="1"/>
  <c r="K169" i="1"/>
  <c r="G169" i="1"/>
  <c r="F169" i="1"/>
  <c r="E169" i="1"/>
  <c r="L168" i="1"/>
  <c r="K168" i="1"/>
  <c r="G168" i="1"/>
  <c r="F168" i="1"/>
  <c r="E168" i="1"/>
  <c r="J19" i="45"/>
  <c r="J59" i="45"/>
  <c r="M59" i="45"/>
  <c r="L167" i="1"/>
  <c r="K167" i="1"/>
  <c r="G167" i="1"/>
  <c r="F167" i="1"/>
  <c r="E167" i="1"/>
  <c r="L166" i="1"/>
  <c r="K166" i="1"/>
  <c r="G166" i="1"/>
  <c r="F166" i="1"/>
  <c r="E166" i="1"/>
  <c r="L165" i="1"/>
  <c r="K165" i="1"/>
  <c r="G165" i="1"/>
  <c r="F165" i="1"/>
  <c r="E165" i="1"/>
  <c r="L164" i="1"/>
  <c r="K164" i="1"/>
  <c r="G164" i="1"/>
  <c r="F164" i="1"/>
  <c r="E164" i="1"/>
  <c r="L160" i="1"/>
  <c r="K160" i="1"/>
  <c r="G160" i="1"/>
  <c r="F160" i="1"/>
  <c r="E160" i="1"/>
  <c r="L158" i="1"/>
  <c r="K158" i="1"/>
  <c r="G158" i="1"/>
  <c r="F158" i="1"/>
  <c r="E158" i="1"/>
  <c r="J18" i="45"/>
  <c r="J58" i="45"/>
  <c r="M58" i="45"/>
  <c r="L157" i="1"/>
  <c r="K157" i="1"/>
  <c r="G157" i="1"/>
  <c r="F157" i="1"/>
  <c r="E157" i="1"/>
  <c r="R156" i="1"/>
  <c r="Q156" i="1"/>
  <c r="P156" i="1"/>
  <c r="O156" i="1"/>
  <c r="N156" i="1"/>
  <c r="M156" i="1"/>
  <c r="L156" i="1"/>
  <c r="K156" i="1"/>
  <c r="G156" i="1"/>
  <c r="F156" i="1"/>
  <c r="E156" i="1"/>
  <c r="R154" i="1"/>
  <c r="Q154" i="1"/>
  <c r="P154" i="1"/>
  <c r="O154" i="1"/>
  <c r="N154" i="1"/>
  <c r="M154" i="1"/>
  <c r="L154" i="1"/>
  <c r="K154" i="1"/>
  <c r="G154" i="1"/>
  <c r="F154" i="1"/>
  <c r="E154" i="1"/>
  <c r="K152" i="1"/>
  <c r="K151" i="1"/>
  <c r="K150" i="1"/>
  <c r="E150" i="1"/>
  <c r="K149" i="1"/>
  <c r="K148" i="1"/>
  <c r="K147" i="1"/>
  <c r="M138" i="43"/>
  <c r="AO137" i="43"/>
  <c r="AO98" i="43"/>
  <c r="AO97" i="43"/>
  <c r="AO88" i="43"/>
  <c r="AO67" i="43"/>
  <c r="AO57" i="43"/>
  <c r="AO47" i="43"/>
  <c r="AO46" i="43"/>
  <c r="AO36" i="43"/>
  <c r="AO35" i="43"/>
  <c r="AO15" i="43"/>
  <c r="P11" i="1"/>
  <c r="K11" i="1"/>
  <c r="L11" i="1" s="1"/>
  <c r="M11" i="1" s="1"/>
  <c r="G11" i="1"/>
  <c r="F11" i="1"/>
  <c r="R10" i="1"/>
  <c r="Q10" i="1"/>
  <c r="K10" i="1"/>
  <c r="G10" i="1"/>
  <c r="F10" i="1"/>
  <c r="E10" i="1"/>
  <c r="E4" i="1"/>
  <c r="E3" i="1"/>
  <c r="E2" i="1"/>
  <c r="AQ292" i="19"/>
  <c r="AP292" i="19"/>
  <c r="AO292" i="19"/>
  <c r="AJ292" i="19"/>
  <c r="AI292" i="19"/>
  <c r="AH292" i="19"/>
  <c r="AC292" i="19"/>
  <c r="AB292" i="19"/>
  <c r="AA292" i="19"/>
  <c r="V292" i="19"/>
  <c r="U292" i="19"/>
  <c r="T292" i="19"/>
  <c r="O292" i="19"/>
  <c r="N292" i="19"/>
  <c r="M292" i="19"/>
  <c r="I292" i="19"/>
  <c r="G292" i="19"/>
  <c r="F292" i="19"/>
  <c r="AQ291" i="19"/>
  <c r="AP291" i="19"/>
  <c r="AO291" i="19"/>
  <c r="AJ291" i="19"/>
  <c r="AI291" i="19"/>
  <c r="AH291" i="19"/>
  <c r="AC291" i="19"/>
  <c r="AB291" i="19"/>
  <c r="AA291" i="19"/>
  <c r="V291" i="19"/>
  <c r="U291" i="19"/>
  <c r="T291" i="19"/>
  <c r="O291" i="19"/>
  <c r="N291" i="19"/>
  <c r="M291" i="19"/>
  <c r="I291" i="19"/>
  <c r="G291" i="19"/>
  <c r="F291" i="19"/>
  <c r="AQ282" i="19"/>
  <c r="AP282" i="19"/>
  <c r="AO282" i="19"/>
  <c r="AJ282" i="19"/>
  <c r="AI282" i="19"/>
  <c r="AH282" i="19"/>
  <c r="AC282" i="19"/>
  <c r="AB282" i="19"/>
  <c r="AA282" i="19"/>
  <c r="V282" i="19"/>
  <c r="U282" i="19"/>
  <c r="T282" i="19"/>
  <c r="O282" i="19"/>
  <c r="N282" i="19"/>
  <c r="M282" i="19"/>
  <c r="I282" i="19"/>
  <c r="G282" i="19"/>
  <c r="F282" i="19"/>
  <c r="AQ273" i="19"/>
  <c r="AP273" i="19"/>
  <c r="AO273" i="19"/>
  <c r="AJ273" i="19"/>
  <c r="AI273" i="19"/>
  <c r="AH273" i="19"/>
  <c r="AC273" i="19"/>
  <c r="AB273" i="19"/>
  <c r="AA273" i="19"/>
  <c r="V273" i="19"/>
  <c r="U273" i="19"/>
  <c r="T273" i="19"/>
  <c r="O273" i="19"/>
  <c r="N273" i="19"/>
  <c r="M273" i="19"/>
  <c r="I273" i="19"/>
  <c r="G273" i="19"/>
  <c r="F273" i="19"/>
  <c r="AQ270" i="19"/>
  <c r="AQ296" i="19" s="1"/>
  <c r="AP270" i="19"/>
  <c r="AO270" i="19"/>
  <c r="AJ270" i="19"/>
  <c r="AI270" i="19"/>
  <c r="AI296" i="19" s="1"/>
  <c r="AH270" i="19"/>
  <c r="AC270" i="19"/>
  <c r="AB270" i="19"/>
  <c r="AA270" i="19"/>
  <c r="AA296" i="19" s="1"/>
  <c r="V270" i="19"/>
  <c r="V296" i="19" s="1"/>
  <c r="U270" i="19"/>
  <c r="T270" i="19"/>
  <c r="T296" i="19" s="1"/>
  <c r="O270" i="19"/>
  <c r="N270" i="19"/>
  <c r="M270" i="19"/>
  <c r="I270" i="19"/>
  <c r="I296" i="19" s="1"/>
  <c r="G270" i="19"/>
  <c r="G296" i="19" s="1"/>
  <c r="F270" i="19"/>
  <c r="AQ265" i="19"/>
  <c r="AP265" i="19"/>
  <c r="AO265" i="19"/>
  <c r="AJ265" i="19"/>
  <c r="AI265" i="19"/>
  <c r="AH265" i="19"/>
  <c r="AC265" i="19"/>
  <c r="AB265" i="19"/>
  <c r="AA265" i="19"/>
  <c r="V265" i="19"/>
  <c r="U265" i="19"/>
  <c r="T265" i="19"/>
  <c r="O265" i="19"/>
  <c r="N265" i="19"/>
  <c r="M265" i="19"/>
  <c r="I265" i="19"/>
  <c r="G265" i="19"/>
  <c r="F265" i="19"/>
  <c r="AQ264" i="19"/>
  <c r="AP264" i="19"/>
  <c r="AO264" i="19"/>
  <c r="AJ264" i="19"/>
  <c r="AI264" i="19"/>
  <c r="AH264" i="19"/>
  <c r="AC264" i="19"/>
  <c r="AB264" i="19"/>
  <c r="AA264" i="19"/>
  <c r="V264" i="19"/>
  <c r="U264" i="19"/>
  <c r="T264" i="19"/>
  <c r="O264" i="19"/>
  <c r="N264" i="19"/>
  <c r="M264" i="19"/>
  <c r="I264" i="19"/>
  <c r="G264" i="19"/>
  <c r="F264" i="19"/>
  <c r="AQ255" i="19"/>
  <c r="AP255" i="19"/>
  <c r="AO255" i="19"/>
  <c r="AJ255" i="19"/>
  <c r="AI255" i="19"/>
  <c r="AH255" i="19"/>
  <c r="AC255" i="19"/>
  <c r="AB255" i="19"/>
  <c r="AA255" i="19"/>
  <c r="V255" i="19"/>
  <c r="U255" i="19"/>
  <c r="T255" i="19"/>
  <c r="O255" i="19"/>
  <c r="N255" i="19"/>
  <c r="M255" i="19"/>
  <c r="I255" i="19"/>
  <c r="G255" i="19"/>
  <c r="F255" i="19"/>
  <c r="AQ246" i="19"/>
  <c r="AP246" i="19"/>
  <c r="AO246" i="19"/>
  <c r="AJ246" i="19"/>
  <c r="AI246" i="19"/>
  <c r="AH246" i="19"/>
  <c r="AC246" i="19"/>
  <c r="AB246" i="19"/>
  <c r="AA246" i="19"/>
  <c r="V246" i="19"/>
  <c r="U246" i="19"/>
  <c r="T246" i="19"/>
  <c r="O246" i="19"/>
  <c r="N246" i="19"/>
  <c r="M246" i="19"/>
  <c r="I246" i="19"/>
  <c r="G246" i="19"/>
  <c r="F246" i="19"/>
  <c r="AQ243" i="19"/>
  <c r="AP243" i="19"/>
  <c r="AP269" i="19" s="1"/>
  <c r="AO243" i="19"/>
  <c r="AO269" i="19" s="1"/>
  <c r="AJ243" i="19"/>
  <c r="AI243" i="19"/>
  <c r="AH243" i="19"/>
  <c r="AH269" i="19" s="1"/>
  <c r="AC243" i="19"/>
  <c r="AB243" i="19"/>
  <c r="AA243" i="19"/>
  <c r="V243" i="19"/>
  <c r="V269" i="19" s="1"/>
  <c r="U243" i="19"/>
  <c r="U269" i="19" s="1"/>
  <c r="T243" i="19"/>
  <c r="O243" i="19"/>
  <c r="O269" i="19" s="1"/>
  <c r="N243" i="19"/>
  <c r="M243" i="19"/>
  <c r="M269" i="19" s="1"/>
  <c r="I243" i="19"/>
  <c r="G243" i="19"/>
  <c r="F243" i="19"/>
  <c r="AI205" i="19"/>
  <c r="AI204" i="19"/>
  <c r="AI203" i="19"/>
  <c r="AI202" i="19"/>
  <c r="N199" i="19"/>
  <c r="N198" i="19"/>
  <c r="M195" i="19"/>
  <c r="M194" i="19"/>
  <c r="M193" i="19"/>
  <c r="M192" i="19"/>
  <c r="M191" i="19"/>
  <c r="M190" i="19" s="1"/>
  <c r="M189" i="19"/>
  <c r="M187" i="19"/>
  <c r="M186" i="19"/>
  <c r="AU148" i="19"/>
  <c r="C77" i="19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45" i="19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2" i="19" s="1"/>
  <c r="C73" i="19" s="1"/>
  <c r="AL11" i="19"/>
  <c r="AK11" i="19"/>
  <c r="AJ11" i="19"/>
  <c r="AI11" i="19"/>
  <c r="AH11" i="19"/>
  <c r="Y11" i="19"/>
  <c r="X11" i="19"/>
  <c r="W11" i="19"/>
  <c r="V11" i="19"/>
  <c r="U11" i="19"/>
  <c r="T11" i="19"/>
  <c r="J11" i="19"/>
  <c r="I11" i="19"/>
  <c r="H11" i="19"/>
  <c r="G11" i="19"/>
  <c r="F11" i="19"/>
  <c r="AS9" i="19"/>
  <c r="AR9" i="19"/>
  <c r="AQ9" i="19"/>
  <c r="AP9" i="19"/>
  <c r="AO9" i="19"/>
  <c r="AL9" i="19"/>
  <c r="AK9" i="19"/>
  <c r="AJ9" i="19"/>
  <c r="AI9" i="19"/>
  <c r="AH9" i="19"/>
  <c r="AE9" i="19"/>
  <c r="AD9" i="19"/>
  <c r="AC9" i="19"/>
  <c r="AB9" i="19"/>
  <c r="AA9" i="19"/>
  <c r="X9" i="19"/>
  <c r="W9" i="19"/>
  <c r="V9" i="19"/>
  <c r="U9" i="19"/>
  <c r="T9" i="19"/>
  <c r="Q9" i="19"/>
  <c r="P9" i="19"/>
  <c r="O9" i="19"/>
  <c r="N9" i="19"/>
  <c r="M9" i="19"/>
  <c r="J9" i="19"/>
  <c r="I9" i="19"/>
  <c r="H9" i="19"/>
  <c r="G9" i="19"/>
  <c r="F9" i="19"/>
  <c r="AA7" i="19"/>
  <c r="T7" i="19"/>
  <c r="AB141" i="43"/>
  <c r="AO138" i="43"/>
  <c r="AH138" i="43"/>
  <c r="V138" i="43"/>
  <c r="U138" i="43"/>
  <c r="R138" i="43"/>
  <c r="N138" i="43"/>
  <c r="G138" i="43"/>
  <c r="AH137" i="43"/>
  <c r="V137" i="43"/>
  <c r="U137" i="43"/>
  <c r="N137" i="43"/>
  <c r="M137" i="43"/>
  <c r="L137" i="43"/>
  <c r="I137" i="43"/>
  <c r="E137" i="43"/>
  <c r="G137" i="43" s="1"/>
  <c r="AO136" i="43"/>
  <c r="AH136" i="43"/>
  <c r="V136" i="43"/>
  <c r="U136" i="43"/>
  <c r="N136" i="43"/>
  <c r="M136" i="43"/>
  <c r="L136" i="43"/>
  <c r="I136" i="43"/>
  <c r="E136" i="43"/>
  <c r="G136" i="43" s="1"/>
  <c r="AH134" i="43"/>
  <c r="V134" i="43"/>
  <c r="U134" i="43"/>
  <c r="R134" i="43"/>
  <c r="N134" i="43"/>
  <c r="M134" i="43"/>
  <c r="L134" i="43"/>
  <c r="I134" i="43"/>
  <c r="E134" i="43"/>
  <c r="G134" i="43" s="1"/>
  <c r="AH133" i="43"/>
  <c r="V133" i="43"/>
  <c r="U133" i="43"/>
  <c r="N133" i="43"/>
  <c r="M133" i="43"/>
  <c r="L133" i="43"/>
  <c r="I133" i="43"/>
  <c r="E133" i="43"/>
  <c r="G133" i="43" s="1"/>
  <c r="AH131" i="43"/>
  <c r="V131" i="43"/>
  <c r="U131" i="43"/>
  <c r="N131" i="43"/>
  <c r="M131" i="43"/>
  <c r="L131" i="43"/>
  <c r="I131" i="43"/>
  <c r="G131" i="43"/>
  <c r="AH129" i="43"/>
  <c r="V129" i="43"/>
  <c r="U129" i="43"/>
  <c r="R129" i="43"/>
  <c r="N129" i="43"/>
  <c r="M129" i="43"/>
  <c r="L129" i="43"/>
  <c r="I129" i="43"/>
  <c r="E129" i="43"/>
  <c r="G129" i="43" s="1"/>
  <c r="AH128" i="43"/>
  <c r="V128" i="43"/>
  <c r="U128" i="43"/>
  <c r="N128" i="43"/>
  <c r="M128" i="43"/>
  <c r="L128" i="43"/>
  <c r="I128" i="43"/>
  <c r="E128" i="43"/>
  <c r="G128" i="43" s="1"/>
  <c r="AH126" i="43"/>
  <c r="V126" i="43"/>
  <c r="U126" i="43"/>
  <c r="R126" i="43"/>
  <c r="N126" i="43"/>
  <c r="M126" i="43"/>
  <c r="L126" i="43"/>
  <c r="I126" i="43"/>
  <c r="E126" i="43"/>
  <c r="G126" i="43" s="1"/>
  <c r="AH125" i="43"/>
  <c r="V125" i="43"/>
  <c r="U125" i="43"/>
  <c r="R125" i="43"/>
  <c r="N125" i="43"/>
  <c r="M125" i="43"/>
  <c r="L125" i="43"/>
  <c r="I125" i="43"/>
  <c r="E125" i="43"/>
  <c r="G125" i="43" s="1"/>
  <c r="AH124" i="43"/>
  <c r="V124" i="43"/>
  <c r="U124" i="43"/>
  <c r="N124" i="43"/>
  <c r="M124" i="43"/>
  <c r="L124" i="43"/>
  <c r="I124" i="43"/>
  <c r="E124" i="43"/>
  <c r="G124" i="43" s="1"/>
  <c r="AH123" i="43"/>
  <c r="V123" i="43"/>
  <c r="U123" i="43"/>
  <c r="N123" i="43"/>
  <c r="M123" i="43"/>
  <c r="L123" i="43"/>
  <c r="I123" i="43"/>
  <c r="E123" i="43"/>
  <c r="G123" i="43" s="1"/>
  <c r="AH122" i="43"/>
  <c r="V122" i="43"/>
  <c r="U122" i="43"/>
  <c r="R122" i="43"/>
  <c r="N122" i="43"/>
  <c r="M122" i="43"/>
  <c r="L122" i="43"/>
  <c r="I122" i="43"/>
  <c r="E122" i="43"/>
  <c r="G122" i="43" s="1"/>
  <c r="AH121" i="43"/>
  <c r="V121" i="43"/>
  <c r="U121" i="43"/>
  <c r="N121" i="43"/>
  <c r="M121" i="43"/>
  <c r="L121" i="43"/>
  <c r="I121" i="43"/>
  <c r="E121" i="43"/>
  <c r="G121" i="43" s="1"/>
  <c r="AH120" i="43"/>
  <c r="V120" i="43"/>
  <c r="U120" i="43"/>
  <c r="N120" i="43"/>
  <c r="M120" i="43"/>
  <c r="L120" i="43"/>
  <c r="I120" i="43"/>
  <c r="E120" i="43"/>
  <c r="G120" i="43" s="1"/>
  <c r="AH119" i="43"/>
  <c r="V119" i="43"/>
  <c r="U119" i="43"/>
  <c r="N119" i="43"/>
  <c r="M119" i="43"/>
  <c r="L119" i="43"/>
  <c r="I119" i="43"/>
  <c r="E119" i="43"/>
  <c r="G119" i="43" s="1"/>
  <c r="AH118" i="43"/>
  <c r="V118" i="43"/>
  <c r="U118" i="43"/>
  <c r="R118" i="43"/>
  <c r="N118" i="43"/>
  <c r="M118" i="43"/>
  <c r="L118" i="43"/>
  <c r="I118" i="43"/>
  <c r="E118" i="43"/>
  <c r="G118" i="43" s="1"/>
  <c r="AH117" i="43"/>
  <c r="V117" i="43"/>
  <c r="U117" i="43"/>
  <c r="N117" i="43"/>
  <c r="M117" i="43"/>
  <c r="L117" i="43"/>
  <c r="I117" i="43"/>
  <c r="E117" i="43"/>
  <c r="G117" i="43" s="1"/>
  <c r="AH116" i="43"/>
  <c r="V116" i="43"/>
  <c r="U116" i="43"/>
  <c r="N116" i="43"/>
  <c r="M116" i="43"/>
  <c r="L116" i="43"/>
  <c r="I116" i="43"/>
  <c r="E116" i="43"/>
  <c r="G116" i="43" s="1"/>
  <c r="AH114" i="43"/>
  <c r="V114" i="43"/>
  <c r="U114" i="43"/>
  <c r="R114" i="43"/>
  <c r="N114" i="43"/>
  <c r="M114" i="43"/>
  <c r="L114" i="43"/>
  <c r="I114" i="43"/>
  <c r="E114" i="43"/>
  <c r="G114" i="43" s="1"/>
  <c r="AH113" i="43"/>
  <c r="V113" i="43"/>
  <c r="U113" i="43"/>
  <c r="N113" i="43"/>
  <c r="M113" i="43"/>
  <c r="L113" i="43"/>
  <c r="I113" i="43"/>
  <c r="E113" i="43"/>
  <c r="G113" i="43" s="1"/>
  <c r="AH112" i="43"/>
  <c r="V112" i="43"/>
  <c r="U112" i="43"/>
  <c r="N112" i="43"/>
  <c r="M112" i="43"/>
  <c r="L112" i="43"/>
  <c r="I112" i="43"/>
  <c r="E112" i="43"/>
  <c r="G112" i="43" s="1"/>
  <c r="AH111" i="43"/>
  <c r="V111" i="43"/>
  <c r="U111" i="43"/>
  <c r="R111" i="43"/>
  <c r="N111" i="43"/>
  <c r="M111" i="43"/>
  <c r="L111" i="43"/>
  <c r="I111" i="43"/>
  <c r="E111" i="43"/>
  <c r="G111" i="43" s="1"/>
  <c r="AH110" i="43"/>
  <c r="V110" i="43"/>
  <c r="U110" i="43"/>
  <c r="R110" i="43"/>
  <c r="N110" i="43"/>
  <c r="M110" i="43"/>
  <c r="L110" i="43"/>
  <c r="I110" i="43"/>
  <c r="E110" i="43"/>
  <c r="G110" i="43" s="1"/>
  <c r="AH109" i="43"/>
  <c r="V109" i="43"/>
  <c r="U109" i="43"/>
  <c r="N109" i="43"/>
  <c r="M109" i="43"/>
  <c r="L109" i="43"/>
  <c r="I109" i="43"/>
  <c r="E109" i="43"/>
  <c r="G109" i="43" s="1"/>
  <c r="AO108" i="43"/>
  <c r="AH108" i="43"/>
  <c r="V108" i="43"/>
  <c r="U108" i="43"/>
  <c r="M108" i="43"/>
  <c r="L108" i="43"/>
  <c r="I108" i="43"/>
  <c r="E108" i="43"/>
  <c r="AO107" i="43"/>
  <c r="AH107" i="43"/>
  <c r="V107" i="43"/>
  <c r="U107" i="43"/>
  <c r="R107" i="43"/>
  <c r="N107" i="43"/>
  <c r="M107" i="43"/>
  <c r="L107" i="43"/>
  <c r="I107" i="43"/>
  <c r="E107" i="43"/>
  <c r="G107" i="43" s="1"/>
  <c r="V106" i="43"/>
  <c r="U106" i="43"/>
  <c r="R106" i="43"/>
  <c r="M106" i="43"/>
  <c r="L106" i="43"/>
  <c r="I106" i="43"/>
  <c r="AJ105" i="43"/>
  <c r="AB105" i="43"/>
  <c r="H105" i="43"/>
  <c r="AH103" i="43"/>
  <c r="V103" i="43"/>
  <c r="U103" i="43"/>
  <c r="R103" i="43"/>
  <c r="G103" i="43"/>
  <c r="AH102" i="43"/>
  <c r="V102" i="43"/>
  <c r="U102" i="43"/>
  <c r="R102" i="43"/>
  <c r="G102" i="43"/>
  <c r="AH100" i="43"/>
  <c r="V100" i="43"/>
  <c r="U100" i="43"/>
  <c r="G100" i="43"/>
  <c r="AH98" i="43"/>
  <c r="V98" i="43"/>
  <c r="U98" i="43"/>
  <c r="R98" i="43"/>
  <c r="G98" i="43"/>
  <c r="AH97" i="43"/>
  <c r="V97" i="43"/>
  <c r="U97" i="43"/>
  <c r="G97" i="43"/>
  <c r="AH95" i="43"/>
  <c r="V95" i="43"/>
  <c r="U95" i="43"/>
  <c r="G95" i="43"/>
  <c r="AH94" i="43"/>
  <c r="V94" i="43"/>
  <c r="U94" i="43"/>
  <c r="G94" i="43"/>
  <c r="AH93" i="43"/>
  <c r="V93" i="43"/>
  <c r="U93" i="43"/>
  <c r="G93" i="43"/>
  <c r="AH92" i="43"/>
  <c r="V92" i="43"/>
  <c r="U92" i="43"/>
  <c r="G92" i="43"/>
  <c r="AH91" i="43"/>
  <c r="V91" i="43"/>
  <c r="U91" i="43"/>
  <c r="G91" i="43"/>
  <c r="AH90" i="43"/>
  <c r="V90" i="43"/>
  <c r="U90" i="43"/>
  <c r="R90" i="43"/>
  <c r="G90" i="43"/>
  <c r="AH89" i="43"/>
  <c r="V89" i="43"/>
  <c r="U89" i="43"/>
  <c r="G89" i="43"/>
  <c r="AH88" i="43"/>
  <c r="V88" i="43"/>
  <c r="U88" i="43"/>
  <c r="R88" i="43"/>
  <c r="G88" i="43"/>
  <c r="AH87" i="43"/>
  <c r="V87" i="43"/>
  <c r="U87" i="43"/>
  <c r="G87" i="43"/>
  <c r="AH86" i="43"/>
  <c r="V86" i="43"/>
  <c r="U86" i="43"/>
  <c r="G86" i="43"/>
  <c r="AH85" i="43"/>
  <c r="V85" i="43"/>
  <c r="U85" i="43"/>
  <c r="R85" i="43"/>
  <c r="G85" i="43"/>
  <c r="AH83" i="43"/>
  <c r="V83" i="43"/>
  <c r="U83" i="43"/>
  <c r="R83" i="43"/>
  <c r="G83" i="43"/>
  <c r="AH82" i="43"/>
  <c r="V82" i="43"/>
  <c r="U82" i="43"/>
  <c r="G82" i="43"/>
  <c r="AH81" i="43"/>
  <c r="V81" i="43"/>
  <c r="U81" i="43"/>
  <c r="G81" i="43"/>
  <c r="AH80" i="43"/>
  <c r="V80" i="43"/>
  <c r="U80" i="43"/>
  <c r="G80" i="43"/>
  <c r="AH79" i="43"/>
  <c r="V79" i="43"/>
  <c r="U79" i="43"/>
  <c r="R79" i="43"/>
  <c r="G79" i="43"/>
  <c r="AH78" i="43"/>
  <c r="V78" i="43"/>
  <c r="U78" i="43"/>
  <c r="R78" i="43"/>
  <c r="G78" i="43"/>
  <c r="AO77" i="43"/>
  <c r="AH77" i="43"/>
  <c r="V77" i="43"/>
  <c r="U77" i="43"/>
  <c r="G77" i="43"/>
  <c r="AO76" i="43"/>
  <c r="AH76" i="43"/>
  <c r="V76" i="43"/>
  <c r="U76" i="43"/>
  <c r="G76" i="43"/>
  <c r="V75" i="43"/>
  <c r="U75" i="43"/>
  <c r="R75" i="43"/>
  <c r="G75" i="43"/>
  <c r="AJ73" i="43"/>
  <c r="AB73" i="43"/>
  <c r="H73" i="43"/>
  <c r="AH72" i="43"/>
  <c r="V72" i="43"/>
  <c r="U72" i="43"/>
  <c r="G72" i="43"/>
  <c r="AH71" i="43"/>
  <c r="V71" i="43"/>
  <c r="U71" i="43"/>
  <c r="G71" i="43"/>
  <c r="AH69" i="43"/>
  <c r="V69" i="43"/>
  <c r="U69" i="43"/>
  <c r="G69" i="43"/>
  <c r="AH67" i="43"/>
  <c r="V67" i="43"/>
  <c r="U67" i="43"/>
  <c r="R67" i="43"/>
  <c r="G67" i="43"/>
  <c r="AH66" i="43"/>
  <c r="V66" i="43"/>
  <c r="U66" i="43"/>
  <c r="G66" i="43"/>
  <c r="AH64" i="43"/>
  <c r="V64" i="43"/>
  <c r="U64" i="43"/>
  <c r="R64" i="43"/>
  <c r="G64" i="43"/>
  <c r="AH63" i="43"/>
  <c r="V63" i="43"/>
  <c r="U63" i="43"/>
  <c r="G63" i="43"/>
  <c r="AH62" i="43"/>
  <c r="V62" i="43"/>
  <c r="U62" i="43"/>
  <c r="R62" i="43"/>
  <c r="G62" i="43"/>
  <c r="AH61" i="43"/>
  <c r="V61" i="43"/>
  <c r="U61" i="43"/>
  <c r="R61" i="43"/>
  <c r="G61" i="43"/>
  <c r="AH60" i="43"/>
  <c r="V60" i="43"/>
  <c r="U60" i="43"/>
  <c r="R60" i="43"/>
  <c r="G60" i="43"/>
  <c r="AH59" i="43"/>
  <c r="V59" i="43"/>
  <c r="U59" i="43"/>
  <c r="G59" i="43"/>
  <c r="AH58" i="43"/>
  <c r="V58" i="43"/>
  <c r="U58" i="43"/>
  <c r="G58" i="43"/>
  <c r="AH57" i="43"/>
  <c r="V57" i="43"/>
  <c r="U57" i="43"/>
  <c r="G57" i="43"/>
  <c r="AH56" i="43"/>
  <c r="V56" i="43"/>
  <c r="U56" i="43"/>
  <c r="R56" i="43"/>
  <c r="G56" i="43"/>
  <c r="AH55" i="43"/>
  <c r="V55" i="43"/>
  <c r="U55" i="43"/>
  <c r="R55" i="43"/>
  <c r="G55" i="43"/>
  <c r="AH54" i="43"/>
  <c r="V54" i="43"/>
  <c r="U54" i="43"/>
  <c r="G54" i="43"/>
  <c r="AH52" i="43"/>
  <c r="V52" i="43"/>
  <c r="U52" i="43"/>
  <c r="G52" i="43"/>
  <c r="AH51" i="43"/>
  <c r="V51" i="43"/>
  <c r="U51" i="43"/>
  <c r="R51" i="43"/>
  <c r="G51" i="43"/>
  <c r="AH50" i="43"/>
  <c r="V50" i="43"/>
  <c r="U50" i="43"/>
  <c r="G50" i="43"/>
  <c r="AH49" i="43"/>
  <c r="V49" i="43"/>
  <c r="U49" i="43"/>
  <c r="G49" i="43"/>
  <c r="AH48" i="43"/>
  <c r="V48" i="43"/>
  <c r="U48" i="43"/>
  <c r="R48" i="43"/>
  <c r="G48" i="43"/>
  <c r="AH47" i="43"/>
  <c r="V47" i="43"/>
  <c r="U47" i="43"/>
  <c r="G47" i="43"/>
  <c r="AH46" i="43"/>
  <c r="V46" i="43"/>
  <c r="U46" i="43"/>
  <c r="G46" i="43"/>
  <c r="AO45" i="43"/>
  <c r="AH45" i="43"/>
  <c r="V45" i="43"/>
  <c r="U45" i="43"/>
  <c r="G45" i="43"/>
  <c r="AH44" i="43"/>
  <c r="V44" i="43"/>
  <c r="U44" i="43"/>
  <c r="G44" i="43"/>
  <c r="AJ42" i="43"/>
  <c r="AB42" i="43"/>
  <c r="H42" i="43"/>
  <c r="AH41" i="43"/>
  <c r="V41" i="43"/>
  <c r="U41" i="43"/>
  <c r="R41" i="43"/>
  <c r="G41" i="43"/>
  <c r="AH40" i="43"/>
  <c r="V40" i="43"/>
  <c r="U40" i="43"/>
  <c r="R40" i="43"/>
  <c r="G40" i="43"/>
  <c r="AH39" i="43"/>
  <c r="V39" i="43"/>
  <c r="U39" i="43"/>
  <c r="G39" i="43"/>
  <c r="AH36" i="43"/>
  <c r="V36" i="43"/>
  <c r="U36" i="43"/>
  <c r="R36" i="43"/>
  <c r="G36" i="43"/>
  <c r="AH35" i="43"/>
  <c r="V35" i="43"/>
  <c r="U35" i="43"/>
  <c r="G35" i="43"/>
  <c r="AH33" i="43"/>
  <c r="V33" i="43"/>
  <c r="U33" i="43"/>
  <c r="G33" i="43"/>
  <c r="AH32" i="43"/>
  <c r="V32" i="43"/>
  <c r="U32" i="43"/>
  <c r="G32" i="43"/>
  <c r="AH31" i="43"/>
  <c r="V31" i="43"/>
  <c r="U31" i="43"/>
  <c r="G31" i="43"/>
  <c r="AH30" i="43"/>
  <c r="V30" i="43"/>
  <c r="U30" i="43"/>
  <c r="G30" i="43"/>
  <c r="AH29" i="43"/>
  <c r="V29" i="43"/>
  <c r="U29" i="43"/>
  <c r="R29" i="43"/>
  <c r="G29" i="43"/>
  <c r="AH28" i="43"/>
  <c r="V28" i="43"/>
  <c r="U28" i="43"/>
  <c r="G28" i="43"/>
  <c r="AH27" i="43"/>
  <c r="V27" i="43"/>
  <c r="U27" i="43"/>
  <c r="R27" i="43"/>
  <c r="G27" i="43"/>
  <c r="AH26" i="43"/>
  <c r="V26" i="43"/>
  <c r="U26" i="43"/>
  <c r="R26" i="43"/>
  <c r="G26" i="43"/>
  <c r="AH24" i="43"/>
  <c r="V24" i="43"/>
  <c r="U24" i="43"/>
  <c r="G24" i="43"/>
  <c r="AH23" i="43"/>
  <c r="V23" i="43"/>
  <c r="U23" i="43"/>
  <c r="G23" i="43"/>
  <c r="AH22" i="43"/>
  <c r="V22" i="43"/>
  <c r="U22" i="43"/>
  <c r="G22" i="43"/>
  <c r="AH21" i="43"/>
  <c r="V21" i="43"/>
  <c r="AA21" i="43" s="1"/>
  <c r="U21" i="43"/>
  <c r="G21" i="43"/>
  <c r="AH20" i="43"/>
  <c r="V20" i="43"/>
  <c r="U20" i="43"/>
  <c r="R20" i="43"/>
  <c r="G20" i="43"/>
  <c r="AH19" i="43"/>
  <c r="V19" i="43"/>
  <c r="U19" i="43"/>
  <c r="G19" i="43"/>
  <c r="AH18" i="43"/>
  <c r="V18" i="43"/>
  <c r="U18" i="43"/>
  <c r="R18" i="43"/>
  <c r="G18" i="43"/>
  <c r="AH17" i="43"/>
  <c r="V17" i="43"/>
  <c r="U17" i="43"/>
  <c r="G17" i="43"/>
  <c r="AH16" i="43"/>
  <c r="V16" i="43"/>
  <c r="U16" i="43"/>
  <c r="G16" i="43"/>
  <c r="AH15" i="43"/>
  <c r="V15" i="43"/>
  <c r="U15" i="43"/>
  <c r="G15" i="43"/>
  <c r="AO14" i="43"/>
  <c r="AH14" i="43"/>
  <c r="V14" i="43"/>
  <c r="U14" i="43"/>
  <c r="G14" i="43"/>
  <c r="AH13" i="43"/>
  <c r="V13" i="43"/>
  <c r="U13" i="43"/>
  <c r="R13" i="43"/>
  <c r="N13" i="43"/>
  <c r="M13" i="43"/>
  <c r="L13" i="43"/>
  <c r="E13" i="43"/>
  <c r="AJ12" i="43"/>
  <c r="AB12" i="43"/>
  <c r="H12" i="43"/>
  <c r="E11" i="43"/>
  <c r="T62" i="45"/>
  <c r="J62" i="45"/>
  <c r="P62" i="45"/>
  <c r="M54" i="45"/>
  <c r="M62" i="45" s="1"/>
  <c r="L54" i="45"/>
  <c r="L62" i="45" s="1"/>
  <c r="J54" i="45"/>
  <c r="AD54" i="45"/>
  <c r="M52" i="45"/>
  <c r="L52" i="45"/>
  <c r="J52" i="45"/>
  <c r="AD52" i="45"/>
  <c r="M51" i="45"/>
  <c r="L51" i="45"/>
  <c r="J51" i="45"/>
  <c r="AD51" i="45"/>
  <c r="M50" i="45"/>
  <c r="J50" i="45"/>
  <c r="AD50" i="45"/>
  <c r="T47" i="45"/>
  <c r="D47" i="45"/>
  <c r="J22" i="45"/>
  <c r="M14" i="45"/>
  <c r="L14" i="45"/>
  <c r="J14" i="45"/>
  <c r="Y12" i="45"/>
  <c r="Z12" i="45" s="1"/>
  <c r="AD12" i="45" s="1"/>
  <c r="T73" i="43"/>
  <c r="S73" i="43"/>
  <c r="M12" i="45"/>
  <c r="L12" i="45"/>
  <c r="J12" i="45"/>
  <c r="Y11" i="45"/>
  <c r="Z11" i="45" s="1"/>
  <c r="AD11" i="45" s="1"/>
  <c r="T42" i="43"/>
  <c r="S42" i="43"/>
  <c r="M11" i="45"/>
  <c r="O11" i="45" s="1"/>
  <c r="L11" i="45"/>
  <c r="J11" i="45"/>
  <c r="T12" i="43"/>
  <c r="S12" i="43"/>
  <c r="M10" i="45"/>
  <c r="L10" i="45"/>
  <c r="J10" i="45"/>
  <c r="T7" i="45"/>
  <c r="D7" i="45"/>
  <c r="U14" i="3"/>
  <c r="T14" i="3"/>
  <c r="S14" i="3"/>
  <c r="R14" i="3"/>
  <c r="Q14" i="3"/>
  <c r="P14" i="3"/>
  <c r="O14" i="3"/>
  <c r="N14" i="3"/>
  <c r="M14" i="3"/>
  <c r="L14" i="3"/>
  <c r="K14" i="3"/>
  <c r="J14" i="3"/>
  <c r="H14" i="3"/>
  <c r="G14" i="3"/>
  <c r="F14" i="3"/>
  <c r="E14" i="3"/>
  <c r="D14" i="3"/>
  <c r="C14" i="3"/>
  <c r="B14" i="3"/>
  <c r="A14" i="3"/>
  <c r="L66" i="51"/>
  <c r="L65" i="51"/>
  <c r="L64" i="51"/>
  <c r="L61" i="51"/>
  <c r="L60" i="51"/>
  <c r="L59" i="51"/>
  <c r="L58" i="51"/>
  <c r="L57" i="51"/>
  <c r="L56" i="51"/>
  <c r="L55" i="51"/>
  <c r="L54" i="51"/>
  <c r="L53" i="51"/>
  <c r="L52" i="51"/>
  <c r="L51" i="51"/>
  <c r="L50" i="51"/>
  <c r="L49" i="51"/>
  <c r="L46" i="51"/>
  <c r="L45" i="51"/>
  <c r="L44" i="51"/>
  <c r="L43" i="51"/>
  <c r="L42" i="51"/>
  <c r="L41" i="51"/>
  <c r="L40" i="51"/>
  <c r="L39" i="51"/>
  <c r="L38" i="51"/>
  <c r="L37" i="51"/>
  <c r="L36" i="51"/>
  <c r="L35" i="51"/>
  <c r="L34" i="51"/>
  <c r="L33" i="51"/>
  <c r="L32" i="51"/>
  <c r="L31" i="51"/>
  <c r="L30" i="51"/>
  <c r="L28" i="51"/>
  <c r="L27" i="51"/>
  <c r="L25" i="51"/>
  <c r="L24" i="51"/>
  <c r="L23" i="51"/>
  <c r="L22" i="51"/>
  <c r="L21" i="51"/>
  <c r="L20" i="51"/>
  <c r="L19" i="51"/>
  <c r="L18" i="51"/>
  <c r="L17" i="51"/>
  <c r="L16" i="51"/>
  <c r="L15" i="51"/>
  <c r="L14" i="51"/>
  <c r="L13" i="51"/>
  <c r="L12" i="51"/>
  <c r="M6" i="51"/>
  <c r="N6" i="51" s="1"/>
  <c r="O6" i="51" s="1"/>
  <c r="P6" i="51" s="1"/>
  <c r="Q6" i="51" s="1"/>
  <c r="R6" i="51" s="1"/>
  <c r="S6" i="51" s="1"/>
  <c r="T6" i="51" s="1"/>
  <c r="F33" i="21"/>
  <c r="C33" i="21"/>
  <c r="F32" i="21"/>
  <c r="C32" i="21"/>
  <c r="F31" i="21"/>
  <c r="C31" i="21"/>
  <c r="F30" i="21"/>
  <c r="C30" i="21"/>
  <c r="F25" i="21"/>
  <c r="C25" i="21"/>
  <c r="F24" i="21"/>
  <c r="C24" i="21"/>
  <c r="F23" i="21"/>
  <c r="C23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AA13" i="21"/>
  <c r="AB13" i="21" s="1"/>
  <c r="AD13" i="21" s="1"/>
  <c r="Z13" i="21"/>
  <c r="Y13" i="21"/>
  <c r="U13" i="21"/>
  <c r="V13" i="21" s="1"/>
  <c r="W13" i="21" s="1"/>
  <c r="T13" i="21"/>
  <c r="S13" i="21"/>
  <c r="M13" i="21"/>
  <c r="N13" i="21" s="1"/>
  <c r="O13" i="21" s="1"/>
  <c r="P13" i="21" s="1"/>
  <c r="L13" i="21"/>
  <c r="K13" i="21"/>
  <c r="G13" i="21"/>
  <c r="H13" i="21" s="1"/>
  <c r="I13" i="21" s="1"/>
  <c r="F13" i="21"/>
  <c r="E13" i="21"/>
  <c r="R62" i="45" l="1"/>
  <c r="AA62" i="45"/>
  <c r="G13" i="43"/>
  <c r="E141" i="43"/>
  <c r="AB296" i="19"/>
  <c r="K136" i="43"/>
  <c r="K129" i="43"/>
  <c r="K137" i="43"/>
  <c r="K123" i="43"/>
  <c r="K118" i="43"/>
  <c r="K125" i="43"/>
  <c r="K133" i="43"/>
  <c r="Y9" i="45"/>
  <c r="AE105" i="43" s="1"/>
  <c r="K108" i="43"/>
  <c r="O108" i="43"/>
  <c r="K10" i="45"/>
  <c r="E2" i="3"/>
  <c r="H12" i="1" s="1"/>
  <c r="E5" i="3"/>
  <c r="D24" i="45"/>
  <c r="C95" i="19"/>
  <c r="C96" i="19" s="1"/>
  <c r="C97" i="19" s="1"/>
  <c r="C98" i="19" s="1"/>
  <c r="C99" i="19" s="1"/>
  <c r="C100" i="19" s="1"/>
  <c r="C101" i="19" s="1"/>
  <c r="C102" i="19" s="1"/>
  <c r="C103" i="19" s="1"/>
  <c r="C104" i="19" s="1"/>
  <c r="F73" i="43"/>
  <c r="F42" i="43"/>
  <c r="F12" i="43"/>
  <c r="P22" i="45"/>
  <c r="L22" i="45"/>
  <c r="M22" i="45"/>
  <c r="E3" i="3"/>
  <c r="I12" i="1" s="1"/>
  <c r="K13" i="43"/>
  <c r="L58" i="45"/>
  <c r="H59" i="45"/>
  <c r="AD59" i="45" s="1"/>
  <c r="R18" i="45"/>
  <c r="R59" i="45"/>
  <c r="R60" i="45"/>
  <c r="H61" i="45"/>
  <c r="AD61" i="45" s="1"/>
  <c r="L59" i="45"/>
  <c r="L20" i="45"/>
  <c r="L21" i="45"/>
  <c r="R12" i="45"/>
  <c r="M20" i="45"/>
  <c r="M21" i="45"/>
  <c r="L60" i="45"/>
  <c r="L61" i="45"/>
  <c r="H60" i="45"/>
  <c r="L18" i="45"/>
  <c r="M18" i="45"/>
  <c r="L19" i="45"/>
  <c r="H58" i="45"/>
  <c r="AD58" i="45" s="1"/>
  <c r="M19" i="45"/>
  <c r="R51" i="45"/>
  <c r="S51" i="45" s="1"/>
  <c r="AI269" i="19"/>
  <c r="H62" i="45"/>
  <c r="H20" i="45"/>
  <c r="H21" i="45"/>
  <c r="R21" i="43"/>
  <c r="Y21" i="43"/>
  <c r="H18" i="45"/>
  <c r="AD18" i="45" s="1"/>
  <c r="H19" i="45"/>
  <c r="O12" i="57"/>
  <c r="N12" i="43"/>
  <c r="G31" i="21"/>
  <c r="E12" i="43"/>
  <c r="W9" i="45"/>
  <c r="AC105" i="43" s="1"/>
  <c r="AC12" i="43"/>
  <c r="AF12" i="43"/>
  <c r="AO13" i="43"/>
  <c r="G24" i="21"/>
  <c r="AA59" i="45"/>
  <c r="R44" i="31"/>
  <c r="R108" i="31"/>
  <c r="M74" i="31"/>
  <c r="J14" i="31"/>
  <c r="F44" i="31"/>
  <c r="E44" i="31"/>
  <c r="J74" i="31"/>
  <c r="E108" i="31"/>
  <c r="P107" i="43" s="1"/>
  <c r="M14" i="31"/>
  <c r="Y14" i="43" s="1"/>
  <c r="I44" i="31"/>
  <c r="N74" i="31"/>
  <c r="J108" i="31"/>
  <c r="N44" i="31"/>
  <c r="F74" i="31"/>
  <c r="Q74" i="31"/>
  <c r="N14" i="31"/>
  <c r="J44" i="31"/>
  <c r="N108" i="31"/>
  <c r="W55" i="43"/>
  <c r="W98" i="43"/>
  <c r="Y72" i="43"/>
  <c r="W23" i="43"/>
  <c r="AG45" i="43"/>
  <c r="W102" i="43"/>
  <c r="K17" i="31"/>
  <c r="R19" i="45"/>
  <c r="W107" i="43"/>
  <c r="P114" i="43"/>
  <c r="O116" i="43"/>
  <c r="Y51" i="43"/>
  <c r="W124" i="43"/>
  <c r="AO44" i="43"/>
  <c r="AI86" i="43"/>
  <c r="O124" i="43"/>
  <c r="AO23" i="43"/>
  <c r="AG54" i="43"/>
  <c r="W13" i="43"/>
  <c r="R72" i="43"/>
  <c r="W58" i="43"/>
  <c r="AI94" i="43"/>
  <c r="W136" i="43"/>
  <c r="AO75" i="43"/>
  <c r="O111" i="43"/>
  <c r="W24" i="43"/>
  <c r="W75" i="43"/>
  <c r="AI81" i="43"/>
  <c r="AI98" i="43"/>
  <c r="K111" i="43"/>
  <c r="E14" i="31"/>
  <c r="P14" i="43" s="1"/>
  <c r="P111" i="43"/>
  <c r="W26" i="43"/>
  <c r="W72" i="43"/>
  <c r="AO119" i="43"/>
  <c r="AO56" i="43"/>
  <c r="X73" i="43"/>
  <c r="W20" i="43"/>
  <c r="W76" i="43"/>
  <c r="W80" i="43"/>
  <c r="Y86" i="43"/>
  <c r="W122" i="43"/>
  <c r="AC269" i="19"/>
  <c r="AO17" i="43"/>
  <c r="Y111" i="43"/>
  <c r="Y125" i="43"/>
  <c r="W77" i="43"/>
  <c r="G119" i="31"/>
  <c r="Q118" i="43" s="1"/>
  <c r="P109" i="43"/>
  <c r="Y75" i="43"/>
  <c r="W89" i="43"/>
  <c r="O125" i="43"/>
  <c r="O136" i="43"/>
  <c r="M196" i="19"/>
  <c r="F14" i="31"/>
  <c r="Q14" i="31"/>
  <c r="R58" i="45"/>
  <c r="Y48" i="43"/>
  <c r="I269" i="19"/>
  <c r="AG14" i="43"/>
  <c r="AO30" i="43"/>
  <c r="G15" i="31"/>
  <c r="G16" i="31"/>
  <c r="G111" i="31"/>
  <c r="Q110" i="43" s="1"/>
  <c r="G118" i="31"/>
  <c r="Q117" i="43" s="1"/>
  <c r="AI78" i="43"/>
  <c r="AI89" i="43"/>
  <c r="O121" i="43"/>
  <c r="AO32" i="43"/>
  <c r="S101" i="31"/>
  <c r="S107" i="31"/>
  <c r="R22" i="43"/>
  <c r="W22" i="43"/>
  <c r="R58" i="43"/>
  <c r="O296" i="19"/>
  <c r="Y94" i="43"/>
  <c r="R94" i="43"/>
  <c r="W121" i="43"/>
  <c r="R121" i="43"/>
  <c r="R112" i="43"/>
  <c r="W112" i="43"/>
  <c r="W123" i="43"/>
  <c r="R54" i="43"/>
  <c r="Y54" i="43"/>
  <c r="O13" i="43"/>
  <c r="AG15" i="43"/>
  <c r="W83" i="43"/>
  <c r="W126" i="43"/>
  <c r="Y55" i="43"/>
  <c r="Y56" i="43"/>
  <c r="Y59" i="43"/>
  <c r="R74" i="31"/>
  <c r="P108" i="43"/>
  <c r="AO29" i="43"/>
  <c r="W119" i="43"/>
  <c r="Y110" i="43"/>
  <c r="R119" i="43"/>
  <c r="O137" i="43"/>
  <c r="Y27" i="43"/>
  <c r="Y35" i="43"/>
  <c r="Y36" i="43"/>
  <c r="W62" i="43"/>
  <c r="AP97" i="43"/>
  <c r="AQ97" i="43" s="1"/>
  <c r="W110" i="43"/>
  <c r="W129" i="43"/>
  <c r="AO103" i="43"/>
  <c r="M108" i="31"/>
  <c r="Y107" i="43" s="1"/>
  <c r="Y116" i="43"/>
  <c r="W35" i="43"/>
  <c r="AO26" i="43"/>
  <c r="R35" i="43"/>
  <c r="W39" i="43"/>
  <c r="Y62" i="43"/>
  <c r="W78" i="43"/>
  <c r="AI92" i="43"/>
  <c r="O129" i="43"/>
  <c r="W134" i="43"/>
  <c r="F296" i="19"/>
  <c r="AO28" i="43"/>
  <c r="AO41" i="43"/>
  <c r="AO54" i="43"/>
  <c r="M44" i="31"/>
  <c r="Y97" i="43"/>
  <c r="Y98" i="43"/>
  <c r="Y102" i="43"/>
  <c r="Y138" i="43"/>
  <c r="O48" i="31"/>
  <c r="AA49" i="43" s="1"/>
  <c r="O56" i="31"/>
  <c r="AA57" i="43" s="1"/>
  <c r="O57" i="31"/>
  <c r="AA58" i="43" s="1"/>
  <c r="O63" i="31"/>
  <c r="AA64" i="43" s="1"/>
  <c r="O65" i="31"/>
  <c r="AA66" i="43" s="1"/>
  <c r="S47" i="31"/>
  <c r="S48" i="31"/>
  <c r="K55" i="31"/>
  <c r="K56" i="31"/>
  <c r="K28" i="31"/>
  <c r="F51" i="45"/>
  <c r="K24" i="31"/>
  <c r="K29" i="31"/>
  <c r="O92" i="31"/>
  <c r="AA94" i="43" s="1"/>
  <c r="R52" i="45"/>
  <c r="S52" i="45" s="1"/>
  <c r="Y85" i="43"/>
  <c r="S20" i="31"/>
  <c r="S66" i="31"/>
  <c r="S73" i="31"/>
  <c r="G100" i="31"/>
  <c r="K109" i="31"/>
  <c r="K113" i="31"/>
  <c r="K114" i="31"/>
  <c r="K115" i="31"/>
  <c r="K117" i="31"/>
  <c r="K118" i="31"/>
  <c r="K119" i="31"/>
  <c r="K121" i="31"/>
  <c r="K123" i="31"/>
  <c r="K30" i="31"/>
  <c r="S109" i="31"/>
  <c r="S26" i="31"/>
  <c r="S28" i="31"/>
  <c r="S30" i="31"/>
  <c r="S54" i="31"/>
  <c r="K76" i="31"/>
  <c r="K80" i="31"/>
  <c r="K83" i="31"/>
  <c r="K87" i="31"/>
  <c r="K97" i="31"/>
  <c r="S31" i="31"/>
  <c r="S53" i="31"/>
  <c r="G34" i="21"/>
  <c r="Y81" i="43"/>
  <c r="Y83" i="43"/>
  <c r="O13" i="31"/>
  <c r="G17" i="31"/>
  <c r="G19" i="31"/>
  <c r="G20" i="31"/>
  <c r="G55" i="31"/>
  <c r="G59" i="31"/>
  <c r="F19" i="45"/>
  <c r="Y13" i="43"/>
  <c r="S16" i="31"/>
  <c r="O26" i="31"/>
  <c r="AA26" i="43" s="1"/>
  <c r="O27" i="31"/>
  <c r="AA27" i="43" s="1"/>
  <c r="O28" i="31"/>
  <c r="AA28" i="43" s="1"/>
  <c r="O30" i="31"/>
  <c r="AA30" i="43" s="1"/>
  <c r="K71" i="31"/>
  <c r="O80" i="31"/>
  <c r="AA82" i="43" s="1"/>
  <c r="O87" i="31"/>
  <c r="AA89" i="43" s="1"/>
  <c r="O88" i="31"/>
  <c r="AA90" i="43" s="1"/>
  <c r="O100" i="31"/>
  <c r="AA102" i="43" s="1"/>
  <c r="O101" i="31"/>
  <c r="AA103" i="43" s="1"/>
  <c r="O105" i="31"/>
  <c r="AA138" i="43" s="1"/>
  <c r="O107" i="31"/>
  <c r="AA106" i="43" s="1"/>
  <c r="S131" i="31"/>
  <c r="S134" i="31"/>
  <c r="S135" i="31"/>
  <c r="X12" i="43"/>
  <c r="R11" i="45"/>
  <c r="Y20" i="43"/>
  <c r="S41" i="31"/>
  <c r="S76" i="31"/>
  <c r="S77" i="31"/>
  <c r="S80" i="31"/>
  <c r="S81" i="31"/>
  <c r="S86" i="31"/>
  <c r="S87" i="31"/>
  <c r="S88" i="31"/>
  <c r="S89" i="31"/>
  <c r="S92" i="31"/>
  <c r="S96" i="31"/>
  <c r="G120" i="31"/>
  <c r="G121" i="31"/>
  <c r="Q120" i="43" s="1"/>
  <c r="G125" i="31"/>
  <c r="Q124" i="43" s="1"/>
  <c r="G131" i="31"/>
  <c r="Q131" i="43" s="1"/>
  <c r="G135" i="31"/>
  <c r="Q134" i="43" s="1"/>
  <c r="G47" i="31"/>
  <c r="G50" i="31"/>
  <c r="S59" i="31"/>
  <c r="S62" i="31"/>
  <c r="F61" i="45"/>
  <c r="Y61" i="43"/>
  <c r="Y87" i="43"/>
  <c r="P118" i="43"/>
  <c r="AG21" i="43"/>
  <c r="K45" i="31"/>
  <c r="K46" i="31"/>
  <c r="K47" i="31"/>
  <c r="K50" i="31"/>
  <c r="G65" i="31"/>
  <c r="G76" i="31"/>
  <c r="G78" i="31"/>
  <c r="G79" i="31"/>
  <c r="G81" i="31"/>
  <c r="G83" i="31"/>
  <c r="G89" i="31"/>
  <c r="G91" i="31"/>
  <c r="G95" i="31"/>
  <c r="K131" i="31"/>
  <c r="G46" i="31"/>
  <c r="S60" i="31"/>
  <c r="O18" i="31"/>
  <c r="AA18" i="43" s="1"/>
  <c r="G71" i="31"/>
  <c r="K101" i="31"/>
  <c r="K105" i="31"/>
  <c r="K107" i="31"/>
  <c r="O112" i="31"/>
  <c r="AA111" i="43" s="1"/>
  <c r="O114" i="31"/>
  <c r="AA113" i="43" s="1"/>
  <c r="O115" i="31"/>
  <c r="AA114" i="43" s="1"/>
  <c r="O117" i="31"/>
  <c r="AA116" i="43" s="1"/>
  <c r="O119" i="31"/>
  <c r="AA118" i="43" s="1"/>
  <c r="O121" i="31"/>
  <c r="AA120" i="43" s="1"/>
  <c r="O127" i="31"/>
  <c r="AA126" i="43" s="1"/>
  <c r="R20" i="45"/>
  <c r="Y17" i="43"/>
  <c r="W17" i="43"/>
  <c r="R17" i="43"/>
  <c r="Y19" i="43"/>
  <c r="R19" i="43"/>
  <c r="W92" i="43"/>
  <c r="R92" i="43"/>
  <c r="K116" i="43"/>
  <c r="P116" i="43"/>
  <c r="AO20" i="43"/>
  <c r="AO16" i="43"/>
  <c r="AO19" i="43"/>
  <c r="Y28" i="43"/>
  <c r="W28" i="43"/>
  <c r="R28" i="43"/>
  <c r="S129" i="31"/>
  <c r="S130" i="31"/>
  <c r="AA51" i="45"/>
  <c r="O119" i="43"/>
  <c r="P119" i="43"/>
  <c r="S13" i="31"/>
  <c r="Y52" i="43"/>
  <c r="R52" i="43"/>
  <c r="O110" i="43"/>
  <c r="K110" i="43"/>
  <c r="G269" i="19"/>
  <c r="AA269" i="19"/>
  <c r="AQ269" i="19"/>
  <c r="AP296" i="19"/>
  <c r="G130" i="31"/>
  <c r="R61" i="45"/>
  <c r="R21" i="45"/>
  <c r="W27" i="43"/>
  <c r="W67" i="43"/>
  <c r="O114" i="43"/>
  <c r="K114" i="43"/>
  <c r="F15" i="45"/>
  <c r="Y44" i="43"/>
  <c r="W44" i="43"/>
  <c r="R44" i="43"/>
  <c r="Y93" i="43"/>
  <c r="R93" i="43"/>
  <c r="R11" i="1"/>
  <c r="AO59" i="43"/>
  <c r="AO66" i="43"/>
  <c r="W33" i="43"/>
  <c r="Y33" i="43"/>
  <c r="R71" i="43"/>
  <c r="Y71" i="43"/>
  <c r="R76" i="43"/>
  <c r="P120" i="43"/>
  <c r="K120" i="43"/>
  <c r="Y123" i="43"/>
  <c r="R123" i="43"/>
  <c r="K13" i="31"/>
  <c r="Y100" i="43"/>
  <c r="R100" i="43"/>
  <c r="P110" i="43"/>
  <c r="P112" i="43"/>
  <c r="K112" i="43"/>
  <c r="P134" i="43"/>
  <c r="O134" i="43"/>
  <c r="K134" i="43"/>
  <c r="N296" i="19"/>
  <c r="AH296" i="19"/>
  <c r="Q51" i="45"/>
  <c r="V141" i="43"/>
  <c r="W51" i="43"/>
  <c r="Y112" i="43"/>
  <c r="Y119" i="43"/>
  <c r="Y126" i="43"/>
  <c r="P129" i="43"/>
  <c r="P133" i="43"/>
  <c r="O11" i="26"/>
  <c r="N11" i="26"/>
  <c r="K43" i="31"/>
  <c r="K49" i="31"/>
  <c r="G60" i="31"/>
  <c r="S71" i="31"/>
  <c r="G97" i="31"/>
  <c r="G110" i="31"/>
  <c r="G114" i="31"/>
  <c r="Q113" i="43" s="1"/>
  <c r="G115" i="31"/>
  <c r="Q114" i="43" s="1"/>
  <c r="G117" i="31"/>
  <c r="Q116" i="43" s="1"/>
  <c r="S120" i="31"/>
  <c r="S123" i="31"/>
  <c r="S124" i="31"/>
  <c r="S127" i="31"/>
  <c r="W19" i="43"/>
  <c r="W71" i="43"/>
  <c r="Y121" i="43"/>
  <c r="N269" i="19"/>
  <c r="AO95" i="43"/>
  <c r="S18" i="31"/>
  <c r="Y29" i="43"/>
  <c r="O32" i="31"/>
  <c r="AA32" i="43" s="1"/>
  <c r="O43" i="31"/>
  <c r="O47" i="31"/>
  <c r="AA48" i="43" s="1"/>
  <c r="K75" i="31"/>
  <c r="K79" i="31"/>
  <c r="K84" i="31"/>
  <c r="K85" i="31"/>
  <c r="K86" i="31"/>
  <c r="K92" i="31"/>
  <c r="K93" i="31"/>
  <c r="G101" i="31"/>
  <c r="G105" i="31"/>
  <c r="Q138" i="43" s="1"/>
  <c r="E24" i="45"/>
  <c r="E29" i="45" s="1"/>
  <c r="Y23" i="43"/>
  <c r="R23" i="43"/>
  <c r="AK76" i="43"/>
  <c r="R91" i="43"/>
  <c r="Y91" i="43"/>
  <c r="W91" i="43"/>
  <c r="R97" i="43"/>
  <c r="W103" i="43"/>
  <c r="R108" i="43"/>
  <c r="W108" i="43"/>
  <c r="W109" i="43"/>
  <c r="R109" i="43"/>
  <c r="Y122" i="43"/>
  <c r="L10" i="1"/>
  <c r="M10" i="1"/>
  <c r="O24" i="31"/>
  <c r="AA23" i="43" s="1"/>
  <c r="W18" i="43"/>
  <c r="W60" i="43"/>
  <c r="Y78" i="43"/>
  <c r="AI80" i="43"/>
  <c r="P123" i="43"/>
  <c r="K15" i="31"/>
  <c r="S23" i="31"/>
  <c r="S27" i="31"/>
  <c r="S32" i="31"/>
  <c r="W50" i="43"/>
  <c r="W52" i="43"/>
  <c r="K109" i="43"/>
  <c r="O109" i="43"/>
  <c r="S56" i="31"/>
  <c r="S57" i="31"/>
  <c r="S63" i="31"/>
  <c r="O123" i="31"/>
  <c r="AA122" i="43" s="1"/>
  <c r="W59" i="43"/>
  <c r="O112" i="43"/>
  <c r="O123" i="43"/>
  <c r="Y124" i="43"/>
  <c r="AB269" i="19"/>
  <c r="K19" i="31"/>
  <c r="S33" i="31"/>
  <c r="S40" i="31"/>
  <c r="K66" i="31"/>
  <c r="K70" i="31"/>
  <c r="Y92" i="43"/>
  <c r="O95" i="31"/>
  <c r="AA97" i="43" s="1"/>
  <c r="O96" i="31"/>
  <c r="AA98" i="43" s="1"/>
  <c r="K112" i="31"/>
  <c r="G123" i="31"/>
  <c r="Q122" i="43" s="1"/>
  <c r="Y22" i="43"/>
  <c r="Y30" i="43"/>
  <c r="W32" i="43"/>
  <c r="R59" i="43"/>
  <c r="W61" i="43"/>
  <c r="AI79" i="43"/>
  <c r="AI82" i="43"/>
  <c r="AI83" i="43"/>
  <c r="W85" i="43"/>
  <c r="AI93" i="43"/>
  <c r="AI100" i="43"/>
  <c r="R124" i="43"/>
  <c r="P125" i="43"/>
  <c r="Y134" i="43"/>
  <c r="N106" i="43"/>
  <c r="N141" i="43" s="1"/>
  <c r="AJ296" i="19"/>
  <c r="AO48" i="43"/>
  <c r="AO49" i="43"/>
  <c r="O62" i="31"/>
  <c r="AA63" i="43" s="1"/>
  <c r="Y67" i="43"/>
  <c r="O71" i="31"/>
  <c r="AA72" i="43" s="1"/>
  <c r="O73" i="31"/>
  <c r="AA75" i="43" s="1"/>
  <c r="I74" i="31"/>
  <c r="O75" i="31"/>
  <c r="AA77" i="43" s="1"/>
  <c r="O86" i="31"/>
  <c r="AA88" i="43" s="1"/>
  <c r="I108" i="31"/>
  <c r="Y108" i="43"/>
  <c r="I14" i="31"/>
  <c r="O15" i="31"/>
  <c r="AA15" i="43" s="1"/>
  <c r="K20" i="31"/>
  <c r="G23" i="31"/>
  <c r="G28" i="31"/>
  <c r="G29" i="31"/>
  <c r="G31" i="31"/>
  <c r="G63" i="31"/>
  <c r="S91" i="31"/>
  <c r="O104" i="31"/>
  <c r="G126" i="31"/>
  <c r="Q125" i="43" s="1"/>
  <c r="W111" i="43"/>
  <c r="W114" i="43"/>
  <c r="O120" i="43"/>
  <c r="AH106" i="43"/>
  <c r="AJ269" i="19"/>
  <c r="U296" i="19"/>
  <c r="AO296" i="19"/>
  <c r="R14" i="31"/>
  <c r="O17" i="31"/>
  <c r="AA17" i="43" s="1"/>
  <c r="K25" i="31"/>
  <c r="K26" i="31"/>
  <c r="K31" i="31"/>
  <c r="K32" i="31"/>
  <c r="G36" i="31"/>
  <c r="G43" i="31"/>
  <c r="Q44" i="31"/>
  <c r="K58" i="31"/>
  <c r="K60" i="31"/>
  <c r="K61" i="31"/>
  <c r="K62" i="31"/>
  <c r="G67" i="31"/>
  <c r="G70" i="31"/>
  <c r="G73" i="31"/>
  <c r="E74" i="31"/>
  <c r="G75" i="31"/>
  <c r="G80" i="31"/>
  <c r="G86" i="31"/>
  <c r="G92" i="31"/>
  <c r="S93" i="31"/>
  <c r="S100" i="31"/>
  <c r="S103" i="31"/>
  <c r="S104" i="31"/>
  <c r="S105" i="31"/>
  <c r="F108" i="31"/>
  <c r="Q108" i="31"/>
  <c r="S111" i="31"/>
  <c r="K122" i="31"/>
  <c r="K124" i="31"/>
  <c r="K130" i="31"/>
  <c r="K134" i="31"/>
  <c r="K135" i="31"/>
  <c r="K33" i="31"/>
  <c r="K35" i="31"/>
  <c r="K36" i="31"/>
  <c r="K41" i="31"/>
  <c r="S45" i="31"/>
  <c r="O49" i="31"/>
  <c r="AA50" i="43" s="1"/>
  <c r="K53" i="31"/>
  <c r="K54" i="31"/>
  <c r="G58" i="31"/>
  <c r="S61" i="31"/>
  <c r="K67" i="31"/>
  <c r="S75" i="31"/>
  <c r="O78" i="31"/>
  <c r="AA80" i="43" s="1"/>
  <c r="K81" i="31"/>
  <c r="G88" i="31"/>
  <c r="G90" i="31"/>
  <c r="O97" i="31"/>
  <c r="AA100" i="43" s="1"/>
  <c r="K110" i="31"/>
  <c r="K111" i="31"/>
  <c r="G127" i="31"/>
  <c r="Q126" i="43" s="1"/>
  <c r="S15" i="31"/>
  <c r="O35" i="31"/>
  <c r="AA35" i="43" s="1"/>
  <c r="O36" i="31"/>
  <c r="AA36" i="43" s="1"/>
  <c r="AA39" i="43"/>
  <c r="O40" i="31"/>
  <c r="AA40" i="43" s="1"/>
  <c r="O41" i="31"/>
  <c r="AA41" i="43" s="1"/>
  <c r="G45" i="31"/>
  <c r="S49" i="31"/>
  <c r="AA52" i="43"/>
  <c r="O54" i="31"/>
  <c r="AA55" i="43" s="1"/>
  <c r="K57" i="31"/>
  <c r="G61" i="31"/>
  <c r="G62" i="31"/>
  <c r="S65" i="31"/>
  <c r="K73" i="31"/>
  <c r="S78" i="31"/>
  <c r="S79" i="31"/>
  <c r="O81" i="31"/>
  <c r="AA83" i="43" s="1"/>
  <c r="K88" i="31"/>
  <c r="K89" i="31"/>
  <c r="K90" i="31"/>
  <c r="O110" i="31"/>
  <c r="AA109" i="43" s="1"/>
  <c r="O111" i="31"/>
  <c r="AA110" i="43" s="1"/>
  <c r="K120" i="31"/>
  <c r="K125" i="31"/>
  <c r="K126" i="31"/>
  <c r="K127" i="31"/>
  <c r="G30" i="31"/>
  <c r="S35" i="31"/>
  <c r="S36" i="31"/>
  <c r="S19" i="31"/>
  <c r="O20" i="31"/>
  <c r="AA20" i="43" s="1"/>
  <c r="S24" i="31"/>
  <c r="S43" i="31"/>
  <c r="O58" i="31"/>
  <c r="AA59" i="43" s="1"/>
  <c r="O59" i="31"/>
  <c r="AA60" i="43" s="1"/>
  <c r="K65" i="31"/>
  <c r="K77" i="31"/>
  <c r="S83" i="31"/>
  <c r="S84" i="31"/>
  <c r="K95" i="31"/>
  <c r="G103" i="31"/>
  <c r="Q136" i="43" s="1"/>
  <c r="G104" i="31"/>
  <c r="Q137" i="43" s="1"/>
  <c r="G107" i="31"/>
  <c r="Q106" i="43" s="1"/>
  <c r="S112" i="31"/>
  <c r="S115" i="31"/>
  <c r="S117" i="31"/>
  <c r="S119" i="31"/>
  <c r="O129" i="31"/>
  <c r="Y18" i="43"/>
  <c r="Y58" i="43"/>
  <c r="Y77" i="43"/>
  <c r="Y90" i="43"/>
  <c r="Y103" i="43"/>
  <c r="K27" i="31"/>
  <c r="S29" i="31"/>
  <c r="G48" i="31"/>
  <c r="G96" i="31"/>
  <c r="G109" i="31"/>
  <c r="Q108" i="43" s="1"/>
  <c r="S121" i="31"/>
  <c r="P13" i="43"/>
  <c r="Y32" i="43"/>
  <c r="Y50" i="43"/>
  <c r="K16" i="31"/>
  <c r="G18" i="31"/>
  <c r="G40" i="31"/>
  <c r="G41" i="31"/>
  <c r="G49" i="31"/>
  <c r="S50" i="31"/>
  <c r="G56" i="31"/>
  <c r="G66" i="31"/>
  <c r="K78" i="31"/>
  <c r="G87" i="31"/>
  <c r="K104" i="31"/>
  <c r="S110" i="31"/>
  <c r="G129" i="31"/>
  <c r="R50" i="45"/>
  <c r="Y89" i="43"/>
  <c r="K48" i="31"/>
  <c r="G57" i="31"/>
  <c r="S67" i="31"/>
  <c r="O77" i="31"/>
  <c r="AA79" i="43" s="1"/>
  <c r="O84" i="31"/>
  <c r="AA86" i="43" s="1"/>
  <c r="S90" i="31"/>
  <c r="S118" i="31"/>
  <c r="G122" i="31"/>
  <c r="Q121" i="43" s="1"/>
  <c r="Y114" i="43"/>
  <c r="Y118" i="43"/>
  <c r="K18" i="31"/>
  <c r="G25" i="31"/>
  <c r="G26" i="31"/>
  <c r="K40" i="31"/>
  <c r="O45" i="31"/>
  <c r="AA46" i="43" s="1"/>
  <c r="Y120" i="43"/>
  <c r="P136" i="43"/>
  <c r="G53" i="31"/>
  <c r="G77" i="31"/>
  <c r="G84" i="31"/>
  <c r="K100" i="31"/>
  <c r="S113" i="31"/>
  <c r="G124" i="31"/>
  <c r="Q123" i="43" s="1"/>
  <c r="S125" i="31"/>
  <c r="Y40" i="43"/>
  <c r="Y41" i="43"/>
  <c r="Y109" i="43"/>
  <c r="G13" i="31"/>
  <c r="G27" i="31"/>
  <c r="G33" i="31"/>
  <c r="G35" i="31"/>
  <c r="S55" i="31"/>
  <c r="K59" i="31"/>
  <c r="G85" i="31"/>
  <c r="G93" i="31"/>
  <c r="G113" i="31"/>
  <c r="Q112" i="43" s="1"/>
  <c r="O135" i="31"/>
  <c r="AA134" i="43" s="1"/>
  <c r="AG30" i="43"/>
  <c r="AC13" i="21"/>
  <c r="W64" i="43"/>
  <c r="P12" i="1"/>
  <c r="M12" i="26"/>
  <c r="Q14" i="45"/>
  <c r="W45" i="43"/>
  <c r="R45" i="43"/>
  <c r="W117" i="43"/>
  <c r="R117" i="43"/>
  <c r="Y117" i="43"/>
  <c r="G13" i="3"/>
  <c r="F13" i="45"/>
  <c r="F18" i="45"/>
  <c r="W15" i="43"/>
  <c r="R15" i="43"/>
  <c r="Y15" i="43"/>
  <c r="R16" i="43"/>
  <c r="Y16" i="43"/>
  <c r="W16" i="43"/>
  <c r="W21" i="43"/>
  <c r="Y131" i="43"/>
  <c r="R131" i="43"/>
  <c r="W131" i="43"/>
  <c r="F9" i="45"/>
  <c r="R31" i="43"/>
  <c r="Y31" i="43"/>
  <c r="W31" i="43"/>
  <c r="W69" i="43"/>
  <c r="R69" i="43"/>
  <c r="Y69" i="43"/>
  <c r="Y63" i="43"/>
  <c r="R63" i="43"/>
  <c r="W63" i="43"/>
  <c r="K117" i="43"/>
  <c r="P117" i="43"/>
  <c r="O117" i="43"/>
  <c r="O118" i="43"/>
  <c r="W118" i="43"/>
  <c r="R133" i="43"/>
  <c r="Y133" i="43"/>
  <c r="W133" i="43"/>
  <c r="R12" i="1"/>
  <c r="O12" i="26"/>
  <c r="AA21" i="45"/>
  <c r="F54" i="45"/>
  <c r="F58" i="45"/>
  <c r="O14" i="43"/>
  <c r="Y24" i="43"/>
  <c r="W47" i="43"/>
  <c r="Y57" i="43"/>
  <c r="W57" i="43"/>
  <c r="Y128" i="43"/>
  <c r="W128" i="43"/>
  <c r="O131" i="43"/>
  <c r="K131" i="43"/>
  <c r="Y137" i="43"/>
  <c r="W137" i="43"/>
  <c r="F50" i="45"/>
  <c r="W29" i="43"/>
  <c r="R30" i="43"/>
  <c r="R32" i="43"/>
  <c r="R47" i="43"/>
  <c r="W54" i="43"/>
  <c r="W56" i="43"/>
  <c r="R57" i="43"/>
  <c r="R86" i="43"/>
  <c r="W93" i="43"/>
  <c r="Y106" i="43"/>
  <c r="W113" i="43"/>
  <c r="R113" i="43"/>
  <c r="Y113" i="43"/>
  <c r="K119" i="43"/>
  <c r="R128" i="43"/>
  <c r="P137" i="43"/>
  <c r="R137" i="43"/>
  <c r="W40" i="43"/>
  <c r="W41" i="43"/>
  <c r="Y95" i="43"/>
  <c r="W95" i="43"/>
  <c r="W97" i="43"/>
  <c r="K107" i="43"/>
  <c r="O107" i="43"/>
  <c r="W125" i="43"/>
  <c r="O126" i="43"/>
  <c r="P126" i="43"/>
  <c r="Y26" i="43"/>
  <c r="W36" i="43"/>
  <c r="R46" i="43"/>
  <c r="Y46" i="43"/>
  <c r="W46" i="43"/>
  <c r="Y66" i="43"/>
  <c r="W66" i="43"/>
  <c r="W82" i="43"/>
  <c r="R87" i="43"/>
  <c r="W94" i="43"/>
  <c r="R95" i="43"/>
  <c r="G106" i="43"/>
  <c r="U141" i="43"/>
  <c r="K113" i="43"/>
  <c r="P113" i="43"/>
  <c r="P122" i="43"/>
  <c r="O122" i="43"/>
  <c r="K126" i="43"/>
  <c r="W138" i="43"/>
  <c r="F55" i="45"/>
  <c r="AA60" i="45"/>
  <c r="K14" i="43"/>
  <c r="R14" i="43"/>
  <c r="R24" i="43"/>
  <c r="W30" i="43"/>
  <c r="R39" i="43"/>
  <c r="Y47" i="43"/>
  <c r="Y60" i="43"/>
  <c r="Y64" i="43"/>
  <c r="R66" i="43"/>
  <c r="R82" i="43"/>
  <c r="W86" i="43"/>
  <c r="R120" i="43"/>
  <c r="W120" i="43"/>
  <c r="P121" i="43"/>
  <c r="K121" i="43"/>
  <c r="K122" i="43"/>
  <c r="P131" i="43"/>
  <c r="Q52" i="45"/>
  <c r="W48" i="43"/>
  <c r="Y49" i="43"/>
  <c r="W49" i="43"/>
  <c r="W81" i="43"/>
  <c r="W87" i="43"/>
  <c r="M141" i="43"/>
  <c r="W14" i="43"/>
  <c r="R33" i="43"/>
  <c r="Y39" i="43"/>
  <c r="AG46" i="43"/>
  <c r="R49" i="43"/>
  <c r="R50" i="43"/>
  <c r="R77" i="43"/>
  <c r="W79" i="43"/>
  <c r="Y79" i="43"/>
  <c r="R81" i="43"/>
  <c r="Y82" i="43"/>
  <c r="W88" i="43"/>
  <c r="Y88" i="43"/>
  <c r="AK90" i="43"/>
  <c r="AK103" i="43"/>
  <c r="O113" i="43"/>
  <c r="Y136" i="43"/>
  <c r="R136" i="43"/>
  <c r="AO79" i="43"/>
  <c r="AO87" i="43"/>
  <c r="AO83" i="43"/>
  <c r="AO82" i="43"/>
  <c r="AO80" i="43"/>
  <c r="AO86" i="43"/>
  <c r="AO81" i="43"/>
  <c r="AO78" i="43"/>
  <c r="AO85" i="43"/>
  <c r="R80" i="43"/>
  <c r="Y80" i="43"/>
  <c r="K106" i="43"/>
  <c r="P106" i="43"/>
  <c r="W116" i="43"/>
  <c r="R116" i="43"/>
  <c r="P124" i="43"/>
  <c r="K124" i="43"/>
  <c r="AO71" i="43"/>
  <c r="AO69" i="43"/>
  <c r="R89" i="43"/>
  <c r="AK91" i="43"/>
  <c r="AI95" i="43"/>
  <c r="M188" i="19"/>
  <c r="M198" i="19" s="1"/>
  <c r="M200" i="19" s="1"/>
  <c r="M199" i="19"/>
  <c r="O199" i="19" s="1"/>
  <c r="T269" i="19"/>
  <c r="AO93" i="43"/>
  <c r="G24" i="31"/>
  <c r="O60" i="31"/>
  <c r="AA61" i="43" s="1"/>
  <c r="F269" i="19"/>
  <c r="AO62" i="43"/>
  <c r="AO63" i="43"/>
  <c r="AO60" i="43"/>
  <c r="AO58" i="43"/>
  <c r="AO64" i="43"/>
  <c r="AO61" i="43"/>
  <c r="I138" i="43"/>
  <c r="L138" i="43"/>
  <c r="L141" i="43" s="1"/>
  <c r="O90" i="31"/>
  <c r="AA92" i="43" s="1"/>
  <c r="Y129" i="43"/>
  <c r="O130" i="31"/>
  <c r="AO91" i="43"/>
  <c r="S17" i="31"/>
  <c r="K96" i="31"/>
  <c r="AO50" i="43"/>
  <c r="O128" i="43"/>
  <c r="K128" i="43"/>
  <c r="P128" i="43"/>
  <c r="AO100" i="43"/>
  <c r="AO102" i="43"/>
  <c r="K23" i="31"/>
  <c r="O61" i="31"/>
  <c r="AA62" i="43" s="1"/>
  <c r="K63" i="31"/>
  <c r="S70" i="31"/>
  <c r="AO52" i="43"/>
  <c r="AO55" i="43"/>
  <c r="AO51" i="43"/>
  <c r="AO89" i="43"/>
  <c r="AO92" i="43"/>
  <c r="AO94" i="43"/>
  <c r="AO90" i="43"/>
  <c r="O25" i="31"/>
  <c r="AA24" i="43" s="1"/>
  <c r="O46" i="31"/>
  <c r="AA47" i="43" s="1"/>
  <c r="O66" i="31"/>
  <c r="AA67" i="43" s="1"/>
  <c r="S97" i="31"/>
  <c r="W90" i="43"/>
  <c r="W100" i="43"/>
  <c r="O133" i="43"/>
  <c r="AG48" i="43"/>
  <c r="M296" i="19"/>
  <c r="AC296" i="19"/>
  <c r="AO129" i="43"/>
  <c r="G32" i="31"/>
  <c r="G54" i="31"/>
  <c r="S58" i="31"/>
  <c r="O70" i="31"/>
  <c r="AA71" i="43" s="1"/>
  <c r="O134" i="31"/>
  <c r="AA133" i="43" s="1"/>
  <c r="O85" i="31"/>
  <c r="AA87" i="43" s="1"/>
  <c r="S126" i="31"/>
  <c r="O79" i="31"/>
  <c r="AA81" i="43" s="1"/>
  <c r="O89" i="31"/>
  <c r="AA91" i="43" s="1"/>
  <c r="O118" i="31"/>
  <c r="AA117" i="43" s="1"/>
  <c r="O124" i="31"/>
  <c r="AA123" i="43" s="1"/>
  <c r="S95" i="31"/>
  <c r="K103" i="31"/>
  <c r="O109" i="31"/>
  <c r="AA108" i="43" s="1"/>
  <c r="S114" i="31"/>
  <c r="O125" i="31"/>
  <c r="AA124" i="43" s="1"/>
  <c r="AO128" i="43"/>
  <c r="O19" i="31"/>
  <c r="AA19" i="43" s="1"/>
  <c r="O29" i="31"/>
  <c r="AA29" i="43" s="1"/>
  <c r="O50" i="31"/>
  <c r="AA51" i="43" s="1"/>
  <c r="K91" i="31"/>
  <c r="O103" i="31"/>
  <c r="AA136" i="43" s="1"/>
  <c r="G112" i="31"/>
  <c r="Q111" i="43" s="1"/>
  <c r="O120" i="31"/>
  <c r="AA119" i="43" s="1"/>
  <c r="S122" i="31"/>
  <c r="O126" i="31"/>
  <c r="AA125" i="43" s="1"/>
  <c r="G134" i="31"/>
  <c r="Q133" i="43" s="1"/>
  <c r="O23" i="31"/>
  <c r="AA22" i="43" s="1"/>
  <c r="S25" i="31"/>
  <c r="O31" i="31"/>
  <c r="AA31" i="43" s="1"/>
  <c r="S46" i="31"/>
  <c r="O53" i="31"/>
  <c r="AA54" i="43" s="1"/>
  <c r="O67" i="31"/>
  <c r="AA69" i="43" s="1"/>
  <c r="O83" i="31"/>
  <c r="AA85" i="43" s="1"/>
  <c r="S85" i="31"/>
  <c r="O91" i="31"/>
  <c r="AA93" i="43" s="1"/>
  <c r="O122" i="31"/>
  <c r="AA121" i="43" s="1"/>
  <c r="K129" i="31"/>
  <c r="AG27" i="43"/>
  <c r="AG17" i="43"/>
  <c r="O16" i="31"/>
  <c r="AA16" i="43" s="1"/>
  <c r="O33" i="31"/>
  <c r="AA33" i="43" s="1"/>
  <c r="O55" i="31"/>
  <c r="AA56" i="43" s="1"/>
  <c r="O76" i="31"/>
  <c r="AA78" i="43" s="1"/>
  <c r="O93" i="31"/>
  <c r="AA95" i="43" s="1"/>
  <c r="O113" i="31"/>
  <c r="AA112" i="43" s="1"/>
  <c r="O131" i="31"/>
  <c r="AA131" i="43" s="1"/>
  <c r="AG18" i="43"/>
  <c r="AG20" i="43"/>
  <c r="AG41" i="43"/>
  <c r="AG71" i="43"/>
  <c r="AK71" i="43" s="1"/>
  <c r="AG55" i="43"/>
  <c r="AK55" i="43" s="1"/>
  <c r="AG63" i="43"/>
  <c r="AG72" i="43"/>
  <c r="AK72" i="43" s="1"/>
  <c r="G33" i="21"/>
  <c r="J49" i="45"/>
  <c r="J63" i="45" s="1"/>
  <c r="D25" i="21"/>
  <c r="G32" i="21"/>
  <c r="G30" i="21"/>
  <c r="K54" i="45"/>
  <c r="G26" i="21"/>
  <c r="K52" i="45"/>
  <c r="O14" i="45"/>
  <c r="M49" i="45"/>
  <c r="M63" i="45" s="1"/>
  <c r="N52" i="45"/>
  <c r="L49" i="45"/>
  <c r="O50" i="45"/>
  <c r="N14" i="45"/>
  <c r="G25" i="21"/>
  <c r="D26" i="21"/>
  <c r="M9" i="45"/>
  <c r="K14" i="45"/>
  <c r="K51" i="45"/>
  <c r="P49" i="45"/>
  <c r="P63" i="45" s="1"/>
  <c r="AA52" i="45"/>
  <c r="F52" i="45"/>
  <c r="E64" i="45"/>
  <c r="E49" i="45"/>
  <c r="F53" i="45"/>
  <c r="O52" i="45"/>
  <c r="N54" i="45"/>
  <c r="F60" i="45"/>
  <c r="D49" i="45"/>
  <c r="D63" i="45" s="1"/>
  <c r="Q50" i="45"/>
  <c r="K50" i="45"/>
  <c r="AA50" i="45"/>
  <c r="N51" i="45"/>
  <c r="O54" i="45"/>
  <c r="H49" i="45"/>
  <c r="O51" i="45"/>
  <c r="AA53" i="45"/>
  <c r="F59" i="45"/>
  <c r="Q54" i="45"/>
  <c r="N50" i="45"/>
  <c r="S54" i="45"/>
  <c r="I12" i="43"/>
  <c r="S10" i="45"/>
  <c r="O10" i="45"/>
  <c r="Q10" i="45"/>
  <c r="N10" i="45"/>
  <c r="D23" i="21"/>
  <c r="J12" i="43"/>
  <c r="J9" i="45"/>
  <c r="K11" i="45"/>
  <c r="Q11" i="45"/>
  <c r="D24" i="21"/>
  <c r="N11" i="45"/>
  <c r="F12" i="45"/>
  <c r="AA12" i="45"/>
  <c r="K12" i="45"/>
  <c r="O12" i="45"/>
  <c r="U42" i="43"/>
  <c r="G23" i="21"/>
  <c r="L9" i="45"/>
  <c r="U73" i="43"/>
  <c r="F14" i="45"/>
  <c r="AA20" i="45"/>
  <c r="F20" i="45"/>
  <c r="AA10" i="45"/>
  <c r="N12" i="45"/>
  <c r="AA11" i="45"/>
  <c r="AH42" i="43" s="1"/>
  <c r="F10" i="45"/>
  <c r="F11" i="45"/>
  <c r="AA18" i="45"/>
  <c r="H22" i="45"/>
  <c r="AD22" i="45" s="1"/>
  <c r="AF22" i="45" s="1"/>
  <c r="AA13" i="45"/>
  <c r="R14" i="45"/>
  <c r="AA19" i="45"/>
  <c r="F21" i="45"/>
  <c r="AA22" i="45" l="1"/>
  <c r="AB22" i="45" s="1"/>
  <c r="P23" i="45"/>
  <c r="O49" i="45"/>
  <c r="N62" i="45"/>
  <c r="AD62" i="45"/>
  <c r="AF62" i="45" s="1"/>
  <c r="K60" i="45"/>
  <c r="AD60" i="45"/>
  <c r="E69" i="45"/>
  <c r="AK41" i="43"/>
  <c r="AM41" i="43" s="1"/>
  <c r="AK110" i="43"/>
  <c r="AK19" i="43"/>
  <c r="AM19" i="43" s="1"/>
  <c r="AK21" i="43"/>
  <c r="AI15" i="43"/>
  <c r="AK108" i="43"/>
  <c r="AM108" i="43" s="1"/>
  <c r="AK14" i="43"/>
  <c r="AM14" i="43" s="1"/>
  <c r="AP107" i="43"/>
  <c r="AQ107" i="43" s="1"/>
  <c r="AK20" i="43"/>
  <c r="AM20" i="43" s="1"/>
  <c r="AI30" i="43"/>
  <c r="AK18" i="43"/>
  <c r="AK27" i="43"/>
  <c r="AM27" i="43" s="1"/>
  <c r="AK86" i="43"/>
  <c r="AM86" i="43" s="1"/>
  <c r="AK97" i="43"/>
  <c r="AM97" i="43" s="1"/>
  <c r="AK100" i="43"/>
  <c r="AM100" i="43" s="1"/>
  <c r="AK78" i="43"/>
  <c r="AM78" i="43" s="1"/>
  <c r="AK98" i="43"/>
  <c r="AM98" i="43" s="1"/>
  <c r="AK15" i="43"/>
  <c r="AM15" i="43" s="1"/>
  <c r="AK102" i="43"/>
  <c r="AM102" i="43" s="1"/>
  <c r="AM76" i="43"/>
  <c r="AK89" i="43"/>
  <c r="AM89" i="43" s="1"/>
  <c r="AK95" i="43"/>
  <c r="AM95" i="43" s="1"/>
  <c r="AK85" i="43"/>
  <c r="AM85" i="43" s="1"/>
  <c r="AK79" i="43"/>
  <c r="AM79" i="43" s="1"/>
  <c r="AK82" i="43"/>
  <c r="AM82" i="43" s="1"/>
  <c r="AK45" i="43"/>
  <c r="AM45" i="43" s="1"/>
  <c r="AK81" i="43"/>
  <c r="AM81" i="43" s="1"/>
  <c r="AP88" i="43"/>
  <c r="AQ88" i="43" s="1"/>
  <c r="AK88" i="43"/>
  <c r="AM88" i="43" s="1"/>
  <c r="AK92" i="43"/>
  <c r="AM92" i="43" s="1"/>
  <c r="AK83" i="43"/>
  <c r="AM83" i="43" s="1"/>
  <c r="AK48" i="43"/>
  <c r="AM48" i="43" s="1"/>
  <c r="AK94" i="43"/>
  <c r="AM94" i="43" s="1"/>
  <c r="AK54" i="43"/>
  <c r="AM54" i="43" s="1"/>
  <c r="AK17" i="43"/>
  <c r="AM17" i="43" s="1"/>
  <c r="AK77" i="43"/>
  <c r="AM77" i="43" s="1"/>
  <c r="AK46" i="43"/>
  <c r="AM46" i="43" s="1"/>
  <c r="AK87" i="43"/>
  <c r="AM87" i="43" s="1"/>
  <c r="AM72" i="43"/>
  <c r="AM90" i="43"/>
  <c r="I141" i="43"/>
  <c r="AK63" i="43"/>
  <c r="AM63" i="43" s="1"/>
  <c r="AK30" i="43"/>
  <c r="AM30" i="43" s="1"/>
  <c r="AK80" i="43"/>
  <c r="AM80" i="43" s="1"/>
  <c r="AK93" i="43"/>
  <c r="AM93" i="43" s="1"/>
  <c r="Z9" i="45"/>
  <c r="Z23" i="45" s="1"/>
  <c r="Q2" i="45"/>
  <c r="AA9" i="45"/>
  <c r="AA23" i="45" s="1"/>
  <c r="W23" i="45"/>
  <c r="S12" i="45"/>
  <c r="K59" i="45"/>
  <c r="O59" i="45"/>
  <c r="N61" i="45"/>
  <c r="N58" i="45"/>
  <c r="S59" i="45"/>
  <c r="Q59" i="45"/>
  <c r="O61" i="45"/>
  <c r="K61" i="45"/>
  <c r="Q61" i="45"/>
  <c r="N59" i="45"/>
  <c r="O58" i="45"/>
  <c r="S60" i="45"/>
  <c r="S58" i="45"/>
  <c r="K58" i="45"/>
  <c r="Q58" i="45"/>
  <c r="S61" i="45"/>
  <c r="Q60" i="45"/>
  <c r="L63" i="45"/>
  <c r="N60" i="45"/>
  <c r="T58" i="45"/>
  <c r="O60" i="45"/>
  <c r="T52" i="45"/>
  <c r="U52" i="45" s="1"/>
  <c r="T11" i="45"/>
  <c r="Q13" i="43"/>
  <c r="T59" i="45"/>
  <c r="N10" i="49"/>
  <c r="Q10" i="49"/>
  <c r="O62" i="45"/>
  <c r="S62" i="45"/>
  <c r="Q62" i="45"/>
  <c r="D69" i="45"/>
  <c r="AB62" i="45"/>
  <c r="Y23" i="45"/>
  <c r="Q20" i="45"/>
  <c r="D32" i="21"/>
  <c r="Q18" i="45"/>
  <c r="S20" i="45"/>
  <c r="N20" i="45"/>
  <c r="O20" i="45"/>
  <c r="N21" i="45"/>
  <c r="O21" i="45"/>
  <c r="D33" i="21"/>
  <c r="O19" i="45"/>
  <c r="D30" i="21"/>
  <c r="K21" i="45"/>
  <c r="N19" i="45"/>
  <c r="K18" i="45"/>
  <c r="O18" i="45"/>
  <c r="N18" i="45"/>
  <c r="K20" i="45"/>
  <c r="S18" i="45"/>
  <c r="K19" i="45"/>
  <c r="D31" i="21"/>
  <c r="Q19" i="45"/>
  <c r="Q21" i="45"/>
  <c r="S21" i="45"/>
  <c r="S19" i="45"/>
  <c r="L12" i="26"/>
  <c r="N12" i="57"/>
  <c r="L12" i="57"/>
  <c r="H12" i="57"/>
  <c r="E12" i="57"/>
  <c r="I12" i="57"/>
  <c r="F12" i="57"/>
  <c r="AI14" i="43"/>
  <c r="AE53" i="45"/>
  <c r="AB53" i="45"/>
  <c r="H12" i="26"/>
  <c r="E12" i="1"/>
  <c r="AE54" i="45"/>
  <c r="D29" i="45"/>
  <c r="T51" i="45"/>
  <c r="U51" i="45" s="1"/>
  <c r="I105" i="43"/>
  <c r="D23" i="45"/>
  <c r="AE14" i="45"/>
  <c r="AF14" i="45"/>
  <c r="AI54" i="43"/>
  <c r="I12" i="26"/>
  <c r="F12" i="1"/>
  <c r="K74" i="31"/>
  <c r="S108" i="31"/>
  <c r="AP86" i="43"/>
  <c r="AQ86" i="43" s="1"/>
  <c r="S44" i="31"/>
  <c r="AP102" i="43"/>
  <c r="AQ102" i="43" s="1"/>
  <c r="AI48" i="43"/>
  <c r="AG12" i="43"/>
  <c r="AP30" i="43"/>
  <c r="AQ30" i="43" s="1"/>
  <c r="AP87" i="43"/>
  <c r="AQ87" i="43" s="1"/>
  <c r="AP15" i="43"/>
  <c r="AQ15" i="43" s="1"/>
  <c r="AI87" i="43"/>
  <c r="F105" i="43"/>
  <c r="AP14" i="43"/>
  <c r="AQ14" i="43" s="1"/>
  <c r="AP77" i="43"/>
  <c r="AQ77" i="43" s="1"/>
  <c r="AP20" i="43"/>
  <c r="AQ20" i="43" s="1"/>
  <c r="AP85" i="43"/>
  <c r="AQ85" i="43" s="1"/>
  <c r="AP81" i="43"/>
  <c r="AQ81" i="43" s="1"/>
  <c r="AP92" i="43"/>
  <c r="AQ92" i="43" s="1"/>
  <c r="AI45" i="43"/>
  <c r="AP48" i="43"/>
  <c r="AQ48" i="43" s="1"/>
  <c r="K14" i="31"/>
  <c r="AI77" i="43"/>
  <c r="AI97" i="43"/>
  <c r="K108" i="31"/>
  <c r="S74" i="31"/>
  <c r="AP80" i="43"/>
  <c r="AQ80" i="43" s="1"/>
  <c r="G44" i="31"/>
  <c r="AP78" i="43"/>
  <c r="AQ78" i="43" s="1"/>
  <c r="AB52" i="45"/>
  <c r="AI102" i="43"/>
  <c r="AP89" i="43"/>
  <c r="AQ89" i="43" s="1"/>
  <c r="K44" i="31"/>
  <c r="O74" i="31"/>
  <c r="AA76" i="43" s="1"/>
  <c r="Y76" i="43"/>
  <c r="G108" i="31"/>
  <c r="Q107" i="43" s="1"/>
  <c r="O14" i="31"/>
  <c r="AA14" i="43" s="1"/>
  <c r="O44" i="31"/>
  <c r="AA45" i="43" s="1"/>
  <c r="R49" i="45"/>
  <c r="R63" i="45" s="1"/>
  <c r="Y45" i="43"/>
  <c r="T18" i="45"/>
  <c r="AB13" i="45"/>
  <c r="AI27" i="43"/>
  <c r="S11" i="45"/>
  <c r="AE62" i="45"/>
  <c r="S50" i="45"/>
  <c r="S49" i="45" s="1"/>
  <c r="AF105" i="43"/>
  <c r="AG105" i="43" s="1"/>
  <c r="AP45" i="43"/>
  <c r="AQ45" i="43" s="1"/>
  <c r="O108" i="31"/>
  <c r="AA107" i="43" s="1"/>
  <c r="AP76" i="43"/>
  <c r="AQ76" i="43" s="1"/>
  <c r="AP82" i="43"/>
  <c r="AQ82" i="43" s="1"/>
  <c r="AP98" i="43"/>
  <c r="AQ98" i="43" s="1"/>
  <c r="Q109" i="43"/>
  <c r="AM21" i="43"/>
  <c r="AI21" i="43"/>
  <c r="AI17" i="43"/>
  <c r="AP83" i="43"/>
  <c r="AQ83" i="43" s="1"/>
  <c r="T19" i="45"/>
  <c r="Q119" i="43"/>
  <c r="AP95" i="43"/>
  <c r="AQ95" i="43" s="1"/>
  <c r="W73" i="43"/>
  <c r="AP93" i="43"/>
  <c r="AQ93" i="43" s="1"/>
  <c r="G74" i="31"/>
  <c r="AP91" i="43"/>
  <c r="AQ91" i="43" s="1"/>
  <c r="O106" i="43"/>
  <c r="AP79" i="43"/>
  <c r="AQ79" i="43" s="1"/>
  <c r="AI85" i="43"/>
  <c r="W106" i="43"/>
  <c r="W141" i="43" s="1"/>
  <c r="AF13" i="45"/>
  <c r="S14" i="31"/>
  <c r="AP54" i="43"/>
  <c r="AQ54" i="43" s="1"/>
  <c r="G14" i="31"/>
  <c r="Q14" i="43" s="1"/>
  <c r="AP17" i="43"/>
  <c r="AQ17" i="43" s="1"/>
  <c r="AP94" i="43"/>
  <c r="AQ94" i="43" s="1"/>
  <c r="AI88" i="43"/>
  <c r="AP100" i="43"/>
  <c r="AQ100" i="43" s="1"/>
  <c r="R141" i="43"/>
  <c r="O198" i="19"/>
  <c r="AI76" i="43"/>
  <c r="AG73" i="43"/>
  <c r="AO110" i="43"/>
  <c r="AA137" i="43"/>
  <c r="AA13" i="43"/>
  <c r="Z12" i="43"/>
  <c r="AA49" i="45"/>
  <c r="AA63" i="45" s="1"/>
  <c r="T12" i="45"/>
  <c r="Y141" i="43"/>
  <c r="AO117" i="43"/>
  <c r="Z73" i="43"/>
  <c r="AO112" i="43"/>
  <c r="AO123" i="43"/>
  <c r="AA44" i="43"/>
  <c r="T61" i="45"/>
  <c r="T21" i="45"/>
  <c r="Q129" i="43"/>
  <c r="AG16" i="43"/>
  <c r="AI20" i="43"/>
  <c r="AO121" i="43"/>
  <c r="AO122" i="43"/>
  <c r="AO113" i="43"/>
  <c r="AO125" i="43"/>
  <c r="AA128" i="43"/>
  <c r="Q128" i="43"/>
  <c r="T60" i="45"/>
  <c r="T20" i="45"/>
  <c r="T50" i="45"/>
  <c r="T10" i="45"/>
  <c r="AK134" i="43"/>
  <c r="AI72" i="43"/>
  <c r="AP63" i="43"/>
  <c r="AQ63" i="43" s="1"/>
  <c r="AI63" i="43"/>
  <c r="AG33" i="43"/>
  <c r="AP19" i="43"/>
  <c r="AQ19" i="43" s="1"/>
  <c r="AI19" i="43"/>
  <c r="AG56" i="43"/>
  <c r="AP55" i="43"/>
  <c r="AQ55" i="43" s="1"/>
  <c r="AM55" i="43"/>
  <c r="AI55" i="43"/>
  <c r="AG32" i="43"/>
  <c r="AG51" i="43"/>
  <c r="AG40" i="43"/>
  <c r="AG62" i="43"/>
  <c r="AK62" i="43" s="1"/>
  <c r="AP71" i="43"/>
  <c r="AQ71" i="43" s="1"/>
  <c r="AM71" i="43"/>
  <c r="AI71" i="43"/>
  <c r="AP41" i="43"/>
  <c r="AQ41" i="43" s="1"/>
  <c r="AI41" i="43"/>
  <c r="AG66" i="43"/>
  <c r="AK66" i="43" s="1"/>
  <c r="AG64" i="43"/>
  <c r="AK64" i="43" s="1"/>
  <c r="AG60" i="43"/>
  <c r="AK60" i="43" s="1"/>
  <c r="AG22" i="43"/>
  <c r="AM18" i="43"/>
  <c r="AI18" i="43"/>
  <c r="AG23" i="43"/>
  <c r="AO133" i="43"/>
  <c r="AO40" i="43"/>
  <c r="AO118" i="43"/>
  <c r="AO24" i="43"/>
  <c r="AO21" i="43"/>
  <c r="AP21" i="43" s="1"/>
  <c r="AQ21" i="43" s="1"/>
  <c r="AO114" i="43"/>
  <c r="AO116" i="43"/>
  <c r="AO22" i="43"/>
  <c r="AO111" i="43"/>
  <c r="AO18" i="43"/>
  <c r="AP18" i="43" s="1"/>
  <c r="AQ18" i="43" s="1"/>
  <c r="AO109" i="43"/>
  <c r="AO106" i="43"/>
  <c r="AO141" i="43" s="1"/>
  <c r="AO124" i="43"/>
  <c r="AO31" i="43"/>
  <c r="AA129" i="43"/>
  <c r="P138" i="43"/>
  <c r="P141" i="43" s="1"/>
  <c r="O138" i="43"/>
  <c r="K138" i="43"/>
  <c r="AO134" i="43"/>
  <c r="AO72" i="43"/>
  <c r="AP72" i="43" s="1"/>
  <c r="AQ72" i="43" s="1"/>
  <c r="AI91" i="43"/>
  <c r="AM91" i="43"/>
  <c r="AO131" i="43"/>
  <c r="AO39" i="43"/>
  <c r="AO120" i="43"/>
  <c r="AO27" i="43"/>
  <c r="AP27" i="43" s="1"/>
  <c r="AQ27" i="43" s="1"/>
  <c r="AI103" i="43"/>
  <c r="AP103" i="43"/>
  <c r="AQ103" i="43" s="1"/>
  <c r="AM103" i="43"/>
  <c r="AI90" i="43"/>
  <c r="AP90" i="43"/>
  <c r="AQ90" i="43" s="1"/>
  <c r="AI46" i="43"/>
  <c r="AP46" i="43"/>
  <c r="AQ46" i="43" s="1"/>
  <c r="AO33" i="43"/>
  <c r="AO126" i="43"/>
  <c r="T105" i="43"/>
  <c r="N12" i="26"/>
  <c r="O12" i="1"/>
  <c r="Q12" i="1"/>
  <c r="M23" i="45"/>
  <c r="H23" i="45"/>
  <c r="V73" i="43"/>
  <c r="F12" i="26"/>
  <c r="E12" i="26"/>
  <c r="L12" i="1"/>
  <c r="K12" i="1"/>
  <c r="B5" i="20"/>
  <c r="AF54" i="45"/>
  <c r="N49" i="45"/>
  <c r="Q49" i="45"/>
  <c r="F49" i="45"/>
  <c r="O5" i="20"/>
  <c r="R5" i="20" s="1"/>
  <c r="H63" i="45"/>
  <c r="K49" i="45"/>
  <c r="L5" i="20"/>
  <c r="F62" i="45"/>
  <c r="E63" i="45"/>
  <c r="AG49" i="43"/>
  <c r="AK49" i="43" s="1"/>
  <c r="O12" i="43"/>
  <c r="Q9" i="45"/>
  <c r="S105" i="43"/>
  <c r="R73" i="43"/>
  <c r="R42" i="43"/>
  <c r="U12" i="43"/>
  <c r="J23" i="45"/>
  <c r="AG58" i="43"/>
  <c r="AK58" i="43" s="1"/>
  <c r="AG35" i="43"/>
  <c r="E105" i="43"/>
  <c r="AH12" i="43"/>
  <c r="L23" i="45"/>
  <c r="AG31" i="43"/>
  <c r="N105" i="43"/>
  <c r="V12" i="43"/>
  <c r="V42" i="43"/>
  <c r="M12" i="43"/>
  <c r="O9" i="45"/>
  <c r="AG39" i="43"/>
  <c r="K9" i="45"/>
  <c r="AG59" i="43"/>
  <c r="AK59" i="43" s="1"/>
  <c r="E5" i="20"/>
  <c r="H5" i="20" s="1"/>
  <c r="Y42" i="43"/>
  <c r="AG61" i="43"/>
  <c r="AK61" i="43" s="1"/>
  <c r="AG28" i="43"/>
  <c r="AH75" i="43"/>
  <c r="AH141" i="43" s="1"/>
  <c r="AK75" i="43"/>
  <c r="G42" i="43"/>
  <c r="F22" i="45"/>
  <c r="K12" i="43"/>
  <c r="W42" i="43"/>
  <c r="AG69" i="43"/>
  <c r="AG24" i="43"/>
  <c r="AG52" i="43"/>
  <c r="AK52" i="43" s="1"/>
  <c r="R22" i="45"/>
  <c r="R9" i="45"/>
  <c r="AB10" i="45"/>
  <c r="AG42" i="43"/>
  <c r="AB11" i="45"/>
  <c r="P12" i="43"/>
  <c r="AG50" i="43"/>
  <c r="AK50" i="43" s="1"/>
  <c r="AG29" i="43"/>
  <c r="W12" i="43"/>
  <c r="R12" i="43"/>
  <c r="AH73" i="43"/>
  <c r="AB12" i="45"/>
  <c r="Q22" i="45"/>
  <c r="O22" i="45"/>
  <c r="N22" i="45"/>
  <c r="D34" i="21"/>
  <c r="G12" i="43"/>
  <c r="G73" i="43"/>
  <c r="L12" i="43"/>
  <c r="N9" i="45"/>
  <c r="AB9" i="45" l="1"/>
  <c r="Q23" i="45"/>
  <c r="AK113" i="43"/>
  <c r="AM113" i="43" s="1"/>
  <c r="AP108" i="43"/>
  <c r="AQ108" i="43" s="1"/>
  <c r="AK114" i="43"/>
  <c r="AM114" i="43" s="1"/>
  <c r="AK124" i="43"/>
  <c r="AI108" i="43"/>
  <c r="AK35" i="43"/>
  <c r="AM35" i="43" s="1"/>
  <c r="AK131" i="43"/>
  <c r="AK23" i="43"/>
  <c r="AM23" i="43" s="1"/>
  <c r="AK117" i="43"/>
  <c r="AM117" i="43" s="1"/>
  <c r="AK29" i="43"/>
  <c r="AM29" i="43" s="1"/>
  <c r="AK39" i="43"/>
  <c r="AM39" i="43" s="1"/>
  <c r="AK32" i="43"/>
  <c r="AM32" i="43" s="1"/>
  <c r="AK111" i="43"/>
  <c r="AK31" i="43"/>
  <c r="AM31" i="43" s="1"/>
  <c r="AK125" i="43"/>
  <c r="AM125" i="43" s="1"/>
  <c r="AK69" i="43"/>
  <c r="AM69" i="43" s="1"/>
  <c r="AI107" i="43"/>
  <c r="AK107" i="43"/>
  <c r="AM107" i="43" s="1"/>
  <c r="AK24" i="43"/>
  <c r="AM24" i="43" s="1"/>
  <c r="AK28" i="43"/>
  <c r="AK122" i="43"/>
  <c r="AK22" i="43"/>
  <c r="AM22" i="43" s="1"/>
  <c r="AK16" i="43"/>
  <c r="AM16" i="43" s="1"/>
  <c r="AK112" i="43"/>
  <c r="AM112" i="43" s="1"/>
  <c r="AK40" i="43"/>
  <c r="AM40" i="43" s="1"/>
  <c r="AK56" i="43"/>
  <c r="AM56" i="43" s="1"/>
  <c r="AK33" i="43"/>
  <c r="AM33" i="43" s="1"/>
  <c r="AK51" i="43"/>
  <c r="AM51" i="43" s="1"/>
  <c r="AK73" i="43"/>
  <c r="Y73" i="43"/>
  <c r="U59" i="45"/>
  <c r="U10" i="45"/>
  <c r="Q12" i="43" s="1"/>
  <c r="U60" i="45"/>
  <c r="U61" i="45"/>
  <c r="U11" i="45"/>
  <c r="U58" i="45"/>
  <c r="N63" i="45"/>
  <c r="U18" i="45"/>
  <c r="Q63" i="45"/>
  <c r="U20" i="45"/>
  <c r="U21" i="45"/>
  <c r="AF53" i="45"/>
  <c r="U19" i="45"/>
  <c r="AF52" i="45"/>
  <c r="O63" i="45"/>
  <c r="T49" i="45"/>
  <c r="T63" i="45" s="1"/>
  <c r="AD9" i="45"/>
  <c r="AK12" i="43"/>
  <c r="AF10" i="45"/>
  <c r="AE10" i="45"/>
  <c r="AF12" i="45"/>
  <c r="AE12" i="45"/>
  <c r="Y12" i="43"/>
  <c r="AE52" i="45"/>
  <c r="AE11" i="45"/>
  <c r="S9" i="45"/>
  <c r="AE13" i="45"/>
  <c r="AK42" i="43"/>
  <c r="O141" i="43"/>
  <c r="U12" i="45"/>
  <c r="Q141" i="43"/>
  <c r="AF11" i="45"/>
  <c r="AA141" i="43"/>
  <c r="Z42" i="43"/>
  <c r="Z105" i="43"/>
  <c r="T9" i="45"/>
  <c r="U50" i="45"/>
  <c r="U49" i="45" s="1"/>
  <c r="O8" i="20"/>
  <c r="AP23" i="43"/>
  <c r="AQ23" i="43" s="1"/>
  <c r="AI23" i="43"/>
  <c r="AI117" i="43"/>
  <c r="AI62" i="43"/>
  <c r="AP62" i="43"/>
  <c r="AQ62" i="43" s="1"/>
  <c r="AM62" i="43"/>
  <c r="AP32" i="43"/>
  <c r="AQ32" i="43" s="1"/>
  <c r="AI32" i="43"/>
  <c r="AI60" i="43"/>
  <c r="AM60" i="43"/>
  <c r="AP60" i="43"/>
  <c r="AQ60" i="43" s="1"/>
  <c r="AP125" i="43"/>
  <c r="AQ125" i="43" s="1"/>
  <c r="AI56" i="43"/>
  <c r="AP56" i="43"/>
  <c r="AQ56" i="43" s="1"/>
  <c r="AP22" i="43"/>
  <c r="AQ22" i="43" s="1"/>
  <c r="AI22" i="43"/>
  <c r="AI66" i="43"/>
  <c r="AM66" i="43"/>
  <c r="AP66" i="43"/>
  <c r="AQ66" i="43" s="1"/>
  <c r="AM64" i="43"/>
  <c r="AI64" i="43"/>
  <c r="AP64" i="43"/>
  <c r="AQ64" i="43" s="1"/>
  <c r="AI40" i="43"/>
  <c r="AP40" i="43"/>
  <c r="AQ40" i="43" s="1"/>
  <c r="AI51" i="43"/>
  <c r="AP51" i="43"/>
  <c r="AQ51" i="43" s="1"/>
  <c r="AP33" i="43"/>
  <c r="AQ33" i="43" s="1"/>
  <c r="AI33" i="43"/>
  <c r="L7" i="20"/>
  <c r="L8" i="20"/>
  <c r="S63" i="45"/>
  <c r="O7" i="20"/>
  <c r="AI42" i="43"/>
  <c r="AI12" i="43"/>
  <c r="AI113" i="43"/>
  <c r="AP113" i="43"/>
  <c r="AQ113" i="43" s="1"/>
  <c r="AM59" i="43"/>
  <c r="AI59" i="43"/>
  <c r="AP59" i="43"/>
  <c r="AQ59" i="43" s="1"/>
  <c r="AM134" i="43"/>
  <c r="AI134" i="43"/>
  <c r="AP134" i="43"/>
  <c r="AQ134" i="43" s="1"/>
  <c r="X105" i="43"/>
  <c r="AI35" i="43"/>
  <c r="AP35" i="43"/>
  <c r="AQ35" i="43" s="1"/>
  <c r="AP49" i="43"/>
  <c r="AQ49" i="43" s="1"/>
  <c r="AM49" i="43"/>
  <c r="AI49" i="43"/>
  <c r="AK123" i="43"/>
  <c r="R23" i="45"/>
  <c r="AG26" i="43"/>
  <c r="AI69" i="43"/>
  <c r="AP69" i="43"/>
  <c r="AQ69" i="43" s="1"/>
  <c r="AM110" i="43"/>
  <c r="AP110" i="43"/>
  <c r="AQ110" i="43" s="1"/>
  <c r="AI110" i="43"/>
  <c r="AP28" i="43"/>
  <c r="AQ28" i="43" s="1"/>
  <c r="AM28" i="43"/>
  <c r="AI28" i="43"/>
  <c r="V105" i="43"/>
  <c r="O105" i="43"/>
  <c r="G105" i="43"/>
  <c r="AK128" i="43"/>
  <c r="AK121" i="43"/>
  <c r="AP39" i="43"/>
  <c r="AQ39" i="43" s="1"/>
  <c r="AI39" i="43"/>
  <c r="AI114" i="43"/>
  <c r="AP114" i="43"/>
  <c r="AQ114" i="43" s="1"/>
  <c r="AP52" i="43"/>
  <c r="AQ52" i="43" s="1"/>
  <c r="AM52" i="43"/>
  <c r="AI52" i="43"/>
  <c r="AG67" i="43"/>
  <c r="AK67" i="43" s="1"/>
  <c r="AG47" i="43"/>
  <c r="AK47" i="43" s="1"/>
  <c r="L105" i="43"/>
  <c r="N23" i="45"/>
  <c r="AI29" i="43"/>
  <c r="AP29" i="43"/>
  <c r="AQ29" i="43" s="1"/>
  <c r="AM75" i="43"/>
  <c r="AI75" i="43"/>
  <c r="AP75" i="43"/>
  <c r="AQ75" i="43" s="1"/>
  <c r="AP61" i="43"/>
  <c r="AQ61" i="43" s="1"/>
  <c r="AM61" i="43"/>
  <c r="AI61" i="43"/>
  <c r="AG36" i="43"/>
  <c r="AI31" i="43"/>
  <c r="AP31" i="43"/>
  <c r="AQ31" i="43" s="1"/>
  <c r="AP16" i="43"/>
  <c r="AQ16" i="43" s="1"/>
  <c r="AI16" i="43"/>
  <c r="AI73" i="43"/>
  <c r="AP24" i="43"/>
  <c r="AQ24" i="43" s="1"/>
  <c r="AI24" i="43"/>
  <c r="K105" i="43"/>
  <c r="B7" i="20"/>
  <c r="AP58" i="43"/>
  <c r="AQ58" i="43" s="1"/>
  <c r="AM58" i="43"/>
  <c r="AI58" i="43"/>
  <c r="U105" i="43"/>
  <c r="W105" i="43"/>
  <c r="AI112" i="43"/>
  <c r="R105" i="43"/>
  <c r="E7" i="20"/>
  <c r="AA42" i="43"/>
  <c r="AH105" i="43"/>
  <c r="AG57" i="43"/>
  <c r="AK57" i="43" s="1"/>
  <c r="AM50" i="43"/>
  <c r="AI50" i="43"/>
  <c r="AP50" i="43"/>
  <c r="AQ50" i="43" s="1"/>
  <c r="B14" i="20"/>
  <c r="AK118" i="43"/>
  <c r="M105" i="43"/>
  <c r="O23" i="45"/>
  <c r="AP117" i="43" l="1"/>
  <c r="AQ117" i="43" s="1"/>
  <c r="AP112" i="43"/>
  <c r="AQ112" i="43" s="1"/>
  <c r="AP138" i="43"/>
  <c r="AQ138" i="43" s="1"/>
  <c r="AK138" i="43"/>
  <c r="AM138" i="43" s="1"/>
  <c r="AI138" i="43"/>
  <c r="AI136" i="43"/>
  <c r="AP136" i="43"/>
  <c r="AQ136" i="43" s="1"/>
  <c r="AK136" i="43"/>
  <c r="AM136" i="43" s="1"/>
  <c r="AI137" i="43"/>
  <c r="AK137" i="43"/>
  <c r="AM137" i="43" s="1"/>
  <c r="AP137" i="43"/>
  <c r="AQ137" i="43" s="1"/>
  <c r="AK36" i="43"/>
  <c r="AM36" i="43" s="1"/>
  <c r="AK26" i="43"/>
  <c r="AM26" i="43" s="1"/>
  <c r="AK120" i="43"/>
  <c r="AM120" i="43" s="1"/>
  <c r="AI125" i="43"/>
  <c r="AK109" i="43"/>
  <c r="AM109" i="43" s="1"/>
  <c r="AK116" i="43"/>
  <c r="AM116" i="43" s="1"/>
  <c r="AP126" i="43"/>
  <c r="AQ126" i="43" s="1"/>
  <c r="AK126" i="43"/>
  <c r="AM126" i="43" s="1"/>
  <c r="AL42" i="43"/>
  <c r="AM73" i="43"/>
  <c r="U63" i="45"/>
  <c r="S23" i="45"/>
  <c r="AA12" i="43"/>
  <c r="AL12" i="43"/>
  <c r="AM12" i="43"/>
  <c r="B8" i="20"/>
  <c r="AL73" i="43"/>
  <c r="AF9" i="45"/>
  <c r="E8" i="20"/>
  <c r="Y105" i="43"/>
  <c r="AA73" i="43"/>
  <c r="P105" i="43"/>
  <c r="AK105" i="43"/>
  <c r="AE9" i="45"/>
  <c r="U9" i="45"/>
  <c r="E14" i="20"/>
  <c r="AM42" i="43"/>
  <c r="AE22" i="45"/>
  <c r="AI126" i="43"/>
  <c r="T23" i="45"/>
  <c r="AI116" i="43"/>
  <c r="AP116" i="43"/>
  <c r="AQ116" i="43" s="1"/>
  <c r="AM47" i="43"/>
  <c r="AP47" i="43"/>
  <c r="AQ47" i="43" s="1"/>
  <c r="AI47" i="43"/>
  <c r="AP121" i="43"/>
  <c r="AQ121" i="43" s="1"/>
  <c r="AM121" i="43"/>
  <c r="AI121" i="43"/>
  <c r="AG13" i="43"/>
  <c r="AI111" i="43"/>
  <c r="AP111" i="43"/>
  <c r="AQ111" i="43" s="1"/>
  <c r="AM111" i="43"/>
  <c r="AM122" i="43"/>
  <c r="AI122" i="43"/>
  <c r="AP122" i="43"/>
  <c r="AQ122" i="43" s="1"/>
  <c r="AG44" i="43"/>
  <c r="AK44" i="43" s="1"/>
  <c r="AP67" i="43"/>
  <c r="AQ67" i="43" s="1"/>
  <c r="AM67" i="43"/>
  <c r="AI67" i="43"/>
  <c r="AK119" i="43"/>
  <c r="AD20" i="45"/>
  <c r="AI109" i="43"/>
  <c r="AP124" i="43"/>
  <c r="AQ124" i="43" s="1"/>
  <c r="AM124" i="43"/>
  <c r="AI124" i="43"/>
  <c r="AP131" i="43"/>
  <c r="AQ131" i="43" s="1"/>
  <c r="AM131" i="43"/>
  <c r="AI131" i="43"/>
  <c r="AK129" i="43"/>
  <c r="AB60" i="45"/>
  <c r="AM128" i="43"/>
  <c r="AP128" i="43"/>
  <c r="AQ128" i="43" s="1"/>
  <c r="AI128" i="43"/>
  <c r="AP118" i="43"/>
  <c r="AQ118" i="43" s="1"/>
  <c r="AI118" i="43"/>
  <c r="AM118" i="43"/>
  <c r="AI57" i="43"/>
  <c r="AP57" i="43"/>
  <c r="AQ57" i="43" s="1"/>
  <c r="AM57" i="43"/>
  <c r="AI36" i="43"/>
  <c r="AP36" i="43"/>
  <c r="AQ36" i="43" s="1"/>
  <c r="AP123" i="43"/>
  <c r="AQ123" i="43" s="1"/>
  <c r="AM123" i="43"/>
  <c r="AI123" i="43"/>
  <c r="AP26" i="43"/>
  <c r="AQ26" i="43" s="1"/>
  <c r="AI26" i="43"/>
  <c r="AI105" i="43"/>
  <c r="AG141" i="43" l="1"/>
  <c r="AP120" i="43"/>
  <c r="AQ120" i="43" s="1"/>
  <c r="AK13" i="43"/>
  <c r="AK133" i="43"/>
  <c r="AM133" i="43" s="1"/>
  <c r="AI133" i="43"/>
  <c r="AP133" i="43"/>
  <c r="AQ133" i="43" s="1"/>
  <c r="AP109" i="43"/>
  <c r="AQ109" i="43" s="1"/>
  <c r="AI120" i="43"/>
  <c r="AL105" i="43"/>
  <c r="B17" i="20"/>
  <c r="AM105" i="43"/>
  <c r="E17" i="20"/>
  <c r="AA105" i="43"/>
  <c r="U23" i="45"/>
  <c r="E16" i="20"/>
  <c r="Q105" i="43"/>
  <c r="AD21" i="45"/>
  <c r="AI129" i="43"/>
  <c r="AM129" i="43"/>
  <c r="AP129" i="43"/>
  <c r="AQ129" i="43" s="1"/>
  <c r="AB18" i="45"/>
  <c r="AP13" i="43"/>
  <c r="AQ13" i="43" s="1"/>
  <c r="AM13" i="43"/>
  <c r="AI13" i="43"/>
  <c r="AD19" i="45"/>
  <c r="AP44" i="43"/>
  <c r="AQ44" i="43" s="1"/>
  <c r="AM44" i="43"/>
  <c r="AI44" i="43"/>
  <c r="AM119" i="43"/>
  <c r="AP119" i="43"/>
  <c r="AQ119" i="43" s="1"/>
  <c r="AI119" i="43"/>
  <c r="AB61" i="45"/>
  <c r="AF60" i="45"/>
  <c r="AE60" i="45"/>
  <c r="AB20" i="45"/>
  <c r="AB51" i="45" l="1"/>
  <c r="AB59" i="45"/>
  <c r="AF18" i="45"/>
  <c r="AB19" i="45"/>
  <c r="AF20" i="45"/>
  <c r="AE20" i="45"/>
  <c r="AE18" i="45"/>
  <c r="AB21" i="45"/>
  <c r="AF61" i="45"/>
  <c r="AE61" i="45"/>
  <c r="AK106" i="43"/>
  <c r="AF23" i="45" l="1"/>
  <c r="AB23" i="45"/>
  <c r="AF51" i="45"/>
  <c r="AE51" i="45"/>
  <c r="AF59" i="45"/>
  <c r="AE59" i="45"/>
  <c r="AB58" i="45"/>
  <c r="AB50" i="45"/>
  <c r="AP106" i="43"/>
  <c r="AI106" i="43"/>
  <c r="AI141" i="43" s="1"/>
  <c r="AF21" i="45"/>
  <c r="AE21" i="45"/>
  <c r="AD23" i="45"/>
  <c r="AE19" i="45"/>
  <c r="AF19" i="45"/>
  <c r="L14" i="20" l="1"/>
  <c r="Z63" i="45"/>
  <c r="AF50" i="45"/>
  <c r="AE50" i="45"/>
  <c r="AD49" i="45"/>
  <c r="AF58" i="45"/>
  <c r="AE58" i="45"/>
  <c r="AB49" i="45"/>
  <c r="AQ106" i="43"/>
  <c r="AQ141" i="43" s="1"/>
  <c r="AP141" i="43"/>
  <c r="AK141" i="43"/>
  <c r="AM106" i="43"/>
  <c r="AM141" i="43" s="1"/>
  <c r="AB63" i="45" l="1"/>
  <c r="L17" i="20"/>
  <c r="AF49" i="45"/>
  <c r="AD63" i="45"/>
  <c r="AE49" i="45"/>
  <c r="O14" i="20"/>
  <c r="O16" i="20" l="1"/>
  <c r="AF63" i="45"/>
  <c r="O17" i="20"/>
  <c r="E4" i="3" l="1"/>
  <c r="J12" i="1" s="1"/>
  <c r="G12" i="57" l="1"/>
  <c r="J12" i="57"/>
  <c r="G12" i="26"/>
  <c r="M12" i="1"/>
  <c r="J12" i="26"/>
  <c r="G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Sabotova</author>
  </authors>
  <commentList>
    <comment ref="C4" authorId="0" shapeId="0" xr:uid="{6749E8A8-D5F5-4E96-9D19-2B2D8F2DAC5E}">
      <text>
        <r>
          <rPr>
            <b/>
            <sz val="9"/>
            <color indexed="81"/>
            <rFont val="Tahoma"/>
            <family val="2"/>
          </rPr>
          <t>Magdalena Sabotova:</t>
        </r>
        <r>
          <rPr>
            <sz val="9"/>
            <color indexed="81"/>
            <rFont val="Tahoma"/>
            <family val="2"/>
          </rPr>
          <t xml:space="preserve">
Only for FebQTD manually rewrite to FebYTD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 Ivanco</author>
    <author>Magdalena Sabotova</author>
  </authors>
  <commentList>
    <comment ref="E9" authorId="0" shapeId="0" xr:uid="{1DBD0847-294E-4D37-BE19-B42BC4D15BA9}">
      <text>
        <r>
          <rPr>
            <sz val="9"/>
            <color indexed="81"/>
            <rFont val="Tahoma"/>
            <family val="2"/>
          </rPr>
          <t xml:space="preserve">'= </t>
        </r>
        <r>
          <rPr>
            <b/>
            <sz val="9"/>
            <color indexed="81"/>
            <rFont val="Tahoma"/>
            <family val="2"/>
          </rPr>
          <t xml:space="preserve">SH Systems Hardware </t>
        </r>
        <r>
          <rPr>
            <sz val="9"/>
            <color indexed="81"/>
            <rFont val="Tahoma"/>
            <family val="2"/>
          </rPr>
          <t>in WWconsole</t>
        </r>
      </text>
    </comment>
    <comment ref="P12" authorId="1" shapeId="0" xr:uid="{5C48B70A-C623-4D34-A8DB-E99D12935B9C}">
      <text>
        <r>
          <rPr>
            <b/>
            <sz val="9"/>
            <color indexed="81"/>
            <rFont val="Tahoma"/>
            <family val="2"/>
          </rPr>
          <t>Magdalena Sabotova:</t>
        </r>
        <r>
          <rPr>
            <sz val="9"/>
            <color indexed="81"/>
            <rFont val="Tahoma"/>
            <family val="2"/>
          </rPr>
          <t xml:space="preserve">
Storage OEM in nonHW</t>
        </r>
      </text>
    </comment>
    <comment ref="C15" authorId="0" shapeId="0" xr:uid="{B98042FB-74D1-44B3-90E2-8AC0758332D1}">
      <text>
        <r>
          <rPr>
            <sz val="9"/>
            <color indexed="81"/>
            <rFont val="Tahoma"/>
            <family val="2"/>
          </rPr>
          <t>included in GEOs TOP (not part of WW top)</t>
        </r>
      </text>
    </comment>
    <comment ref="C22" authorId="0" shapeId="0" xr:uid="{6DF1C23E-7668-4FD1-B878-19E7D7E6BD60}">
      <text>
        <r>
          <rPr>
            <sz val="9"/>
            <color indexed="81"/>
            <rFont val="Tahoma"/>
            <family val="2"/>
          </rPr>
          <t xml:space="preserve">Top consists of:1) Technology
2) Gars 3) CoreHW top 4) Storage OEM </t>
        </r>
      </text>
    </comment>
    <comment ref="C27" authorId="0" shapeId="0" xr:uid="{1E472D39-F7B3-4D73-A052-003D2A49C6DC}">
      <text>
        <r>
          <rPr>
            <sz val="9"/>
            <color indexed="81"/>
            <rFont val="Tahoma"/>
            <family val="2"/>
          </rPr>
          <t>2B Storage Products Division - Transfer Price (part of Storage HW but not part of SH-GM)
GM = 29+2B</t>
        </r>
      </text>
    </comment>
  </commentList>
</comments>
</file>

<file path=xl/sharedStrings.xml><?xml version="1.0" encoding="utf-8"?>
<sst xmlns="http://schemas.openxmlformats.org/spreadsheetml/2006/main" count="7016" uniqueCount="1180">
  <si>
    <t>TotLoad</t>
  </si>
  <si>
    <t>[Base]</t>
  </si>
  <si>
    <t>Unit of Measure</t>
  </si>
  <si>
    <t>QTD</t>
  </si>
  <si>
    <t>Industry</t>
  </si>
  <si>
    <t>DtD</t>
  </si>
  <si>
    <t>m_measures</t>
  </si>
  <si>
    <t>data</t>
  </si>
  <si>
    <t>Channel Total</t>
  </si>
  <si>
    <t>BP</t>
  </si>
  <si>
    <t>Daily Firm</t>
  </si>
  <si>
    <t>26</t>
  </si>
  <si>
    <t>WW-Worldwide</t>
  </si>
  <si>
    <t>WW</t>
  </si>
  <si>
    <t>TW-WW Top Geo</t>
  </si>
  <si>
    <t>AMER</t>
  </si>
  <si>
    <t>AM</t>
  </si>
  <si>
    <t>4A</t>
  </si>
  <si>
    <t>4O</t>
  </si>
  <si>
    <t>4J</t>
  </si>
  <si>
    <t>4L-US Financial Service</t>
  </si>
  <si>
    <t>4P-US Public</t>
  </si>
  <si>
    <t>US Public + Federal-US Public + Federal</t>
  </si>
  <si>
    <t>4V-US Top Mkt</t>
  </si>
  <si>
    <t>4N-Canada</t>
  </si>
  <si>
    <t>LA-Latin America</t>
  </si>
  <si>
    <t>EMEA</t>
  </si>
  <si>
    <t>3F-France</t>
  </si>
  <si>
    <t>3D-DACH IMT</t>
  </si>
  <si>
    <t>3I-Italy</t>
  </si>
  <si>
    <t>3K-United Kingdom and Ireland</t>
  </si>
  <si>
    <t>3M-SPIGI</t>
  </si>
  <si>
    <t>EA-Middle East and Africa</t>
  </si>
  <si>
    <t>JN-Japan</t>
  </si>
  <si>
    <t>APAC</t>
  </si>
  <si>
    <t>2S-India-South Asia</t>
  </si>
  <si>
    <t>CG-Greater China Group</t>
  </si>
  <si>
    <t>PP</t>
  </si>
  <si>
    <t>SY</t>
  </si>
  <si>
    <t>GARS</t>
  </si>
  <si>
    <t>EG</t>
  </si>
  <si>
    <t>&lt;--------------------    Month 1 QTD    ------------------------&gt;</t>
  </si>
  <si>
    <t>&lt;--------------------    Month 2 QTD    ------------------------&gt;</t>
  </si>
  <si>
    <t>&lt;--------------------    Month 3 FULL QTR    ------------------------&gt;</t>
  </si>
  <si>
    <t xml:space="preserve"> &lt;--  2 yr avg --&gt;</t>
  </si>
  <si>
    <t>&lt;--------------  4Q Average  --------------&gt;</t>
  </si>
  <si>
    <t>PY</t>
  </si>
  <si>
    <t>Prior Qtr</t>
  </si>
  <si>
    <t>2 qtrs ago</t>
  </si>
  <si>
    <t>3 qtrs ago</t>
  </si>
  <si>
    <t>4 qtrs ago</t>
  </si>
  <si>
    <t>Days to Go</t>
  </si>
  <si>
    <t>Budget</t>
  </si>
  <si>
    <t>YtY</t>
  </si>
  <si>
    <t>Traditional z</t>
  </si>
  <si>
    <t>Power HW</t>
  </si>
  <si>
    <t>Storage HW</t>
  </si>
  <si>
    <t>Technology</t>
  </si>
  <si>
    <t>Americas</t>
  </si>
  <si>
    <t>Japan</t>
  </si>
  <si>
    <t>1Q</t>
  </si>
  <si>
    <t>FIRM LOAD (HW)</t>
  </si>
  <si>
    <t>Load</t>
  </si>
  <si>
    <t>WtW B/(W) Track</t>
  </si>
  <si>
    <t>1Q Stream</t>
  </si>
  <si>
    <t>NonHW</t>
  </si>
  <si>
    <t>B/(W) Bgt</t>
  </si>
  <si>
    <t>Firm Load</t>
  </si>
  <si>
    <t>Data Source</t>
  </si>
  <si>
    <t>WWConsol Other Default</t>
  </si>
  <si>
    <t>Dollars</t>
  </si>
  <si>
    <t>Channel</t>
  </si>
  <si>
    <t>9op</t>
  </si>
  <si>
    <t>W</t>
  </si>
  <si>
    <t>S</t>
  </si>
  <si>
    <t>D</t>
  </si>
  <si>
    <t>6op</t>
  </si>
  <si>
    <t>4L</t>
  </si>
  <si>
    <t>4P</t>
  </si>
  <si>
    <t>C</t>
  </si>
  <si>
    <t>4V</t>
  </si>
  <si>
    <t>LAT</t>
  </si>
  <si>
    <t>EM</t>
  </si>
  <si>
    <t>DAC</t>
  </si>
  <si>
    <t>FRA</t>
  </si>
  <si>
    <t>NBL</t>
  </si>
  <si>
    <t>ITY</t>
  </si>
  <si>
    <t>UKI</t>
  </si>
  <si>
    <t>IGI</t>
  </si>
  <si>
    <t>MER</t>
  </si>
  <si>
    <t>JN</t>
  </si>
  <si>
    <t>AP</t>
  </si>
  <si>
    <t>AZK</t>
  </si>
  <si>
    <t>ISA</t>
  </si>
  <si>
    <t>CHR</t>
  </si>
  <si>
    <t>78</t>
  </si>
  <si>
    <t>Pre-owned HW (GARS)</t>
  </si>
  <si>
    <t>EN</t>
  </si>
  <si>
    <t>CY - Full Qtr</t>
  </si>
  <si>
    <t>Full QTR</t>
  </si>
  <si>
    <t>Total  Non-HW Revenue</t>
  </si>
  <si>
    <t>4A-US Industry Market</t>
  </si>
  <si>
    <t>4O-US Build/Service Partners market</t>
  </si>
  <si>
    <t>4J-US National Market</t>
  </si>
  <si>
    <t>Canada</t>
  </si>
  <si>
    <t>LA</t>
  </si>
  <si>
    <t>France</t>
  </si>
  <si>
    <t>Italy</t>
  </si>
  <si>
    <t>D3</t>
  </si>
  <si>
    <t>TH</t>
  </si>
  <si>
    <t>PT-Power TPS</t>
  </si>
  <si>
    <t>Jan</t>
  </si>
  <si>
    <t>CD</t>
  </si>
  <si>
    <t>PD</t>
  </si>
  <si>
    <t>PW</t>
  </si>
  <si>
    <t>PROJECTION</t>
  </si>
  <si>
    <t>Days to go</t>
  </si>
  <si>
    <t>CASE PY</t>
  </si>
  <si>
    <t>CASEPPY</t>
  </si>
  <si>
    <t>PPY</t>
  </si>
  <si>
    <t>PQ</t>
  </si>
  <si>
    <t>Oct</t>
  </si>
  <si>
    <t>Jul</t>
  </si>
  <si>
    <t>Apr</t>
  </si>
  <si>
    <t>PY QTR</t>
  </si>
  <si>
    <t>PY FINAL QTR</t>
  </si>
  <si>
    <t>PY FINAL MTH</t>
  </si>
  <si>
    <t>No Load Model input</t>
  </si>
  <si>
    <t>Firm Order Load</t>
  </si>
  <si>
    <t>Retail Dollar Track</t>
  </si>
  <si>
    <t>LH-LA Top</t>
  </si>
  <si>
    <t>3M-IGIT</t>
  </si>
  <si>
    <t>MH-MEA Top</t>
  </si>
  <si>
    <t>2S-India/South Asia</t>
  </si>
  <si>
    <t>GH-GH</t>
  </si>
  <si>
    <t>t_dollarizedloadinputs</t>
  </si>
  <si>
    <t>t_custset</t>
  </si>
  <si>
    <t>tks_tgts</t>
  </si>
  <si>
    <t>CEE-Central and Eastern Europe</t>
  </si>
  <si>
    <t>3D-DACH</t>
  </si>
  <si>
    <t>3K-UKI</t>
  </si>
  <si>
    <t>D-Division Top</t>
  </si>
  <si>
    <t>PARTNER</t>
  </si>
  <si>
    <t>CQ</t>
  </si>
  <si>
    <t xml:space="preserve">CQ Stream </t>
  </si>
  <si>
    <t>PY Consol</t>
  </si>
  <si>
    <t>PPY Consol</t>
  </si>
  <si>
    <t>WK2</t>
  </si>
  <si>
    <t>WK1</t>
  </si>
  <si>
    <t>WK3</t>
  </si>
  <si>
    <t>WK4</t>
  </si>
  <si>
    <t>WK5</t>
  </si>
  <si>
    <t>WK6</t>
  </si>
  <si>
    <t>WK7</t>
  </si>
  <si>
    <t>WK8</t>
  </si>
  <si>
    <t>WK9</t>
  </si>
  <si>
    <t>WK10</t>
  </si>
  <si>
    <t>WK11</t>
  </si>
  <si>
    <t>WK12</t>
  </si>
  <si>
    <t>WK13</t>
  </si>
  <si>
    <t>CURR WEEK</t>
  </si>
  <si>
    <t>PY MTH</t>
  </si>
  <si>
    <t>N</t>
  </si>
  <si>
    <t>MEA</t>
  </si>
  <si>
    <t>Top</t>
  </si>
  <si>
    <t>CM</t>
  </si>
  <si>
    <t>wwconsol</t>
  </si>
  <si>
    <t>W  Worldwide Total</t>
  </si>
  <si>
    <t>AM Americas</t>
  </si>
  <si>
    <t>EM EMEA</t>
  </si>
  <si>
    <t>AP  APAC</t>
  </si>
  <si>
    <t>JN  Japan</t>
  </si>
  <si>
    <t>data_source</t>
  </si>
  <si>
    <t>m_measure</t>
  </si>
  <si>
    <t>wwconsol_other</t>
  </si>
  <si>
    <t>customer_set</t>
  </si>
  <si>
    <t>CY - QTD</t>
  </si>
  <si>
    <t>PY - Full QTR</t>
  </si>
  <si>
    <t>PY - QTD</t>
  </si>
  <si>
    <t>PPY - Full QTR</t>
  </si>
  <si>
    <t>PPY - QTD</t>
  </si>
  <si>
    <t>CE-Northern Central Eastern Europe Markets</t>
  </si>
  <si>
    <t>TOTAL</t>
  </si>
  <si>
    <t>PRIOR WEEK</t>
  </si>
  <si>
    <t>CE</t>
  </si>
  <si>
    <t>B/(W) Tracks</t>
  </si>
  <si>
    <t>Rev $m</t>
  </si>
  <si>
    <t>MTH1</t>
  </si>
  <si>
    <t>MTH2</t>
  </si>
  <si>
    <t>Firm Load by brand</t>
  </si>
  <si>
    <t>Firm Load by Geo</t>
  </si>
  <si>
    <t>Power</t>
  </si>
  <si>
    <t>Europe</t>
  </si>
  <si>
    <t>AsiaPacific</t>
  </si>
  <si>
    <t>o</t>
  </si>
  <si>
    <t>NovQTD</t>
  </si>
  <si>
    <t>AugQTD</t>
  </si>
  <si>
    <t>MayQTD</t>
  </si>
  <si>
    <t>NCE</t>
  </si>
  <si>
    <t>Transactional</t>
  </si>
  <si>
    <t>Stream</t>
  </si>
  <si>
    <t>B/(W) 
Track</t>
  </si>
  <si>
    <t>Daily Load</t>
  </si>
  <si>
    <t>Firm+FOE Order Load</t>
  </si>
  <si>
    <t>t_dollarizedloadinputs: No Load Model input, t_custset: Industry, m_measures: data</t>
  </si>
  <si>
    <t>FIRM TRACKS</t>
  </si>
  <si>
    <t>RETAIL TRACKS</t>
  </si>
  <si>
    <t>Proj Load</t>
  </si>
  <si>
    <t>PROJECTED *</t>
  </si>
  <si>
    <t>3991115  IBM Transactional</t>
  </si>
  <si>
    <t>3991114  IBM Annuity</t>
  </si>
  <si>
    <t>3997100  Total Revenue</t>
  </si>
  <si>
    <t>3297100  Total Sales Revenue</t>
  </si>
  <si>
    <t>3187100  Retail Sales Revenue</t>
  </si>
  <si>
    <t>Calc</t>
  </si>
  <si>
    <t>WtW</t>
  </si>
  <si>
    <t xml:space="preserve"> B/(W) to  Budget</t>
  </si>
  <si>
    <t>GARS-ALL</t>
  </si>
  <si>
    <t>Storage</t>
  </si>
  <si>
    <t>Consol case MT</t>
  </si>
  <si>
    <t>Consol case QTR</t>
  </si>
  <si>
    <t>PW Tracks</t>
  </si>
  <si>
    <t>CW Tracks</t>
  </si>
  <si>
    <t>ISC Annuity</t>
  </si>
  <si>
    <t>Trans modeled</t>
  </si>
  <si>
    <t>NonHW Trans+Annuity</t>
  </si>
  <si>
    <t>Load + NonHW</t>
  </si>
  <si>
    <t>check</t>
  </si>
  <si>
    <t>Geography w/o GARS</t>
  </si>
  <si>
    <t>HW  Budget</t>
  </si>
  <si>
    <t>Storage OEM</t>
  </si>
  <si>
    <t>W-Worldwide</t>
  </si>
  <si>
    <t>Trans</t>
  </si>
  <si>
    <t>PROJECTED Unfirm</t>
  </si>
  <si>
    <t>WW Top</t>
  </si>
  <si>
    <t>Dach</t>
  </si>
  <si>
    <t>SPIGI</t>
  </si>
  <si>
    <t>NCEE</t>
  </si>
  <si>
    <t>China</t>
  </si>
  <si>
    <t>Division Top</t>
  </si>
  <si>
    <t>BRAND</t>
  </si>
  <si>
    <t>GEO</t>
  </si>
  <si>
    <t>Systems</t>
  </si>
  <si>
    <t>Sum of Geos</t>
  </si>
  <si>
    <t>NonHW  Budget</t>
  </si>
  <si>
    <t>Systems w/o TPS</t>
  </si>
  <si>
    <t>B/(W) Budget</t>
  </si>
  <si>
    <t>Retail Load by brand</t>
  </si>
  <si>
    <t>Retail Load by Geo</t>
  </si>
  <si>
    <t>3op</t>
  </si>
  <si>
    <t xml:space="preserve">Storage </t>
  </si>
  <si>
    <t>NonHW Tx = Total TX-Sales HW</t>
  </si>
  <si>
    <t>=SUMIFS('Consol Pull'!L:L,'Consol Pull'!A:A,$A69,'Consol Pull'!B:B,B69)/SUMIFS('Consol Pull'!G:G,'Consol Pull'!A:A,$A69,'Consol Pull'!B:B,B69)'</t>
  </si>
  <si>
    <t>1  M&amp;D OEM</t>
  </si>
  <si>
    <t xml:space="preserve">GEO: </t>
  </si>
  <si>
    <t>EI: SH-GM w/o GARS changed to SH-GM as it was used in formula for YtY in ww tab column D</t>
  </si>
  <si>
    <t>bud23</t>
  </si>
  <si>
    <t>act22</t>
  </si>
  <si>
    <t>29</t>
  </si>
  <si>
    <t>M&amp;D OEM</t>
  </si>
  <si>
    <t>D  Division Top</t>
  </si>
  <si>
    <t>I  Inter-GEO Elims</t>
  </si>
  <si>
    <t>W 9op - S 9op</t>
  </si>
  <si>
    <t xml:space="preserve">9op S - 6op Sum Geos </t>
  </si>
  <si>
    <t>Other</t>
  </si>
  <si>
    <t>GEO Elims</t>
  </si>
  <si>
    <t>SP</t>
  </si>
  <si>
    <t>5R</t>
  </si>
  <si>
    <t>Core HW Top (78, 5R, SP)</t>
  </si>
  <si>
    <t>2B  Storage Products Division - Transfer Price</t>
  </si>
  <si>
    <t>TOP</t>
  </si>
  <si>
    <t>o/w GARS, Technology</t>
  </si>
  <si>
    <t>o/w Systems OEM</t>
  </si>
  <si>
    <t>Storage OEM (2B)</t>
  </si>
  <si>
    <t>Storage OEM TOP (M&amp;D)</t>
  </si>
  <si>
    <t>Included lines</t>
  </si>
  <si>
    <t>E</t>
  </si>
  <si>
    <t>T</t>
  </si>
  <si>
    <t>F</t>
  </si>
  <si>
    <t>CD1Q</t>
  </si>
  <si>
    <t>PY1Q</t>
  </si>
  <si>
    <t>PD1Q</t>
  </si>
  <si>
    <t>PW1Q</t>
  </si>
  <si>
    <t>G</t>
  </si>
  <si>
    <t>Console</t>
  </si>
  <si>
    <t>PW track</t>
  </si>
  <si>
    <t>CY1Q</t>
  </si>
  <si>
    <t>M</t>
  </si>
  <si>
    <t>Annuity</t>
  </si>
  <si>
    <t>I</t>
  </si>
  <si>
    <t>P</t>
  </si>
  <si>
    <t>streamload</t>
  </si>
  <si>
    <t>EG-Systems Divisions</t>
  </si>
  <si>
    <t>US</t>
  </si>
  <si>
    <t>AH</t>
  </si>
  <si>
    <t>NA-All</t>
  </si>
  <si>
    <t>2A</t>
  </si>
  <si>
    <t>2S</t>
  </si>
  <si>
    <t>CG</t>
  </si>
  <si>
    <t>3D</t>
  </si>
  <si>
    <t>3K</t>
  </si>
  <si>
    <t>3F</t>
  </si>
  <si>
    <t>3I</t>
  </si>
  <si>
    <t>3M</t>
  </si>
  <si>
    <t>TW</t>
  </si>
  <si>
    <t>7D-Z Systems Middleware SW</t>
  </si>
  <si>
    <t>PP-Platform P</t>
  </si>
  <si>
    <t>SY-Storage Systems</t>
  </si>
  <si>
    <t>TSP-Technology Systems Platform</t>
  </si>
  <si>
    <t>FULL QTR</t>
  </si>
  <si>
    <t>channel_type: channel_type, case: 1Q Stream, l_period: l_period, s_lic: s_lic</t>
  </si>
  <si>
    <t>TOTAL CHANNEL</t>
  </si>
  <si>
    <t>2Q</t>
  </si>
  <si>
    <t>NonHW Transactional = Total TX-Sales HW</t>
  </si>
  <si>
    <t>aa</t>
  </si>
  <si>
    <t>R</t>
  </si>
  <si>
    <t>H</t>
  </si>
  <si>
    <t>J</t>
  </si>
  <si>
    <t xml:space="preserve">I </t>
  </si>
  <si>
    <t>PPY FINAL MTH</t>
  </si>
  <si>
    <t>WW Top+GARS</t>
  </si>
  <si>
    <t>Firm Tracks</t>
  </si>
  <si>
    <t>Retail Load</t>
  </si>
  <si>
    <t>Retail Tracks</t>
  </si>
  <si>
    <t>TOTAL LOAD</t>
  </si>
  <si>
    <t>QS</t>
  </si>
  <si>
    <t>Core HW Top (78, 5R, SP,QS)</t>
  </si>
  <si>
    <t>US Industry</t>
  </si>
  <si>
    <t>US Build/Service Partners</t>
  </si>
  <si>
    <t>US National</t>
  </si>
  <si>
    <t>FSS</t>
  </si>
  <si>
    <t>US Top</t>
  </si>
  <si>
    <t>SH</t>
  </si>
  <si>
    <t>o/w GARS, Techn., CoreHW top</t>
  </si>
  <si>
    <t>HWLoad Daily Reporting</t>
  </si>
  <si>
    <t>Reference Table Market Report</t>
  </si>
  <si>
    <t>IBM Confidential</t>
  </si>
  <si>
    <t>CURR_DATE</t>
  </si>
  <si>
    <t>CURR_QTR</t>
  </si>
  <si>
    <t>CURR_MTH</t>
  </si>
  <si>
    <t>CURR_WK</t>
  </si>
  <si>
    <t>CURR</t>
  </si>
  <si>
    <t>MF_PP1</t>
  </si>
  <si>
    <t>MF_PP2</t>
  </si>
  <si>
    <t>DTG</t>
  </si>
  <si>
    <t>FebQTD</t>
  </si>
  <si>
    <t>3Q</t>
  </si>
  <si>
    <t>4Q</t>
  </si>
  <si>
    <t>CURR QTR</t>
  </si>
  <si>
    <t>CURR MTH</t>
  </si>
  <si>
    <t>CurMth&amp;DTG</t>
  </si>
  <si>
    <t>SH-GM</t>
  </si>
  <si>
    <t>SH-GM w/o GARS</t>
  </si>
  <si>
    <t>total Amer + TW-WW Top Geo - GARS Amer</t>
  </si>
  <si>
    <t>GARS-GARS</t>
  </si>
  <si>
    <t>GARS_7M-GARS_7M_IBM Z</t>
  </si>
  <si>
    <t>GARS_GP-GARS_GP_POWER</t>
  </si>
  <si>
    <t>GARS_GR-GARS_GR_STORAGE</t>
  </si>
  <si>
    <t>GARS_8G-GARS_8G_GARS TOP/OEM</t>
  </si>
  <si>
    <t>GOTHER-GOTHER_GARS OTHER</t>
  </si>
  <si>
    <t>EG w/o GARS (cals.)</t>
  </si>
  <si>
    <t>VPC-PAW03: wwconsol</t>
  </si>
  <si>
    <t>25. 3. 2022 9:29:47</t>
  </si>
  <si>
    <t>VPC-PAW01: loadtgts</t>
  </si>
  <si>
    <t>11. 4. 2023 9:53:37</t>
  </si>
  <si>
    <t>27. 9. 2019 11:17:45</t>
  </si>
  <si>
    <t>Channel tracks</t>
  </si>
  <si>
    <t>CURR YEAR</t>
  </si>
  <si>
    <t>Weeks</t>
  </si>
  <si>
    <t xml:space="preserve">     </t>
  </si>
  <si>
    <t>m_measures: data</t>
  </si>
  <si>
    <t>PY 2</t>
  </si>
  <si>
    <t>CURR_DAY</t>
  </si>
  <si>
    <t>updated each month!! --&gt;</t>
  </si>
  <si>
    <t>nic</t>
  </si>
  <si>
    <t>Systém:</t>
  </si>
  <si>
    <t>Balík:</t>
  </si>
  <si>
    <t>Vytvorené:</t>
  </si>
  <si>
    <t>Upravené:</t>
  </si>
  <si>
    <t>Riadky:</t>
  </si>
  <si>
    <t>t_division: Výber, l_region: l_region</t>
  </si>
  <si>
    <t>Stĺpce:</t>
  </si>
  <si>
    <t>Kontext:</t>
  </si>
  <si>
    <t>Filtrovať riadky:</t>
  </si>
  <si>
    <t>Filtrovať stĺpce:</t>
  </si>
  <si>
    <t>t_comp: Výber, t_case: Výber, t_channel: t_channel, t_period: Výber</t>
  </si>
  <si>
    <t>AAP2023</t>
  </si>
  <si>
    <t xml:space="preserve">PROJECTION CASES </t>
  </si>
  <si>
    <t>PPY FINAL QTR</t>
  </si>
  <si>
    <t>LOADCASES</t>
  </si>
  <si>
    <t>LOADCASES YTY/QTQ</t>
  </si>
  <si>
    <t>LOADCASES DTG/PROJECTION</t>
  </si>
  <si>
    <t>TODAY</t>
  </si>
  <si>
    <t>4X</t>
  </si>
  <si>
    <t>3C</t>
  </si>
  <si>
    <t>EMT</t>
  </si>
  <si>
    <t>2Z</t>
  </si>
  <si>
    <t>2K</t>
  </si>
  <si>
    <t>ATC</t>
  </si>
  <si>
    <t>Asean</t>
  </si>
  <si>
    <t>Australia/NZ</t>
  </si>
  <si>
    <t>Korea</t>
  </si>
  <si>
    <t>AP Top</t>
  </si>
  <si>
    <t>7A</t>
  </si>
  <si>
    <t>EMEA Top</t>
  </si>
  <si>
    <t>Total Canada</t>
  </si>
  <si>
    <t>NEW STRUCTURE</t>
  </si>
  <si>
    <t>ASE</t>
  </si>
  <si>
    <t>KOR</t>
  </si>
  <si>
    <t>Austr/NZ</t>
  </si>
  <si>
    <t>FCTcm</t>
  </si>
  <si>
    <t>NonHW Transactional = Total TX- Retail Sales</t>
  </si>
  <si>
    <t>BUDcm</t>
  </si>
  <si>
    <t>.</t>
  </si>
  <si>
    <t>Ase</t>
  </si>
  <si>
    <t>channel: NAME(CURRENTMEMBER(channel)) = 'Channel Default'</t>
  </si>
  <si>
    <t>OEM</t>
  </si>
  <si>
    <t>FSHIP</t>
  </si>
  <si>
    <t>o/w shipped</t>
  </si>
  <si>
    <t>APAC Top</t>
  </si>
  <si>
    <t>t_division: Výber, t_lic: Retail Dollar Track, t_geo: t_geo</t>
  </si>
  <si>
    <t>ASM-GTS1</t>
  </si>
  <si>
    <t>ASM-GTS2</t>
  </si>
  <si>
    <t>case: Výber, channel: channel, period: 2Q, line_item_codes: 3997100, type_of_unit: 3op</t>
  </si>
  <si>
    <t>3997100</t>
  </si>
  <si>
    <t>division_segment: 26, division_segment: Power HW, division_segment: Storage HW, division_segment: Pre-owned HW (GARS), division_segment: division_segment, geography: geography</t>
  </si>
  <si>
    <t>Public</t>
  </si>
  <si>
    <t>Federal</t>
  </si>
  <si>
    <t>LD070824</t>
  </si>
  <si>
    <t>LD070924</t>
  </si>
  <si>
    <t>LD071024</t>
  </si>
  <si>
    <t>LD071124</t>
  </si>
  <si>
    <t>LD071224</t>
  </si>
  <si>
    <t>LD071524</t>
  </si>
  <si>
    <t>LD071624</t>
  </si>
  <si>
    <t>LD071724</t>
  </si>
  <si>
    <t>LD071824</t>
  </si>
  <si>
    <t>LD071924</t>
  </si>
  <si>
    <t>LD072224</t>
  </si>
  <si>
    <t>LD072324</t>
  </si>
  <si>
    <t>LD072424</t>
  </si>
  <si>
    <t>LD072524</t>
  </si>
  <si>
    <t>LD072624</t>
  </si>
  <si>
    <t>LD072924</t>
  </si>
  <si>
    <t>LD073024</t>
  </si>
  <si>
    <t>LD073124</t>
  </si>
  <si>
    <t>LD080124</t>
  </si>
  <si>
    <t>LD080224</t>
  </si>
  <si>
    <t>LD080524</t>
  </si>
  <si>
    <t>LD080624</t>
  </si>
  <si>
    <t>LD080724</t>
  </si>
  <si>
    <t>LD080824</t>
  </si>
  <si>
    <t>LD080924</t>
  </si>
  <si>
    <t>LD081224</t>
  </si>
  <si>
    <t>LD081324</t>
  </si>
  <si>
    <t>LD081424</t>
  </si>
  <si>
    <t>LD081524</t>
  </si>
  <si>
    <t>LD081624</t>
  </si>
  <si>
    <t>LD081924</t>
  </si>
  <si>
    <t>LD082024</t>
  </si>
  <si>
    <t>LD082124</t>
  </si>
  <si>
    <t>LD082224</t>
  </si>
  <si>
    <t>LD082324</t>
  </si>
  <si>
    <t>LD082624</t>
  </si>
  <si>
    <t>LD082724</t>
  </si>
  <si>
    <t>LD082824</t>
  </si>
  <si>
    <t>LD083024</t>
  </si>
  <si>
    <t>LD090224</t>
  </si>
  <si>
    <t>LD090324</t>
  </si>
  <si>
    <t>LD090424</t>
  </si>
  <si>
    <t>LD090524</t>
  </si>
  <si>
    <t>LD090624</t>
  </si>
  <si>
    <t>LD090924</t>
  </si>
  <si>
    <t>LD091024</t>
  </si>
  <si>
    <t>LD091124</t>
  </si>
  <si>
    <t>LD091224</t>
  </si>
  <si>
    <t>LD091324</t>
  </si>
  <si>
    <t>LD091624</t>
  </si>
  <si>
    <t>LD091724</t>
  </si>
  <si>
    <t>LD091824</t>
  </si>
  <si>
    <t>LD091924</t>
  </si>
  <si>
    <t>LD092024</t>
  </si>
  <si>
    <t>LD092324</t>
  </si>
  <si>
    <t>LD092524</t>
  </si>
  <si>
    <t>LD092624</t>
  </si>
  <si>
    <t>LD092724</t>
  </si>
  <si>
    <t>LD3Q24FINAL</t>
  </si>
  <si>
    <t>MTH2QTD</t>
  </si>
  <si>
    <t>楆浲传摲牥䰠慯�</t>
  </si>
  <si>
    <t>楆浲䘫䕏传摲牥䰠慯�</t>
  </si>
  <si>
    <t>畂杤瑥儱㌲</t>
  </si>
  <si>
    <t>畂杤瑥儱㌲䈭�</t>
  </si>
  <si>
    <t>潮敮</t>
  </si>
  <si>
    <t>歗‱儱</t>
  </si>
  <si>
    <t>歗′儱</t>
  </si>
  <si>
    <t>歗″儱</t>
  </si>
  <si>
    <t>歗‴儱</t>
  </si>
  <si>
    <t>歗‵儱</t>
  </si>
  <si>
    <t>歗‶儱</t>
  </si>
  <si>
    <t>歗‷儱</t>
  </si>
  <si>
    <t>歗‸儱</t>
  </si>
  <si>
    <t>歗‹儱</t>
  </si>
  <si>
    <t>歗〱ㄠ�</t>
  </si>
  <si>
    <t>歗ㄱㄠ�</t>
  </si>
  <si>
    <t>歗㈱ㄠ�</t>
  </si>
  <si>
    <t>歗㌱ㄠ�</t>
  </si>
  <si>
    <t>㘲</t>
  </si>
  <si>
    <t>刼瑥楡⁬潄汬牡吠慲正�</t>
  </si>
  <si>
    <t>偐</t>
  </si>
  <si>
    <t>奓</t>
  </si>
  <si>
    <t>䝅</t>
  </si>
  <si>
    <t>LD100923</t>
  </si>
  <si>
    <t>LD101022</t>
  </si>
  <si>
    <t>LD101023</t>
  </si>
  <si>
    <t>LD101122</t>
  </si>
  <si>
    <t>LD101123</t>
  </si>
  <si>
    <t>LD101222</t>
  </si>
  <si>
    <t>LD101223</t>
  </si>
  <si>
    <t>LD101322</t>
  </si>
  <si>
    <t>LD101323</t>
  </si>
  <si>
    <t>LD101422</t>
  </si>
  <si>
    <t>LD101623</t>
  </si>
  <si>
    <t>LD101722</t>
  </si>
  <si>
    <t>LD101723</t>
  </si>
  <si>
    <t>LD101822</t>
  </si>
  <si>
    <t>LD101823</t>
  </si>
  <si>
    <t>LD101922</t>
  </si>
  <si>
    <t>LD101923</t>
  </si>
  <si>
    <t>LD102022</t>
  </si>
  <si>
    <t>LD102023</t>
  </si>
  <si>
    <t>LD102122</t>
  </si>
  <si>
    <t>LD102323</t>
  </si>
  <si>
    <t>LD102422</t>
  </si>
  <si>
    <t>LD102423</t>
  </si>
  <si>
    <t>LD102522</t>
  </si>
  <si>
    <t>LD102523</t>
  </si>
  <si>
    <t>LD102622</t>
  </si>
  <si>
    <t>LD102623</t>
  </si>
  <si>
    <t>LD102722</t>
  </si>
  <si>
    <t>LD102723</t>
  </si>
  <si>
    <t>LD102822</t>
  </si>
  <si>
    <t>LD103023</t>
  </si>
  <si>
    <t>LD103122</t>
  </si>
  <si>
    <t>LD103123</t>
  </si>
  <si>
    <t>LD110122</t>
  </si>
  <si>
    <t>LD110123</t>
  </si>
  <si>
    <t>LD110222</t>
  </si>
  <si>
    <t>LD110223</t>
  </si>
  <si>
    <t>LD110322</t>
  </si>
  <si>
    <t>LD110323</t>
  </si>
  <si>
    <t>LD110422</t>
  </si>
  <si>
    <t>LD110623</t>
  </si>
  <si>
    <t>LD110722</t>
  </si>
  <si>
    <t>LD110723</t>
  </si>
  <si>
    <t>LD110822</t>
  </si>
  <si>
    <t>LD110823</t>
  </si>
  <si>
    <t>LD110922</t>
  </si>
  <si>
    <t>LD110923</t>
  </si>
  <si>
    <t>LD111022</t>
  </si>
  <si>
    <t>LD111023</t>
  </si>
  <si>
    <t>LD111122</t>
  </si>
  <si>
    <t>LD111323</t>
  </si>
  <si>
    <t>LD111422</t>
  </si>
  <si>
    <t>LD111423</t>
  </si>
  <si>
    <t>LD111522</t>
  </si>
  <si>
    <t>LD111523</t>
  </si>
  <si>
    <t>LD111622</t>
  </si>
  <si>
    <t>LD111623</t>
  </si>
  <si>
    <t>LD111722</t>
  </si>
  <si>
    <t>LD111723</t>
  </si>
  <si>
    <t>LD111822</t>
  </si>
  <si>
    <t>LD112023</t>
  </si>
  <si>
    <t>LD112122</t>
  </si>
  <si>
    <t>LD112123</t>
  </si>
  <si>
    <t>LD112222</t>
  </si>
  <si>
    <t>LD112223</t>
  </si>
  <si>
    <t>LD112322</t>
  </si>
  <si>
    <t>LD112323</t>
  </si>
  <si>
    <t>LD112422</t>
  </si>
  <si>
    <t>LD112423</t>
  </si>
  <si>
    <t>LD112522</t>
  </si>
  <si>
    <t>LD112723</t>
  </si>
  <si>
    <t>LD112822</t>
  </si>
  <si>
    <t>LD112823</t>
  </si>
  <si>
    <t>LD112922</t>
  </si>
  <si>
    <t>LD112923</t>
  </si>
  <si>
    <t>LD113022</t>
  </si>
  <si>
    <t>LD120123</t>
  </si>
  <si>
    <t>LD120222</t>
  </si>
  <si>
    <t>LD120423</t>
  </si>
  <si>
    <t>LD120522</t>
  </si>
  <si>
    <t>LD120523</t>
  </si>
  <si>
    <t>LD120622</t>
  </si>
  <si>
    <t>LD120623</t>
  </si>
  <si>
    <t>LD120722</t>
  </si>
  <si>
    <t>LD120723</t>
  </si>
  <si>
    <t>LD120822</t>
  </si>
  <si>
    <t>LD120823</t>
  </si>
  <si>
    <t>LD120922</t>
  </si>
  <si>
    <t>LD121123</t>
  </si>
  <si>
    <t>LD121222</t>
  </si>
  <si>
    <t>LD121223</t>
  </si>
  <si>
    <t>LD121322</t>
  </si>
  <si>
    <t>LD121323</t>
  </si>
  <si>
    <t>LD121422</t>
  </si>
  <si>
    <t>LD121423</t>
  </si>
  <si>
    <t>LD121522</t>
  </si>
  <si>
    <t>LD121523</t>
  </si>
  <si>
    <t>LD121622</t>
  </si>
  <si>
    <t>LD121823</t>
  </si>
  <si>
    <t>LD121922</t>
  </si>
  <si>
    <t>LD121923</t>
  </si>
  <si>
    <t>LD122022</t>
  </si>
  <si>
    <t>LD122023</t>
  </si>
  <si>
    <t>LD122122</t>
  </si>
  <si>
    <t>LD122123</t>
  </si>
  <si>
    <t>LD122222</t>
  </si>
  <si>
    <t>LD122223</t>
  </si>
  <si>
    <t>LD122322</t>
  </si>
  <si>
    <t>LD122523</t>
  </si>
  <si>
    <t>LD122622</t>
  </si>
  <si>
    <t>LD122723</t>
  </si>
  <si>
    <t>LD122822</t>
  </si>
  <si>
    <t>LD122823</t>
  </si>
  <si>
    <t>LD122922</t>
  </si>
  <si>
    <t>LD122923</t>
  </si>
  <si>
    <t>LD123022</t>
  </si>
  <si>
    <t>4Q24</t>
  </si>
  <si>
    <t>Ld100424</t>
  </si>
  <si>
    <t>Ld101124</t>
  </si>
  <si>
    <t>Ld101824</t>
  </si>
  <si>
    <t>Ld102524</t>
  </si>
  <si>
    <t>Ld110124</t>
  </si>
  <si>
    <t>Ld110824</t>
  </si>
  <si>
    <t>Ld111524</t>
  </si>
  <si>
    <t>Ld112224</t>
  </si>
  <si>
    <t>Ld112924</t>
  </si>
  <si>
    <t>Ld120624</t>
  </si>
  <si>
    <t>Ld121324</t>
  </si>
  <si>
    <t>Ld122024</t>
  </si>
  <si>
    <t>Ld4Q24Final</t>
  </si>
  <si>
    <t>Tgt4Q24</t>
  </si>
  <si>
    <t>Target tracks</t>
  </si>
  <si>
    <t>Ld100724</t>
  </si>
  <si>
    <t>Ld100824</t>
  </si>
  <si>
    <t>Ld100924</t>
  </si>
  <si>
    <t>Ld101024</t>
  </si>
  <si>
    <t>Ld101424</t>
  </si>
  <si>
    <t>Ld101524</t>
  </si>
  <si>
    <t>Ld101624</t>
  </si>
  <si>
    <t>Ld101724</t>
  </si>
  <si>
    <t>Ld102124</t>
  </si>
  <si>
    <t>Ld102224</t>
  </si>
  <si>
    <t>Ld102324</t>
  </si>
  <si>
    <t>Ld102424</t>
  </si>
  <si>
    <t>Ld102824</t>
  </si>
  <si>
    <t>Ld102924</t>
  </si>
  <si>
    <t>Ld103024</t>
  </si>
  <si>
    <t>Ld110424</t>
  </si>
  <si>
    <t>Ld110524</t>
  </si>
  <si>
    <t>Ld110624</t>
  </si>
  <si>
    <t>Ld110724</t>
  </si>
  <si>
    <t>Ld111124</t>
  </si>
  <si>
    <t>Ld111224</t>
  </si>
  <si>
    <t>Ld111324</t>
  </si>
  <si>
    <t>Ld111424</t>
  </si>
  <si>
    <t>Ld111824</t>
  </si>
  <si>
    <t>Ld111924</t>
  </si>
  <si>
    <t>Ld112024</t>
  </si>
  <si>
    <t>Ld112124</t>
  </si>
  <si>
    <t>Ld112524</t>
  </si>
  <si>
    <t>Ld112624</t>
  </si>
  <si>
    <t>Ld112724</t>
  </si>
  <si>
    <t>Ld112824</t>
  </si>
  <si>
    <t>Ld120424</t>
  </si>
  <si>
    <t>Ld090324</t>
  </si>
  <si>
    <t>Ld060324</t>
  </si>
  <si>
    <t>Ld120524</t>
  </si>
  <si>
    <t>Ld090424</t>
  </si>
  <si>
    <t>Ld090524</t>
  </si>
  <si>
    <t>Ld120924</t>
  </si>
  <si>
    <t>Ld090624</t>
  </si>
  <si>
    <t>Ld121024</t>
  </si>
  <si>
    <t>Ld090924</t>
  </si>
  <si>
    <t>Ld121124</t>
  </si>
  <si>
    <t>Ld091024</t>
  </si>
  <si>
    <t>Ld121224</t>
  </si>
  <si>
    <t>Ld091124</t>
  </si>
  <si>
    <t>Ld091224</t>
  </si>
  <si>
    <t>Ld121624</t>
  </si>
  <si>
    <t>Ld091324</t>
  </si>
  <si>
    <t>Ld121724</t>
  </si>
  <si>
    <t>Ld091624</t>
  </si>
  <si>
    <t>Ld121824</t>
  </si>
  <si>
    <t>Ld091724</t>
  </si>
  <si>
    <t>Ld121924</t>
  </si>
  <si>
    <t>Ld091824</t>
  </si>
  <si>
    <t>Ld091924</t>
  </si>
  <si>
    <t>Ld122324</t>
  </si>
  <si>
    <t>Ld092024</t>
  </si>
  <si>
    <t>Ld122424</t>
  </si>
  <si>
    <t>Ld092324</t>
  </si>
  <si>
    <t>Ld122524</t>
  </si>
  <si>
    <t>Ld092424</t>
  </si>
  <si>
    <t>Ld122624</t>
  </si>
  <si>
    <t>Ld092524</t>
  </si>
  <si>
    <t>Ld122724</t>
  </si>
  <si>
    <t>Ld092624</t>
  </si>
  <si>
    <t>Ld123024</t>
  </si>
  <si>
    <t>Ld092724</t>
  </si>
  <si>
    <t>Ld3Q24Final</t>
  </si>
  <si>
    <t>LD011023</t>
  </si>
  <si>
    <t>LD011723</t>
  </si>
  <si>
    <t>1Q25</t>
  </si>
  <si>
    <t>LD012423</t>
  </si>
  <si>
    <t>LD021023</t>
  </si>
  <si>
    <t>LD021723</t>
  </si>
  <si>
    <t>FebYTD</t>
  </si>
  <si>
    <t>OTC SW committed</t>
  </si>
  <si>
    <t>OTC SW projected_to go</t>
  </si>
  <si>
    <t>Rental Revenue</t>
  </si>
  <si>
    <t>Maintenance Revenue</t>
  </si>
  <si>
    <t>OEM Revenue</t>
  </si>
  <si>
    <t>Transactional KYNDRYL – MEMO</t>
  </si>
  <si>
    <t>z</t>
  </si>
  <si>
    <t>AAP2024</t>
  </si>
  <si>
    <t>Ld010625</t>
  </si>
  <si>
    <t>Ld020325</t>
  </si>
  <si>
    <t>Ld090425</t>
  </si>
  <si>
    <t>Ld010725</t>
  </si>
  <si>
    <t>Ld020425</t>
  </si>
  <si>
    <t>Ld090525</t>
  </si>
  <si>
    <t>Ld010825</t>
  </si>
  <si>
    <t>Ld020525</t>
  </si>
  <si>
    <t>Ld090625</t>
  </si>
  <si>
    <t>Ld010925</t>
  </si>
  <si>
    <t>Ld020625</t>
  </si>
  <si>
    <t>Ld090725</t>
  </si>
  <si>
    <t>Ld011025</t>
  </si>
  <si>
    <t>Ld020725</t>
  </si>
  <si>
    <t>Ld091025</t>
  </si>
  <si>
    <t>Ld011325</t>
  </si>
  <si>
    <t>Ld021025</t>
  </si>
  <si>
    <t>Ld091125</t>
  </si>
  <si>
    <t>Ld011425</t>
  </si>
  <si>
    <t>Ld021125</t>
  </si>
  <si>
    <t>Ld091225</t>
  </si>
  <si>
    <t>Ld011525</t>
  </si>
  <si>
    <t>Ld021225</t>
  </si>
  <si>
    <t>Ld091325</t>
  </si>
  <si>
    <t>Ld011625</t>
  </si>
  <si>
    <t>Ld021325</t>
  </si>
  <si>
    <t>Ld091425</t>
  </si>
  <si>
    <t>Ld011725</t>
  </si>
  <si>
    <t>Ld021425</t>
  </si>
  <si>
    <t>Ld091725</t>
  </si>
  <si>
    <t>Ld012025</t>
  </si>
  <si>
    <t>Ld021725</t>
  </si>
  <si>
    <t>Ld091825</t>
  </si>
  <si>
    <t>Ld012125</t>
  </si>
  <si>
    <t>Ld021825</t>
  </si>
  <si>
    <t>Ld091925</t>
  </si>
  <si>
    <t>Ld012225</t>
  </si>
  <si>
    <t>Ld021925</t>
  </si>
  <si>
    <t>Ld092025</t>
  </si>
  <si>
    <t>Ld012325</t>
  </si>
  <si>
    <t>Ld022525</t>
  </si>
  <si>
    <t>Ld092125</t>
  </si>
  <si>
    <t>Ld012425</t>
  </si>
  <si>
    <t>Ld022125</t>
  </si>
  <si>
    <t>Ld092425</t>
  </si>
  <si>
    <t>Ld012725</t>
  </si>
  <si>
    <t>Ld022425</t>
  </si>
  <si>
    <t>Ld092525</t>
  </si>
  <si>
    <t>Ld012825</t>
  </si>
  <si>
    <t>Ld092625</t>
  </si>
  <si>
    <t>Ld012925</t>
  </si>
  <si>
    <t>Ld022625</t>
  </si>
  <si>
    <t>Ld092725</t>
  </si>
  <si>
    <t>Ld013025</t>
  </si>
  <si>
    <t>Ld022725</t>
  </si>
  <si>
    <t>Ld092825</t>
  </si>
  <si>
    <t>Ld022825</t>
  </si>
  <si>
    <t>Ld1Q25Final</t>
  </si>
  <si>
    <t>Ld050524</t>
  </si>
  <si>
    <t>Ld050424</t>
  </si>
  <si>
    <t>Ld060124</t>
  </si>
  <si>
    <t>LD040725</t>
  </si>
  <si>
    <t>LD040825</t>
  </si>
  <si>
    <t>LD040925</t>
  </si>
  <si>
    <t>LD041025</t>
  </si>
  <si>
    <t>LD041125</t>
  </si>
  <si>
    <t>LD041425</t>
  </si>
  <si>
    <t>LD041525</t>
  </si>
  <si>
    <t>LD041625</t>
  </si>
  <si>
    <t>LD041725</t>
  </si>
  <si>
    <t>LD041825</t>
  </si>
  <si>
    <t>LD042125</t>
  </si>
  <si>
    <t>LD042225</t>
  </si>
  <si>
    <t>LD042325</t>
  </si>
  <si>
    <t>LD042425</t>
  </si>
  <si>
    <t>LD042525</t>
  </si>
  <si>
    <t>LD042825</t>
  </si>
  <si>
    <t>LD042925</t>
  </si>
  <si>
    <t>LD043025</t>
  </si>
  <si>
    <t>LD050525</t>
  </si>
  <si>
    <t>LD050625</t>
  </si>
  <si>
    <t>LD050725</t>
  </si>
  <si>
    <t>LD050825</t>
  </si>
  <si>
    <t>LD050925</t>
  </si>
  <si>
    <t>LD051225</t>
  </si>
  <si>
    <t>LD051325</t>
  </si>
  <si>
    <t>LD051425</t>
  </si>
  <si>
    <t>LD051525</t>
  </si>
  <si>
    <t>LD051625</t>
  </si>
  <si>
    <t>LD051925</t>
  </si>
  <si>
    <t>LD052025</t>
  </si>
  <si>
    <t>LD052125</t>
  </si>
  <si>
    <t>LD052225</t>
  </si>
  <si>
    <t>LD052325</t>
  </si>
  <si>
    <t>LD052625</t>
  </si>
  <si>
    <t>LD052725</t>
  </si>
  <si>
    <t>LD052825</t>
  </si>
  <si>
    <t>LD052925</t>
  </si>
  <si>
    <t>LD053025</t>
  </si>
  <si>
    <t>LD040425</t>
  </si>
  <si>
    <t>Ld020225</t>
  </si>
  <si>
    <t>Ld110324</t>
  </si>
  <si>
    <t>Ld040325</t>
  </si>
  <si>
    <t>Ld090423</t>
  </si>
  <si>
    <t>Ld060325</t>
  </si>
  <si>
    <t>Ld090523</t>
  </si>
  <si>
    <t>Ld060425</t>
  </si>
  <si>
    <t>Ld090623</t>
  </si>
  <si>
    <t>Ld060525</t>
  </si>
  <si>
    <t>Ld090723</t>
  </si>
  <si>
    <t>Ld060625</t>
  </si>
  <si>
    <t>Ld090823</t>
  </si>
  <si>
    <t>Ld060925</t>
  </si>
  <si>
    <t>Ld091123</t>
  </si>
  <si>
    <t>Ld061025</t>
  </si>
  <si>
    <t>Ld091223</t>
  </si>
  <si>
    <t>Ld061125</t>
  </si>
  <si>
    <t>Ld091323</t>
  </si>
  <si>
    <t>Ld061225</t>
  </si>
  <si>
    <t>Ld091423</t>
  </si>
  <si>
    <t>Ld061325</t>
  </si>
  <si>
    <t>Ld091523</t>
  </si>
  <si>
    <t>Ld061625</t>
  </si>
  <si>
    <t>Ld091823</t>
  </si>
  <si>
    <t>Ld061725</t>
  </si>
  <si>
    <t>Ld091923</t>
  </si>
  <si>
    <t>Ld061825</t>
  </si>
  <si>
    <t>Ld092023</t>
  </si>
  <si>
    <t>Ld061925</t>
  </si>
  <si>
    <t>Ld092123</t>
  </si>
  <si>
    <t>Ld062025</t>
  </si>
  <si>
    <t>Ld092223</t>
  </si>
  <si>
    <t>Ld062325</t>
  </si>
  <si>
    <t>Ld092523</t>
  </si>
  <si>
    <t>Ld062425</t>
  </si>
  <si>
    <t>Ld092623</t>
  </si>
  <si>
    <t>Ld062525</t>
  </si>
  <si>
    <t>Ld092723</t>
  </si>
  <si>
    <t>Ld062625</t>
  </si>
  <si>
    <t>Ld092823</t>
  </si>
  <si>
    <t>Ld062725</t>
  </si>
  <si>
    <t>Ld3Q23Final</t>
  </si>
  <si>
    <t>LD2Q25 Final</t>
  </si>
  <si>
    <t>Ld070224</t>
  </si>
  <si>
    <t>Ld070324</t>
  </si>
  <si>
    <t>Ld070223</t>
  </si>
  <si>
    <t>Ld070323</t>
  </si>
  <si>
    <t>Ld040125</t>
  </si>
  <si>
    <t>Ld040225</t>
  </si>
  <si>
    <t>Ld080323</t>
  </si>
  <si>
    <t>LD050425</t>
  </si>
  <si>
    <t>2025-10-01</t>
  </si>
  <si>
    <t>LD082924</t>
  </si>
  <si>
    <t>LD092424</t>
  </si>
  <si>
    <t>LD093024</t>
  </si>
  <si>
    <t>LD3Q25FINAL</t>
  </si>
  <si>
    <t>LD070425</t>
  </si>
  <si>
    <t>Ld013125</t>
  </si>
  <si>
    <t>Ld103124</t>
  </si>
  <si>
    <t>Ld090223</t>
  </si>
  <si>
    <t>Ld090323</t>
  </si>
  <si>
    <t>Saturday</t>
  </si>
  <si>
    <t>Sunday</t>
  </si>
  <si>
    <t>3Q25</t>
  </si>
  <si>
    <t/>
  </si>
  <si>
    <t>data_source: Data Source, m_measure: Dollars, wwconsol_other: -, customer_set: Industry</t>
  </si>
  <si>
    <t>LD100925</t>
  </si>
  <si>
    <t>NQ</t>
  </si>
  <si>
    <t>4Q23</t>
  </si>
  <si>
    <t>2Q25</t>
  </si>
  <si>
    <t>Ld100423</t>
  </si>
  <si>
    <t>Ld070425</t>
  </si>
  <si>
    <t>Ld100523</t>
  </si>
  <si>
    <t>Ld070725</t>
  </si>
  <si>
    <t>Ld100623</t>
  </si>
  <si>
    <t>Ld070825</t>
  </si>
  <si>
    <t>Ld100923</t>
  </si>
  <si>
    <t>Ld070925</t>
  </si>
  <si>
    <t>Ld101023</t>
  </si>
  <si>
    <t>Ld071025</t>
  </si>
  <si>
    <t>Ld101123</t>
  </si>
  <si>
    <t>Ld071125</t>
  </si>
  <si>
    <t>Ld101223</t>
  </si>
  <si>
    <t>Ld071425</t>
  </si>
  <si>
    <t>Ld101323</t>
  </si>
  <si>
    <t>Ld071525</t>
  </si>
  <si>
    <t>Ld101623</t>
  </si>
  <si>
    <t>Ld071625</t>
  </si>
  <si>
    <t>Ld101723</t>
  </si>
  <si>
    <t>Ld071725</t>
  </si>
  <si>
    <t>Ld101823</t>
  </si>
  <si>
    <t>Ld071825</t>
  </si>
  <si>
    <t>Ld101923</t>
  </si>
  <si>
    <t>Ld072125</t>
  </si>
  <si>
    <t>Ld102023</t>
  </si>
  <si>
    <t>Ld072225</t>
  </si>
  <si>
    <t>Ld102323</t>
  </si>
  <si>
    <t>Ld072325</t>
  </si>
  <si>
    <t>Ld102423</t>
  </si>
  <si>
    <t>Ld072425</t>
  </si>
  <si>
    <t>Ld102523</t>
  </si>
  <si>
    <t>Ld072525</t>
  </si>
  <si>
    <t>Ld102623</t>
  </si>
  <si>
    <t>Ld072825</t>
  </si>
  <si>
    <t>Ld102723</t>
  </si>
  <si>
    <t>Ld072925</t>
  </si>
  <si>
    <t>Ld103023</t>
  </si>
  <si>
    <t>Ld073025</t>
  </si>
  <si>
    <t>LD4Q24FINAL</t>
  </si>
  <si>
    <t>Ld103123</t>
  </si>
  <si>
    <t>ld110323</t>
  </si>
  <si>
    <t>Ld080425</t>
  </si>
  <si>
    <t>ld110623</t>
  </si>
  <si>
    <t>Ld080525</t>
  </si>
  <si>
    <t>ld110723</t>
  </si>
  <si>
    <t>Ld080625</t>
  </si>
  <si>
    <t>ld110823</t>
  </si>
  <si>
    <t>Ld080725</t>
  </si>
  <si>
    <t>ld110923</t>
  </si>
  <si>
    <t>Ld080825</t>
  </si>
  <si>
    <t>ld111023</t>
  </si>
  <si>
    <t>Ld081125</t>
  </si>
  <si>
    <t>ld111323</t>
  </si>
  <si>
    <t>Ld081225</t>
  </si>
  <si>
    <t>ld111423</t>
  </si>
  <si>
    <t>Ld081325</t>
  </si>
  <si>
    <t>ld111523</t>
  </si>
  <si>
    <t>Ld081425</t>
  </si>
  <si>
    <t>ld111623</t>
  </si>
  <si>
    <t>Ld081525</t>
  </si>
  <si>
    <t>ld111723</t>
  </si>
  <si>
    <t>Ld081825</t>
  </si>
  <si>
    <t>ld112023</t>
  </si>
  <si>
    <t>Ld081925</t>
  </si>
  <si>
    <t>ld112123</t>
  </si>
  <si>
    <t>Ld082025</t>
  </si>
  <si>
    <t>ld112223</t>
  </si>
  <si>
    <t>Ld082125</t>
  </si>
  <si>
    <t>ld112323</t>
  </si>
  <si>
    <t>Ld082225</t>
  </si>
  <si>
    <t>ld112423</t>
  </si>
  <si>
    <t>Ld082525</t>
  </si>
  <si>
    <t>ld112723</t>
  </si>
  <si>
    <t>Ld082625</t>
  </si>
  <si>
    <t>ld112823</t>
  </si>
  <si>
    <t>Ld082725</t>
  </si>
  <si>
    <t>ld112923</t>
  </si>
  <si>
    <t>Ld082825</t>
  </si>
  <si>
    <t>ld113023</t>
  </si>
  <si>
    <t>Ld082925</t>
  </si>
  <si>
    <t>Ld073125</t>
  </si>
  <si>
    <t>LD100625</t>
  </si>
  <si>
    <t>LD100725</t>
  </si>
  <si>
    <t>LD100825</t>
  </si>
  <si>
    <t>LD101025</t>
  </si>
  <si>
    <t>LD101325</t>
  </si>
  <si>
    <t>LD101425</t>
  </si>
  <si>
    <t>LD101525</t>
  </si>
  <si>
    <t>LD101625</t>
  </si>
  <si>
    <t>LD101725</t>
  </si>
  <si>
    <t>LD102025</t>
  </si>
  <si>
    <t>LD102125</t>
  </si>
  <si>
    <t>LD102225</t>
  </si>
  <si>
    <t>LD102325</t>
  </si>
  <si>
    <t>LD102425</t>
  </si>
  <si>
    <t>LD102725</t>
  </si>
  <si>
    <t>LD102825</t>
  </si>
  <si>
    <t>LD102925</t>
  </si>
  <si>
    <t>LD103025</t>
  </si>
  <si>
    <t>LD103125</t>
  </si>
  <si>
    <t>LD110325</t>
  </si>
  <si>
    <t>LD110425</t>
  </si>
  <si>
    <t>LD110525</t>
  </si>
  <si>
    <t>LD110625</t>
  </si>
  <si>
    <t>LD110725</t>
  </si>
  <si>
    <t>LD111025</t>
  </si>
  <si>
    <t>LD111125</t>
  </si>
  <si>
    <t>LD111225</t>
  </si>
  <si>
    <t>LD111325</t>
  </si>
  <si>
    <t>LD111425</t>
  </si>
  <si>
    <t>LD111725</t>
  </si>
  <si>
    <t>LD111825</t>
  </si>
  <si>
    <t>LD111925</t>
  </si>
  <si>
    <t>LD112025</t>
  </si>
  <si>
    <t>LD112125</t>
  </si>
  <si>
    <t>LD112425</t>
  </si>
  <si>
    <t>LD112525</t>
  </si>
  <si>
    <t>LD112625</t>
  </si>
  <si>
    <t>LD112725</t>
  </si>
  <si>
    <t>LD112825</t>
  </si>
  <si>
    <t>LD120125</t>
  </si>
  <si>
    <t>LD120225</t>
  </si>
  <si>
    <t>LD120325</t>
  </si>
  <si>
    <t>LD120425</t>
  </si>
  <si>
    <t>LD120525</t>
  </si>
  <si>
    <t>LD120825</t>
  </si>
  <si>
    <t>LD120925</t>
  </si>
  <si>
    <t>LD121025</t>
  </si>
  <si>
    <t>LD121125</t>
  </si>
  <si>
    <t>LD121225</t>
  </si>
  <si>
    <t>LD121525</t>
  </si>
  <si>
    <t>LD121625</t>
  </si>
  <si>
    <t>LD121725</t>
  </si>
  <si>
    <t>LD121825</t>
  </si>
  <si>
    <t>LD121925</t>
  </si>
  <si>
    <t>LD122225</t>
  </si>
  <si>
    <t>LD122325</t>
  </si>
  <si>
    <t>LD122425</t>
  </si>
  <si>
    <t>LD122525</t>
  </si>
  <si>
    <t>LD122625</t>
  </si>
  <si>
    <t>LD122925</t>
  </si>
  <si>
    <t>LD123025</t>
  </si>
  <si>
    <t>LD123125</t>
  </si>
  <si>
    <t>LD4Q25FINAL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</si>
  <si>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</si>
  <si>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</si>
  <si>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</si>
  <si>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</si>
  <si>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</si>
  <si>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</si>
  <si>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</si>
  <si>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</si>
  <si>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</si>
  <si>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</si>
  <si>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</si>
  <si>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</si>
  <si>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</si>
  <si>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</si>
  <si>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</si>
  <si>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</si>
  <si>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</si>
  <si>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</si>
  <si>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</si>
  <si>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</si>
  <si>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</si>
  <si>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</si>
  <si>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</si>
  <si>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</si>
  <si>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</si>
  <si>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</si>
  <si>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</si>
  <si>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</si>
  <si>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</si>
  <si>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</si>
  <si>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</si>
  <si>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</si>
  <si>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</si>
  <si>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</si>
  <si>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</si>
  <si>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</si>
  <si>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</si>
  <si>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</si>
  <si>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</si>
  <si>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</si>
  <si>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</si>
  <si>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</si>
  <si>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</si>
  <si>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</si>
  <si>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</si>
  <si>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</si>
  <si>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</si>
  <si>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</si>
  <si>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</si>
  <si>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</si>
  <si>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</si>
  <si>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</si>
  <si>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</si>
  <si>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</si>
  <si>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</si>
  <si>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</si>
  <si>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</si>
  <si>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</si>
  <si>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</si>
  <si>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</si>
  <si>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</si>
  <si>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</si>
  <si>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2026-01-02</t>
  </si>
  <si>
    <t>LD100424</t>
  </si>
  <si>
    <t>LD100724</t>
  </si>
  <si>
    <t>LD100824</t>
  </si>
  <si>
    <t>LD100924</t>
  </si>
  <si>
    <t>LD101024</t>
  </si>
  <si>
    <t>LD101124</t>
  </si>
  <si>
    <t>LD101424</t>
  </si>
  <si>
    <t>LD101524</t>
  </si>
  <si>
    <t>LD101624</t>
  </si>
  <si>
    <t>LD101724</t>
  </si>
  <si>
    <t>LD101824</t>
  </si>
  <si>
    <t>LD102124</t>
  </si>
  <si>
    <t>LD102224</t>
  </si>
  <si>
    <t>LD102324</t>
  </si>
  <si>
    <t>LD102424</t>
  </si>
  <si>
    <t>LD102524</t>
  </si>
  <si>
    <t>LD102824</t>
  </si>
  <si>
    <t>LD102924</t>
  </si>
  <si>
    <t>LD103024</t>
  </si>
  <si>
    <t>LD103124</t>
  </si>
  <si>
    <t>LD110424</t>
  </si>
  <si>
    <t>LD110524</t>
  </si>
  <si>
    <t>LD110624</t>
  </si>
  <si>
    <t>LD110724</t>
  </si>
  <si>
    <t>LD110824</t>
  </si>
  <si>
    <t>LD111124</t>
  </si>
  <si>
    <t>LD111224</t>
  </si>
  <si>
    <t>LD111324</t>
  </si>
  <si>
    <t>LD111424</t>
  </si>
  <si>
    <t>LD111524</t>
  </si>
  <si>
    <t>LD111824</t>
  </si>
  <si>
    <t>LD111924</t>
  </si>
  <si>
    <t>LD112024</t>
  </si>
  <si>
    <t>LD112124</t>
  </si>
  <si>
    <t>LD112224</t>
  </si>
  <si>
    <t>LD112524</t>
  </si>
  <si>
    <t>LD112624</t>
  </si>
  <si>
    <t>LD112724</t>
  </si>
  <si>
    <t>LD112824</t>
  </si>
  <si>
    <t>LD112924</t>
  </si>
  <si>
    <t>LD120424</t>
  </si>
  <si>
    <t>LD120524</t>
  </si>
  <si>
    <t>LD120624</t>
  </si>
  <si>
    <t>LD120924</t>
  </si>
  <si>
    <t>LD121024</t>
  </si>
  <si>
    <t>LD121124</t>
  </si>
  <si>
    <t>LD121224</t>
  </si>
  <si>
    <t>LD121324</t>
  </si>
  <si>
    <t>LD121624</t>
  </si>
  <si>
    <t>LD121724</t>
  </si>
  <si>
    <t>LD121824</t>
  </si>
  <si>
    <t>LD121924</t>
  </si>
  <si>
    <t>LD122024</t>
  </si>
  <si>
    <t>LD122324</t>
  </si>
  <si>
    <t>LD122424</t>
  </si>
  <si>
    <t>LD122524</t>
  </si>
  <si>
    <t>LD122624</t>
  </si>
  <si>
    <t>LD122724</t>
  </si>
  <si>
    <t>LD123024</t>
  </si>
  <si>
    <t>LD100423</t>
  </si>
  <si>
    <t>LD100523</t>
  </si>
  <si>
    <t>LD100623</t>
  </si>
  <si>
    <t>LD113023</t>
  </si>
  <si>
    <t>LD122623</t>
  </si>
  <si>
    <t>LD4Q23FINAL</t>
  </si>
  <si>
    <t>LD120324</t>
  </si>
  <si>
    <t>LD120124</t>
  </si>
  <si>
    <t>LD120224</t>
  </si>
  <si>
    <t>LD120223</t>
  </si>
  <si>
    <t>LD120323</t>
  </si>
  <si>
    <t>4Q Stream</t>
  </si>
  <si>
    <t>14. 11. 2025 13:47:29</t>
  </si>
  <si>
    <t>14. 11. 2025 13:47:30</t>
  </si>
  <si>
    <t>SW Tx Firm</t>
  </si>
  <si>
    <t>SW Tx ToGo</t>
  </si>
  <si>
    <t>FIRM + NonHW</t>
  </si>
  <si>
    <t>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</si>
</sst>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0.000"/>
    <numFmt numFmtId="169" formatCode="#,##0;\(#,##0\)"/>
    <numFmt numFmtId="170" formatCode="_(* #,##0_);_(* \(#,##0\);_(* &quot;-&quot;??_);_(@_)"/>
    <numFmt numFmtId="171" formatCode="0.0[$Pts];&quot;(&quot;0.0&quot; Pts)&quot;"/>
    <numFmt numFmtId="172" formatCode="0%;\(0%\)"/>
    <numFmt numFmtId="173" formatCode="0.000[$Pts];&quot;(&quot;0.000&quot; Pts)&quot;"/>
    <numFmt numFmtId="174" formatCode="0_);\(0\)"/>
    <numFmt numFmtId="175" formatCode="#,##0.0"/>
    <numFmt numFmtId="176" formatCode="[$$-409]#,##0"/>
    <numFmt numFmtId="177" formatCode="[$$-409]#,##0_);\([$$-409]#,##0\)"/>
    <numFmt numFmtId="178" formatCode="_(* #,##0.0_);_(* \(#,##0.0\);_(* &quot;-&quot;_);_(@_)"/>
    <numFmt numFmtId="181" formatCode="#,##0.##"/>
    <numFmt numFmtId="182" formatCode="0.00_);\(0.00\)"/>
    <numFmt numFmtId="183" formatCode="#,##0.000"/>
    <numFmt numFmtId="184" formatCode="#,##0.00;\(#,##0.00\)"/>
    <numFmt numFmtId="185" formatCode="0.0000"/>
    <numFmt numFmtId="187" formatCode="#,##0.000;\(#,##0.000\)"/>
    <numFmt numFmtId="188" formatCode="_(* #,##0.000_);_(* \(#,##0.000\);_(* &quot;-&quot;??_);_(@_)"/>
    <numFmt numFmtId="190" formatCode="#0"/>
    <numFmt numFmtId="196" formatCode="yyyy\-mm\-dd;@"/>
  </numFmts>
  <fonts count="89">
    <font>
      <sz val="11"/>
      <color theme="1"/>
      <name val="Calibri"/>
      <family val="2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rgb="FF002060"/>
      <name val="Calibri"/>
      <family val="2"/>
    </font>
    <font>
      <b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b/>
      <sz val="10"/>
      <color theme="3"/>
      <name val="Calibri"/>
      <family val="2"/>
    </font>
    <font>
      <b/>
      <sz val="14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5"/>
      <name val="Arial"/>
      <family val="2"/>
    </font>
    <font>
      <sz val="11"/>
      <color theme="5"/>
      <name val="Calibri"/>
      <family val="2"/>
      <scheme val="minor"/>
    </font>
    <font>
      <b/>
      <sz val="9"/>
      <name val="Calibri"/>
      <family val="2"/>
      <scheme val="minor"/>
    </font>
    <font>
      <b/>
      <u/>
      <sz val="10"/>
      <name val="Arial"/>
      <family val="2"/>
    </font>
    <font>
      <b/>
      <u/>
      <sz val="10"/>
      <color theme="3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9"/>
      <color rgb="FFFF0000"/>
      <name val="Arial"/>
      <family val="2"/>
    </font>
    <font>
      <sz val="9"/>
      <color theme="4"/>
      <name val="Arial"/>
      <family val="2"/>
    </font>
    <font>
      <sz val="9"/>
      <color rgb="FF00B050"/>
      <name val="Arial"/>
      <family val="2"/>
    </font>
    <font>
      <sz val="9"/>
      <color rgb="FFDB1594"/>
      <name val="Arial"/>
      <family val="2"/>
    </font>
    <font>
      <sz val="9"/>
      <color rgb="FF00B0F0"/>
      <name val="Arial"/>
      <family val="2"/>
    </font>
    <font>
      <sz val="9"/>
      <color rgb="FFCC00FF"/>
      <name val="Arial"/>
      <family val="2"/>
    </font>
    <font>
      <sz val="11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9"/>
      <name val="Calibri"/>
      <family val="2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4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Tahoma"/>
      <family val="2"/>
    </font>
    <font>
      <i/>
      <sz val="9"/>
      <name val="Arial"/>
      <family val="2"/>
    </font>
    <font>
      <sz val="8"/>
      <name val="Arial"/>
      <family val="2"/>
    </font>
    <font>
      <b/>
      <sz val="10.5"/>
      <color rgb="FF165D81"/>
      <name val="Calibri"/>
      <family val="2"/>
    </font>
    <font>
      <sz val="8"/>
      <name val="Calibri"/>
      <family val="2"/>
    </font>
    <font>
      <sz val="8"/>
      <color theme="1"/>
      <name val="Calibri"/>
      <family val="2"/>
      <charset val="238"/>
    </font>
    <font>
      <sz val="11"/>
      <color theme="1"/>
      <name val="IBM Plex Devanagari Medium"/>
      <family val="2"/>
    </font>
    <font>
      <b/>
      <sz val="16"/>
      <color rgb="FF92D050"/>
      <name val="Calibri"/>
      <family val="2"/>
    </font>
    <font>
      <b/>
      <sz val="16"/>
      <color rgb="FF1FDB1F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Calibri"/>
      <family val="2"/>
    </font>
    <font>
      <sz val="10"/>
      <color theme="0"/>
      <name val="Calibri"/>
      <family val="2"/>
      <scheme val="minor"/>
    </font>
    <font>
      <b/>
      <sz val="9"/>
      <name val="Calibri"/>
      <family val="2"/>
    </font>
    <font>
      <sz val="9"/>
      <color theme="0"/>
      <name val="Calibri"/>
      <family val="2"/>
    </font>
    <font>
      <sz val="9"/>
      <color rgb="FFFFFF99"/>
      <name val="Calibri"/>
      <family val="2"/>
    </font>
    <font>
      <i/>
      <sz val="11"/>
      <color rgb="FFFF0000"/>
      <name val="Calibri"/>
      <family val="2"/>
    </font>
    <font>
      <b/>
      <i/>
      <sz val="10"/>
      <color rgb="FFFF0000"/>
      <name val="Calibri"/>
      <family val="2"/>
    </font>
    <font>
      <i/>
      <sz val="9"/>
      <color rgb="FFFF000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0" tint="-0.14999847407452621"/>
      <name val="Calibri"/>
      <family val="2"/>
    </font>
    <font>
      <sz val="10.5"/>
      <color rgb="FF343334"/>
      <name val="IBM Plex Sans"/>
      <family val="2"/>
    </font>
    <font>
      <b/>
      <sz val="10"/>
      <color theme="0"/>
      <name val="Calibri"/>
      <family val="2"/>
    </font>
    <font>
      <sz val="9"/>
      <color theme="0" tint="-0.14999847407452621"/>
      <name val="Calibri"/>
      <family val="2"/>
    </font>
    <font>
      <b/>
      <sz val="16"/>
      <color theme="9" tint="-0.249977111117893"/>
      <name val="Calibri"/>
      <family val="2"/>
    </font>
    <font>
      <b/>
      <sz val="9"/>
      <color theme="0"/>
      <name val="Calibri"/>
      <family val="2"/>
    </font>
    <font>
      <b/>
      <sz val="10"/>
      <color rgb="FF1FDB1F"/>
      <name val="Calibri"/>
      <family val="2"/>
    </font>
    <font>
      <b/>
      <sz val="13"/>
      <color rgb="FFFFFFFF"/>
      <name val="Andale WT"/>
      <family val="2"/>
    </font>
    <font>
      <b/>
      <sz val="11"/>
      <color rgb="FFFFFFFF"/>
      <name val="Andale WT"/>
      <family val="2"/>
    </font>
    <font>
      <sz val="11"/>
      <color rgb="FFFFFFFF"/>
      <name val="Andale WT"/>
      <family val="2"/>
    </font>
    <font>
      <b/>
      <sz val="10"/>
      <color theme="1"/>
      <name val="Andale WT"/>
      <family val="2"/>
    </font>
    <font>
      <sz val="8"/>
      <color rgb="FF333333"/>
      <name val="Andale WT"/>
      <family val="2"/>
    </font>
    <font>
      <sz val="8"/>
      <color rgb="FF454545"/>
      <name val="Andale WT"/>
      <family val="2"/>
    </font>
    <font>
      <sz val="11"/>
      <name val="Calibri"/>
      <family val="2"/>
    </font>
    <font>
      <b/>
      <sz val="1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b/>
      <sz val="8"/>
      <color rgb="FF333333"/>
      <name val="Andale WT"/>
      <charset val="238"/>
    </font>
    <font>
      <sz val="10"/>
      <color rgb="FFFF000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7"/>
      <color theme="0" tint="-4.9989318521683403E-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BDD6E7"/>
        <bgColor indexed="64"/>
      </patternFill>
    </fill>
    <fill>
      <patternFill patternType="solid">
        <fgColor rgb="FFE5F2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49516B"/>
        <bgColor indexed="64"/>
      </patternFill>
    </fill>
    <fill>
      <patternFill patternType="solid">
        <fgColor rgb="FF9AAAC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BEBEB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BDD6E7"/>
        <bgColor rgb="FF000000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D87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4477BB"/>
      </patternFill>
    </fill>
    <fill>
      <patternFill patternType="solid">
        <fgColor rgb="FFE7E5E5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0BFC0"/>
      </left>
      <right style="medium">
        <color rgb="FFC0BFC0"/>
      </right>
      <top/>
      <bottom style="medium">
        <color rgb="FFC0BF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E2E2E2"/>
      </left>
      <right style="medium">
        <color rgb="FFE2E2E2"/>
      </right>
      <top/>
      <bottom style="thin">
        <color indexed="64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 style="thin">
        <color indexed="64"/>
      </left>
      <right style="medium">
        <color rgb="FFC0C0C0"/>
      </right>
      <top style="medium">
        <color rgb="FFC0C0C0"/>
      </top>
      <bottom/>
      <diagonal/>
    </border>
    <border>
      <left/>
      <right/>
      <top/>
      <bottom style="medium">
        <color rgb="FFC0C0C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9" fontId="4" fillId="0" borderId="0" applyFont="0" applyFill="0" applyBorder="0" applyAlignment="0" applyProtection="0"/>
    <xf numFmtId="0" fontId="9" fillId="6" borderId="1">
      <alignment horizontal="center" vertical="center"/>
    </xf>
    <xf numFmtId="0" fontId="8" fillId="7" borderId="1">
      <alignment horizontal="left" vertical="center"/>
    </xf>
    <xf numFmtId="0" fontId="11" fillId="6" borderId="1">
      <alignment horizontal="center" vertical="center"/>
    </xf>
    <xf numFmtId="0" fontId="15" fillId="0" borderId="1">
      <alignment horizontal="center" vertical="center"/>
    </xf>
    <xf numFmtId="0" fontId="8" fillId="7" borderId="1">
      <alignment horizontal="center" vertical="center"/>
    </xf>
    <xf numFmtId="0" fontId="9" fillId="7" borderId="1"/>
    <xf numFmtId="171" fontId="18" fillId="0" borderId="0"/>
    <xf numFmtId="166" fontId="25" fillId="0" borderId="0" applyFont="0" applyFill="0" applyBorder="0" applyAlignment="0" applyProtection="0"/>
    <xf numFmtId="171" fontId="18" fillId="0" borderId="0"/>
    <xf numFmtId="0" fontId="11" fillId="6" borderId="1">
      <alignment horizontal="left" vertical="center"/>
    </xf>
    <xf numFmtId="0" fontId="15" fillId="13" borderId="1"/>
    <xf numFmtId="0" fontId="6" fillId="7" borderId="1">
      <alignment horizontal="left" vertical="center"/>
    </xf>
    <xf numFmtId="0" fontId="25" fillId="0" borderId="0"/>
    <xf numFmtId="9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6" fillId="7" borderId="1">
      <alignment horizontal="center" vertical="center"/>
    </xf>
    <xf numFmtId="0" fontId="25" fillId="6" borderId="1">
      <alignment horizontal="left" vertical="center"/>
    </xf>
    <xf numFmtId="0" fontId="44" fillId="0" borderId="0"/>
    <xf numFmtId="0" fontId="45" fillId="0" borderId="0"/>
    <xf numFmtId="0" fontId="46" fillId="14" borderId="1"/>
    <xf numFmtId="0" fontId="46" fillId="6" borderId="1">
      <alignment horizontal="center" vertical="center"/>
    </xf>
    <xf numFmtId="0" fontId="46" fillId="15" borderId="1">
      <alignment horizontal="center" vertical="center"/>
    </xf>
    <xf numFmtId="0" fontId="47" fillId="0" borderId="1">
      <alignment horizontal="center" vertical="center"/>
    </xf>
    <xf numFmtId="0" fontId="48" fillId="0" borderId="27">
      <alignment horizontal="center" vertical="center"/>
    </xf>
    <xf numFmtId="0" fontId="48" fillId="0" borderId="28">
      <alignment horizontal="left" vertical="center"/>
    </xf>
    <xf numFmtId="0" fontId="46" fillId="7" borderId="1"/>
    <xf numFmtId="0" fontId="2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3">
    <xf numFmtId="0" fontId="0" fillId="0" borderId="0" xfId="0"/>
    <xf numFmtId="0" fontId="0" fillId="0" borderId="0" xfId="0" applyAlignment="1">
      <alignment horizontal="center"/>
    </xf>
    <xf numFmtId="0" fontId="0" fillId="4" borderId="0" xfId="0" applyFill="1"/>
    <xf numFmtId="167" fontId="0" fillId="0" borderId="0" xfId="0" applyNumberFormat="1"/>
    <xf numFmtId="0" fontId="6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7" fillId="0" borderId="0" xfId="0" applyFont="1"/>
    <xf numFmtId="2" fontId="0" fillId="0" borderId="0" xfId="0" applyNumberFormat="1"/>
    <xf numFmtId="0" fontId="0" fillId="5" borderId="0" xfId="0" applyFill="1" applyAlignment="1">
      <alignment horizontal="center"/>
    </xf>
    <xf numFmtId="0" fontId="9" fillId="6" borderId="1" xfId="2">
      <alignment horizontal="center" vertical="center"/>
    </xf>
    <xf numFmtId="0" fontId="9" fillId="6" borderId="1" xfId="2" quotePrefix="1">
      <alignment horizontal="center" vertical="center"/>
    </xf>
    <xf numFmtId="0" fontId="9" fillId="3" borderId="1" xfId="2" quotePrefix="1" applyFill="1">
      <alignment horizontal="center" vertical="center"/>
    </xf>
    <xf numFmtId="0" fontId="15" fillId="0" borderId="1" xfId="5">
      <alignment horizontal="center" vertical="center"/>
    </xf>
    <xf numFmtId="49" fontId="8" fillId="7" borderId="1" xfId="6" quotePrefix="1" applyNumberFormat="1">
      <alignment horizontal="center" vertical="center"/>
    </xf>
    <xf numFmtId="0" fontId="0" fillId="6" borderId="1" xfId="4" quotePrefix="1" applyFont="1">
      <alignment horizontal="center" vertical="center"/>
    </xf>
    <xf numFmtId="49" fontId="17" fillId="7" borderId="1" xfId="3" quotePrefix="1" applyNumberFormat="1" applyFont="1" applyAlignment="1">
      <alignment horizontal="left" vertical="center" indent="3"/>
    </xf>
    <xf numFmtId="49" fontId="8" fillId="7" borderId="1" xfId="3" quotePrefix="1" applyNumberFormat="1" applyAlignment="1">
      <alignment horizontal="left" vertical="center" indent="1"/>
    </xf>
    <xf numFmtId="0" fontId="6" fillId="0" borderId="0" xfId="0" applyFont="1"/>
    <xf numFmtId="2" fontId="6" fillId="0" borderId="0" xfId="0" applyNumberFormat="1" applyFont="1" applyAlignment="1">
      <alignment horizontal="center"/>
    </xf>
    <xf numFmtId="49" fontId="8" fillId="7" borderId="1" xfId="3" quotePrefix="1" applyNumberFormat="1" applyAlignment="1">
      <alignment horizontal="left" vertical="center" indent="3"/>
    </xf>
    <xf numFmtId="49" fontId="8" fillId="7" borderId="1" xfId="3" quotePrefix="1" applyNumberFormat="1" applyAlignment="1">
      <alignment horizontal="left" vertical="center" indent="2"/>
    </xf>
    <xf numFmtId="49" fontId="11" fillId="7" borderId="1" xfId="3" quotePrefix="1" applyNumberFormat="1" applyFont="1" applyAlignment="1">
      <alignment horizontal="left" vertical="center" indent="3"/>
    </xf>
    <xf numFmtId="49" fontId="17" fillId="7" borderId="1" xfId="3" quotePrefix="1" applyNumberFormat="1" applyFont="1" applyAlignment="1">
      <alignment horizontal="left" vertical="center" indent="2"/>
    </xf>
    <xf numFmtId="49" fontId="11" fillId="7" borderId="1" xfId="3" quotePrefix="1" applyNumberFormat="1" applyFont="1" applyAlignment="1">
      <alignment horizontal="left" vertical="center" indent="2"/>
    </xf>
    <xf numFmtId="49" fontId="17" fillId="7" borderId="1" xfId="3" quotePrefix="1" applyNumberFormat="1" applyFont="1" applyAlignment="1">
      <alignment horizontal="left" vertical="center" indent="1"/>
    </xf>
    <xf numFmtId="49" fontId="11" fillId="7" borderId="1" xfId="3" quotePrefix="1" applyNumberFormat="1" applyFont="1" applyAlignment="1">
      <alignment horizontal="left" vertical="center" indent="1"/>
    </xf>
    <xf numFmtId="171" fontId="18" fillId="0" borderId="0" xfId="8"/>
    <xf numFmtId="171" fontId="22" fillId="2" borderId="0" xfId="8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71" fontId="23" fillId="0" borderId="0" xfId="8" applyFont="1" applyAlignment="1">
      <alignment wrapText="1"/>
    </xf>
    <xf numFmtId="171" fontId="23" fillId="0" borderId="0" xfId="8" applyFont="1"/>
    <xf numFmtId="170" fontId="18" fillId="0" borderId="0" xfId="9" applyNumberFormat="1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171" fontId="26" fillId="0" borderId="0" xfId="8" applyFont="1"/>
    <xf numFmtId="0" fontId="18" fillId="0" borderId="0" xfId="9" quotePrefix="1" applyNumberFormat="1" applyFont="1"/>
    <xf numFmtId="171" fontId="34" fillId="4" borderId="0" xfId="10" applyFont="1" applyFill="1"/>
    <xf numFmtId="171" fontId="35" fillId="4" borderId="0" xfId="10" applyFont="1" applyFill="1"/>
    <xf numFmtId="3" fontId="34" fillId="4" borderId="0" xfId="8" applyNumberFormat="1" applyFont="1" applyFill="1" applyAlignment="1">
      <alignment horizontal="center"/>
    </xf>
    <xf numFmtId="172" fontId="34" fillId="4" borderId="0" xfId="8" applyNumberFormat="1" applyFont="1" applyFill="1" applyAlignment="1">
      <alignment horizontal="center"/>
    </xf>
    <xf numFmtId="171" fontId="34" fillId="8" borderId="0" xfId="10" applyFont="1" applyFill="1"/>
    <xf numFmtId="171" fontId="36" fillId="8" borderId="0" xfId="10" applyFont="1" applyFill="1" applyAlignment="1">
      <alignment horizontal="left" indent="1"/>
    </xf>
    <xf numFmtId="171" fontId="35" fillId="8" borderId="0" xfId="10" applyFont="1" applyFill="1"/>
    <xf numFmtId="37" fontId="34" fillId="4" borderId="0" xfId="8" applyNumberFormat="1" applyFont="1" applyFill="1" applyAlignment="1">
      <alignment horizontal="center"/>
    </xf>
    <xf numFmtId="174" fontId="37" fillId="4" borderId="1" xfId="8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6" borderId="1" xfId="4">
      <alignment horizontal="center" vertical="center"/>
    </xf>
    <xf numFmtId="49" fontId="11" fillId="6" borderId="1" xfId="4" applyNumberFormat="1">
      <alignment horizontal="center" vertical="center"/>
    </xf>
    <xf numFmtId="49" fontId="11" fillId="6" borderId="1" xfId="11" applyNumberFormat="1" applyAlignment="1">
      <alignment horizontal="left" vertical="center" indent="4"/>
    </xf>
    <xf numFmtId="49" fontId="11" fillId="6" borderId="1" xfId="11" applyNumberFormat="1" applyAlignment="1">
      <alignment horizontal="left" vertical="center" indent="2"/>
    </xf>
    <xf numFmtId="4" fontId="15" fillId="13" borderId="1" xfId="12" applyNumberFormat="1"/>
    <xf numFmtId="49" fontId="11" fillId="6" borderId="1" xfId="11" applyNumberFormat="1" applyAlignment="1">
      <alignment horizontal="left" vertical="center" indent="5"/>
    </xf>
    <xf numFmtId="4" fontId="0" fillId="0" borderId="0" xfId="0" applyNumberFormat="1"/>
    <xf numFmtId="4" fontId="6" fillId="0" borderId="0" xfId="0" applyNumberFormat="1" applyFont="1"/>
    <xf numFmtId="4" fontId="40" fillId="0" borderId="0" xfId="0" applyNumberFormat="1" applyFont="1"/>
    <xf numFmtId="0" fontId="15" fillId="0" borderId="14" xfId="5" applyBorder="1">
      <alignment horizontal="center" vertical="center"/>
    </xf>
    <xf numFmtId="49" fontId="8" fillId="7" borderId="14" xfId="3" quotePrefix="1" applyNumberFormat="1" applyBorder="1" applyAlignment="1">
      <alignment horizontal="left" vertical="center" indent="1"/>
    </xf>
    <xf numFmtId="49" fontId="8" fillId="7" borderId="14" xfId="3" quotePrefix="1" applyNumberFormat="1" applyBorder="1" applyAlignment="1">
      <alignment horizontal="left" vertical="center" indent="2"/>
    </xf>
    <xf numFmtId="49" fontId="11" fillId="7" borderId="14" xfId="3" quotePrefix="1" applyNumberFormat="1" applyFont="1" applyBorder="1" applyAlignment="1">
      <alignment horizontal="left" vertical="center" indent="5"/>
    </xf>
    <xf numFmtId="49" fontId="11" fillId="7" borderId="14" xfId="3" quotePrefix="1" applyNumberFormat="1" applyFont="1" applyBorder="1" applyAlignment="1">
      <alignment horizontal="left" vertical="center" indent="6"/>
    </xf>
    <xf numFmtId="49" fontId="11" fillId="7" borderId="14" xfId="3" quotePrefix="1" applyNumberFormat="1" applyFont="1" applyBorder="1" applyAlignment="1">
      <alignment horizontal="left" vertical="center" indent="4"/>
    </xf>
    <xf numFmtId="49" fontId="11" fillId="7" borderId="14" xfId="3" quotePrefix="1" applyNumberFormat="1" applyFont="1" applyBorder="1" applyAlignment="1">
      <alignment horizontal="left" vertical="center" indent="3"/>
    </xf>
    <xf numFmtId="0" fontId="39" fillId="0" borderId="16" xfId="0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49" fontId="8" fillId="7" borderId="19" xfId="6" quotePrefix="1" applyNumberFormat="1" applyBorder="1">
      <alignment horizontal="center" vertical="center"/>
    </xf>
    <xf numFmtId="49" fontId="8" fillId="7" borderId="20" xfId="6" quotePrefix="1" applyNumberFormat="1" applyBorder="1">
      <alignment horizontal="center" vertical="center"/>
    </xf>
    <xf numFmtId="0" fontId="0" fillId="6" borderId="19" xfId="4" quotePrefix="1" applyFont="1" applyBorder="1">
      <alignment horizontal="center" vertical="center"/>
    </xf>
    <xf numFmtId="0" fontId="0" fillId="6" borderId="20" xfId="4" quotePrefix="1" applyFont="1" applyBorder="1">
      <alignment horizontal="center" vertical="center"/>
    </xf>
    <xf numFmtId="2" fontId="6" fillId="0" borderId="21" xfId="0" applyNumberFormat="1" applyFont="1" applyBorder="1"/>
    <xf numFmtId="2" fontId="6" fillId="0" borderId="0" xfId="0" applyNumberFormat="1" applyFont="1"/>
    <xf numFmtId="2" fontId="6" fillId="0" borderId="22" xfId="0" applyNumberFormat="1" applyFont="1" applyBorder="1"/>
    <xf numFmtId="2" fontId="0" fillId="0" borderId="21" xfId="0" applyNumberFormat="1" applyBorder="1"/>
    <xf numFmtId="2" fontId="0" fillId="0" borderId="22" xfId="0" applyNumberFormat="1" applyBorder="1"/>
    <xf numFmtId="2" fontId="6" fillId="3" borderId="21" xfId="0" applyNumberFormat="1" applyFont="1" applyFill="1" applyBorder="1"/>
    <xf numFmtId="2" fontId="0" fillId="0" borderId="23" xfId="0" applyNumberFormat="1" applyBorder="1"/>
    <xf numFmtId="2" fontId="0" fillId="0" borderId="24" xfId="0" applyNumberFormat="1" applyBorder="1"/>
    <xf numFmtId="2" fontId="0" fillId="0" borderId="25" xfId="0" applyNumberFormat="1" applyBorder="1"/>
    <xf numFmtId="2" fontId="6" fillId="0" borderId="21" xfId="0" applyNumberFormat="1" applyFont="1" applyBorder="1" applyAlignment="1">
      <alignment horizontal="center"/>
    </xf>
    <xf numFmtId="2" fontId="6" fillId="0" borderId="22" xfId="0" applyNumberFormat="1" applyFon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25" xfId="0" applyNumberFormat="1" applyBorder="1" applyAlignment="1">
      <alignment horizontal="center"/>
    </xf>
    <xf numFmtId="0" fontId="42" fillId="4" borderId="0" xfId="0" applyFont="1" applyFill="1" applyAlignment="1">
      <alignment horizontal="center" vertical="center"/>
    </xf>
    <xf numFmtId="49" fontId="8" fillId="4" borderId="14" xfId="6" quotePrefix="1" applyNumberFormat="1" applyFill="1" applyBorder="1">
      <alignment horizontal="center" vertical="center"/>
    </xf>
    <xf numFmtId="0" fontId="0" fillId="4" borderId="0" xfId="0" applyFill="1" applyAlignment="1">
      <alignment horizontal="center"/>
    </xf>
    <xf numFmtId="0" fontId="0" fillId="4" borderId="14" xfId="4" quotePrefix="1" applyFont="1" applyFill="1" applyBorder="1">
      <alignment horizontal="center" vertical="center"/>
    </xf>
    <xf numFmtId="2" fontId="6" fillId="4" borderId="0" xfId="0" applyNumberFormat="1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171" fontId="18" fillId="4" borderId="0" xfId="8" applyFill="1"/>
    <xf numFmtId="171" fontId="23" fillId="4" borderId="0" xfId="8" applyFont="1" applyFill="1" applyAlignment="1">
      <alignment wrapText="1"/>
    </xf>
    <xf numFmtId="171" fontId="26" fillId="4" borderId="0" xfId="8" applyFont="1" applyFill="1"/>
    <xf numFmtId="171" fontId="32" fillId="4" borderId="0" xfId="8" applyFont="1" applyFill="1"/>
    <xf numFmtId="171" fontId="19" fillId="4" borderId="0" xfId="8" applyFont="1" applyFill="1" applyAlignment="1">
      <alignment vertical="center" wrapText="1"/>
    </xf>
    <xf numFmtId="0" fontId="25" fillId="0" borderId="0" xfId="28"/>
    <xf numFmtId="49" fontId="11" fillId="6" borderId="1" xfId="11" applyNumberFormat="1" applyAlignment="1">
      <alignment horizontal="left" vertical="center" indent="1"/>
    </xf>
    <xf numFmtId="169" fontId="15" fillId="13" borderId="1" xfId="12" applyNumberFormat="1"/>
    <xf numFmtId="49" fontId="11" fillId="6" borderId="1" xfId="11" applyNumberFormat="1" applyAlignment="1">
      <alignment horizontal="left" vertical="center" indent="3"/>
    </xf>
    <xf numFmtId="49" fontId="15" fillId="6" borderId="1" xfId="4" quotePrefix="1" applyNumberFormat="1" applyFont="1" applyAlignment="1">
      <alignment horizontal="center" vertical="center" wrapText="1"/>
    </xf>
    <xf numFmtId="49" fontId="15" fillId="18" borderId="1" xfId="4" quotePrefix="1" applyNumberFormat="1" applyFont="1" applyFill="1" applyAlignment="1">
      <alignment horizontal="center" vertical="center" wrapText="1"/>
    </xf>
    <xf numFmtId="0" fontId="39" fillId="0" borderId="17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/>
    <xf numFmtId="0" fontId="15" fillId="4" borderId="0" xfId="0" applyFont="1" applyFill="1"/>
    <xf numFmtId="0" fontId="10" fillId="3" borderId="0" xfId="0" applyFont="1" applyFill="1" applyAlignment="1">
      <alignment horizontal="center"/>
    </xf>
    <xf numFmtId="0" fontId="15" fillId="3" borderId="0" xfId="0" applyFont="1" applyFill="1"/>
    <xf numFmtId="0" fontId="15" fillId="3" borderId="0" xfId="0" applyFont="1" applyFill="1" applyAlignment="1">
      <alignment horizontal="center"/>
    </xf>
    <xf numFmtId="0" fontId="15" fillId="0" borderId="16" xfId="0" applyFont="1" applyBorder="1"/>
    <xf numFmtId="0" fontId="15" fillId="0" borderId="18" xfId="0" applyFont="1" applyBorder="1" applyAlignment="1">
      <alignment horizontal="center"/>
    </xf>
    <xf numFmtId="0" fontId="15" fillId="0" borderId="21" xfId="0" applyFont="1" applyBorder="1"/>
    <xf numFmtId="0" fontId="15" fillId="0" borderId="22" xfId="0" applyFont="1" applyBorder="1" applyAlignment="1">
      <alignment horizontal="center"/>
    </xf>
    <xf numFmtId="0" fontId="15" fillId="3" borderId="22" xfId="0" applyFont="1" applyFill="1" applyBorder="1" applyAlignment="1">
      <alignment horizontal="center"/>
    </xf>
    <xf numFmtId="0" fontId="15" fillId="0" borderId="23" xfId="0" applyFont="1" applyBorder="1"/>
    <xf numFmtId="0" fontId="15" fillId="3" borderId="24" xfId="0" applyFont="1" applyFill="1" applyBorder="1"/>
    <xf numFmtId="0" fontId="15" fillId="3" borderId="25" xfId="0" applyFont="1" applyFill="1" applyBorder="1" applyAlignment="1">
      <alignment horizontal="center"/>
    </xf>
    <xf numFmtId="171" fontId="24" fillId="4" borderId="0" xfId="8" applyFont="1" applyFill="1"/>
    <xf numFmtId="171" fontId="23" fillId="4" borderId="0" xfId="8" applyFont="1" applyFill="1"/>
    <xf numFmtId="169" fontId="10" fillId="13" borderId="1" xfId="12" applyNumberFormat="1" applyFont="1" applyAlignment="1">
      <alignment horizontal="center"/>
    </xf>
    <xf numFmtId="169" fontId="10" fillId="17" borderId="1" xfId="12" applyNumberFormat="1" applyFont="1" applyFill="1" applyAlignment="1">
      <alignment horizontal="center"/>
    </xf>
    <xf numFmtId="169" fontId="15" fillId="4" borderId="1" xfId="12" applyNumberFormat="1" applyFill="1" applyAlignment="1">
      <alignment horizontal="center"/>
    </xf>
    <xf numFmtId="174" fontId="13" fillId="4" borderId="1" xfId="8" applyNumberFormat="1" applyFont="1" applyFill="1" applyBorder="1" applyAlignment="1">
      <alignment horizontal="center"/>
    </xf>
    <xf numFmtId="172" fontId="37" fillId="4" borderId="1" xfId="8" applyNumberFormat="1" applyFont="1" applyFill="1" applyBorder="1" applyAlignment="1">
      <alignment horizontal="center"/>
    </xf>
    <xf numFmtId="0" fontId="15" fillId="13" borderId="1" xfId="12"/>
    <xf numFmtId="0" fontId="11" fillId="6" borderId="1" xfId="11" applyAlignment="1">
      <alignment horizontal="left" vertical="center" indent="3"/>
    </xf>
    <xf numFmtId="0" fontId="11" fillId="6" borderId="1" xfId="11" applyAlignment="1">
      <alignment horizontal="left" vertical="center" indent="4"/>
    </xf>
    <xf numFmtId="165" fontId="25" fillId="0" borderId="0" xfId="29" applyFont="1" applyAlignment="1">
      <alignment horizontal="center"/>
    </xf>
    <xf numFmtId="0" fontId="38" fillId="0" borderId="0" xfId="0" applyFont="1" applyAlignment="1">
      <alignment horizontal="center"/>
    </xf>
    <xf numFmtId="4" fontId="38" fillId="0" borderId="0" xfId="0" applyNumberFormat="1" applyFont="1"/>
    <xf numFmtId="0" fontId="11" fillId="6" borderId="1" xfId="11" applyAlignment="1">
      <alignment horizontal="left" vertical="center" indent="6"/>
    </xf>
    <xf numFmtId="0" fontId="11" fillId="6" borderId="1" xfId="4" quotePrefix="1">
      <alignment horizontal="center" vertical="center"/>
    </xf>
    <xf numFmtId="0" fontId="11" fillId="6" borderId="1" xfId="11" applyAlignment="1">
      <alignment horizontal="left" vertical="center" indent="5"/>
    </xf>
    <xf numFmtId="0" fontId="11" fillId="0" borderId="1" xfId="5" applyFont="1">
      <alignment horizontal="center" vertical="center"/>
    </xf>
    <xf numFmtId="0" fontId="11" fillId="0" borderId="0" xfId="0" applyFont="1"/>
    <xf numFmtId="4" fontId="11" fillId="0" borderId="1" xfId="5" applyNumberFormat="1" applyFont="1">
      <alignment horizontal="center" vertical="center"/>
    </xf>
    <xf numFmtId="0" fontId="38" fillId="0" borderId="0" xfId="0" applyFont="1"/>
    <xf numFmtId="0" fontId="38" fillId="4" borderId="0" xfId="0" applyFont="1" applyFill="1"/>
    <xf numFmtId="0" fontId="0" fillId="4" borderId="6" xfId="0" applyFill="1" applyBorder="1"/>
    <xf numFmtId="0" fontId="0" fillId="4" borderId="5" xfId="0" applyFill="1" applyBorder="1"/>
    <xf numFmtId="0" fontId="0" fillId="4" borderId="12" xfId="0" applyFill="1" applyBorder="1"/>
    <xf numFmtId="0" fontId="0" fillId="4" borderId="10" xfId="0" applyFill="1" applyBorder="1"/>
    <xf numFmtId="0" fontId="13" fillId="4" borderId="0" xfId="0" applyFont="1" applyFill="1"/>
    <xf numFmtId="177" fontId="13" fillId="4" borderId="5" xfId="0" applyNumberFormat="1" applyFont="1" applyFill="1" applyBorder="1" applyAlignment="1">
      <alignment horizontal="right"/>
    </xf>
    <xf numFmtId="49" fontId="0" fillId="0" borderId="0" xfId="0" applyNumberFormat="1" applyAlignment="1">
      <alignment horizontal="right"/>
    </xf>
    <xf numFmtId="0" fontId="39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2" fontId="6" fillId="0" borderId="1" xfId="0" applyNumberFormat="1" applyFont="1" applyBorder="1"/>
    <xf numFmtId="2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/>
    </xf>
    <xf numFmtId="0" fontId="0" fillId="0" borderId="16" xfId="0" applyBorder="1"/>
    <xf numFmtId="0" fontId="0" fillId="0" borderId="18" xfId="0" applyBorder="1"/>
    <xf numFmtId="0" fontId="0" fillId="0" borderId="21" xfId="0" applyBorder="1"/>
    <xf numFmtId="1" fontId="0" fillId="0" borderId="22" xfId="0" applyNumberFormat="1" applyBorder="1" applyAlignment="1">
      <alignment horizontal="center"/>
    </xf>
    <xf numFmtId="0" fontId="0" fillId="0" borderId="23" xfId="0" applyBorder="1"/>
    <xf numFmtId="1" fontId="0" fillId="0" borderId="25" xfId="0" applyNumberFormat="1" applyBorder="1" applyAlignment="1">
      <alignment horizontal="center"/>
    </xf>
    <xf numFmtId="0" fontId="11" fillId="4" borderId="0" xfId="0" applyFont="1" applyFill="1"/>
    <xf numFmtId="3" fontId="37" fillId="4" borderId="1" xfId="8" applyNumberFormat="1" applyFont="1" applyFill="1" applyBorder="1" applyAlignment="1">
      <alignment horizontal="center"/>
    </xf>
    <xf numFmtId="175" fontId="0" fillId="4" borderId="0" xfId="0" applyNumberFormat="1" applyFill="1"/>
    <xf numFmtId="174" fontId="13" fillId="4" borderId="0" xfId="8" applyNumberFormat="1" applyFont="1" applyFill="1" applyAlignment="1">
      <alignment horizontal="center"/>
    </xf>
    <xf numFmtId="174" fontId="37" fillId="4" borderId="0" xfId="8" applyNumberFormat="1" applyFont="1" applyFill="1" applyAlignment="1">
      <alignment horizontal="center"/>
    </xf>
    <xf numFmtId="172" fontId="37" fillId="4" borderId="0" xfId="8" applyNumberFormat="1" applyFont="1" applyFill="1" applyAlignment="1">
      <alignment horizontal="center"/>
    </xf>
    <xf numFmtId="165" fontId="6" fillId="0" borderId="0" xfId="29" applyFont="1" applyAlignment="1">
      <alignment horizontal="center"/>
    </xf>
    <xf numFmtId="9" fontId="0" fillId="0" borderId="0" xfId="1" applyFont="1"/>
    <xf numFmtId="2" fontId="0" fillId="0" borderId="21" xfId="0" applyNumberFormat="1" applyBorder="1" applyAlignment="1">
      <alignment horizontal="left" indent="1"/>
    </xf>
    <xf numFmtId="2" fontId="0" fillId="0" borderId="22" xfId="0" applyNumberFormat="1" applyBorder="1" applyAlignment="1">
      <alignment horizontal="left" indent="1"/>
    </xf>
    <xf numFmtId="4" fontId="0" fillId="4" borderId="0" xfId="0" applyNumberFormat="1" applyFill="1"/>
    <xf numFmtId="0" fontId="0" fillId="20" borderId="0" xfId="0" applyFill="1" applyAlignment="1">
      <alignment horizontal="center"/>
    </xf>
    <xf numFmtId="0" fontId="13" fillId="0" borderId="0" xfId="0" applyFont="1"/>
    <xf numFmtId="49" fontId="13" fillId="6" borderId="1" xfId="11" quotePrefix="1" applyNumberFormat="1" applyFont="1" applyAlignment="1">
      <alignment horizontal="left" vertical="center" indent="3"/>
    </xf>
    <xf numFmtId="49" fontId="13" fillId="6" borderId="1" xfId="11" quotePrefix="1" applyNumberFormat="1" applyFont="1" applyAlignment="1">
      <alignment horizontal="left" vertical="center" indent="4"/>
    </xf>
    <xf numFmtId="169" fontId="15" fillId="4" borderId="1" xfId="12" applyNumberFormat="1" applyFill="1"/>
    <xf numFmtId="169" fontId="15" fillId="13" borderId="1" xfId="12" applyNumberFormat="1" applyAlignment="1">
      <alignment horizontal="center"/>
    </xf>
    <xf numFmtId="169" fontId="15" fillId="13" borderId="14" xfId="12" applyNumberFormat="1" applyBorder="1"/>
    <xf numFmtId="169" fontId="15" fillId="13" borderId="14" xfId="12" applyNumberFormat="1" applyBorder="1" applyAlignment="1">
      <alignment horizontal="center"/>
    </xf>
    <xf numFmtId="169" fontId="15" fillId="13" borderId="9" xfId="12" applyNumberFormat="1" applyBorder="1"/>
    <xf numFmtId="169" fontId="15" fillId="13" borderId="9" xfId="12" applyNumberFormat="1" applyBorder="1" applyAlignment="1">
      <alignment horizontal="center"/>
    </xf>
    <xf numFmtId="0" fontId="15" fillId="4" borderId="0" xfId="12" applyFill="1" applyBorder="1"/>
    <xf numFmtId="169" fontId="15" fillId="4" borderId="0" xfId="12" applyNumberFormat="1" applyFill="1" applyBorder="1"/>
    <xf numFmtId="0" fontId="15" fillId="6" borderId="1" xfId="4" quotePrefix="1" applyFont="1" applyAlignment="1">
      <alignment horizontal="center" vertical="center" wrapText="1"/>
    </xf>
    <xf numFmtId="0" fontId="15" fillId="6" borderId="14" xfId="4" quotePrefix="1" applyFont="1" applyBorder="1" applyAlignment="1">
      <alignment horizontal="center" vertical="center" wrapText="1"/>
    </xf>
    <xf numFmtId="0" fontId="15" fillId="4" borderId="0" xfId="4" quotePrefix="1" applyFont="1" applyFill="1" applyBorder="1" applyAlignment="1">
      <alignment horizontal="center" vertical="center" wrapText="1"/>
    </xf>
    <xf numFmtId="0" fontId="15" fillId="6" borderId="9" xfId="4" quotePrefix="1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3" fillId="0" borderId="1" xfId="5" applyFont="1" applyAlignment="1">
      <alignment horizontal="center" vertical="center" wrapText="1"/>
    </xf>
    <xf numFmtId="0" fontId="13" fillId="6" borderId="1" xfId="11" quotePrefix="1" applyFont="1" applyAlignment="1">
      <alignment horizontal="left" vertical="center" indent="4"/>
    </xf>
    <xf numFmtId="0" fontId="13" fillId="6" borderId="1" xfId="11" quotePrefix="1" applyFont="1" applyAlignment="1">
      <alignment horizontal="left" vertical="center" indent="3"/>
    </xf>
    <xf numFmtId="0" fontId="13" fillId="6" borderId="1" xfId="11" quotePrefix="1" applyFont="1" applyAlignment="1">
      <alignment horizontal="left" vertical="center" indent="5"/>
    </xf>
    <xf numFmtId="0" fontId="13" fillId="6" borderId="1" xfId="11" quotePrefix="1" applyFont="1" applyAlignment="1">
      <alignment horizontal="left" vertical="center" indent="6"/>
    </xf>
    <xf numFmtId="0" fontId="13" fillId="6" borderId="1" xfId="11" quotePrefix="1" applyFont="1" applyAlignment="1">
      <alignment horizontal="left" vertical="center" indent="2"/>
    </xf>
    <xf numFmtId="49" fontId="13" fillId="6" borderId="1" xfId="11" quotePrefix="1" applyNumberFormat="1" applyFont="1" applyAlignment="1">
      <alignment horizontal="left" vertical="center" indent="5"/>
    </xf>
    <xf numFmtId="49" fontId="13" fillId="6" borderId="1" xfId="11" quotePrefix="1" applyNumberFormat="1" applyFont="1" applyAlignment="1">
      <alignment horizontal="left" vertical="center" indent="6"/>
    </xf>
    <xf numFmtId="0" fontId="0" fillId="22" borderId="0" xfId="0" applyFill="1" applyAlignment="1">
      <alignment horizontal="center"/>
    </xf>
    <xf numFmtId="0" fontId="56" fillId="4" borderId="0" xfId="0" applyFont="1" applyFill="1" applyAlignment="1">
      <alignment horizontal="center"/>
    </xf>
    <xf numFmtId="0" fontId="15" fillId="4" borderId="0" xfId="0" applyFont="1" applyFill="1" applyAlignment="1">
      <alignment wrapText="1"/>
    </xf>
    <xf numFmtId="0" fontId="11" fillId="4" borderId="0" xfId="0" applyFont="1" applyFill="1" applyAlignment="1">
      <alignment horizontal="center" wrapText="1"/>
    </xf>
    <xf numFmtId="0" fontId="13" fillId="6" borderId="15" xfId="11" quotePrefix="1" applyFont="1" applyBorder="1" applyAlignment="1">
      <alignment horizontal="left" vertical="center" indent="4"/>
    </xf>
    <xf numFmtId="0" fontId="13" fillId="6" borderId="15" xfId="11" quotePrefix="1" applyFont="1" applyBorder="1" applyAlignment="1">
      <alignment horizontal="left" vertical="center" indent="1"/>
    </xf>
    <xf numFmtId="0" fontId="13" fillId="4" borderId="0" xfId="5" applyFont="1" applyFill="1" applyBorder="1" applyAlignment="1">
      <alignment horizontal="center" vertical="center" wrapText="1"/>
    </xf>
    <xf numFmtId="0" fontId="15" fillId="4" borderId="0" xfId="5" applyFill="1" applyBorder="1">
      <alignment horizontal="center" vertical="center"/>
    </xf>
    <xf numFmtId="0" fontId="11" fillId="0" borderId="14" xfId="5" applyFont="1" applyBorder="1" applyAlignment="1">
      <alignment vertical="center"/>
    </xf>
    <xf numFmtId="0" fontId="15" fillId="0" borderId="14" xfId="5" applyBorder="1" applyAlignment="1">
      <alignment vertical="center"/>
    </xf>
    <xf numFmtId="4" fontId="40" fillId="4" borderId="0" xfId="0" applyNumberFormat="1" applyFont="1" applyFill="1"/>
    <xf numFmtId="49" fontId="11" fillId="6" borderId="1" xfId="11" applyNumberFormat="1" applyAlignment="1">
      <alignment horizontal="left" vertical="center" indent="7"/>
    </xf>
    <xf numFmtId="3" fontId="0" fillId="0" borderId="0" xfId="0" applyNumberFormat="1"/>
    <xf numFmtId="0" fontId="15" fillId="0" borderId="0" xfId="0" applyFont="1" applyAlignment="1">
      <alignment horizontal="right"/>
    </xf>
    <xf numFmtId="0" fontId="0" fillId="12" borderId="0" xfId="0" applyFill="1" applyAlignment="1">
      <alignment horizontal="center"/>
    </xf>
    <xf numFmtId="49" fontId="11" fillId="7" borderId="14" xfId="3" quotePrefix="1" applyNumberFormat="1" applyFont="1" applyBorder="1">
      <alignment horizontal="left" vertical="center"/>
    </xf>
    <xf numFmtId="49" fontId="11" fillId="7" borderId="1" xfId="3" quotePrefix="1" applyNumberFormat="1" applyFont="1">
      <alignment horizontal="left" vertical="center"/>
    </xf>
    <xf numFmtId="0" fontId="11" fillId="6" borderId="1" xfId="11" quotePrefix="1">
      <alignment horizontal="left" vertical="center"/>
    </xf>
    <xf numFmtId="37" fontId="34" fillId="11" borderId="0" xfId="8" applyNumberFormat="1" applyFont="1" applyFill="1" applyAlignment="1">
      <alignment horizontal="center"/>
    </xf>
    <xf numFmtId="174" fontId="37" fillId="11" borderId="1" xfId="8" applyNumberFormat="1" applyFont="1" applyFill="1" applyBorder="1" applyAlignment="1">
      <alignment horizontal="center"/>
    </xf>
    <xf numFmtId="174" fontId="37" fillId="11" borderId="0" xfId="8" applyNumberFormat="1" applyFont="1" applyFill="1" applyAlignment="1">
      <alignment horizontal="center"/>
    </xf>
    <xf numFmtId="0" fontId="57" fillId="23" borderId="0" xfId="0" applyFont="1" applyFill="1" applyAlignment="1">
      <alignment horizontal="center" vertical="center" wrapText="1"/>
    </xf>
    <xf numFmtId="0" fontId="57" fillId="10" borderId="0" xfId="0" quotePrefix="1" applyFont="1" applyFill="1" applyAlignment="1">
      <alignment horizontal="center" vertical="center" wrapText="1"/>
    </xf>
    <xf numFmtId="0" fontId="57" fillId="23" borderId="0" xfId="0" quotePrefix="1" applyFont="1" applyFill="1" applyAlignment="1">
      <alignment horizontal="center" vertical="center" wrapText="1"/>
    </xf>
    <xf numFmtId="3" fontId="58" fillId="11" borderId="1" xfId="8" applyNumberFormat="1" applyFont="1" applyFill="1" applyBorder="1" applyAlignment="1">
      <alignment horizontal="center"/>
    </xf>
    <xf numFmtId="172" fontId="58" fillId="11" borderId="1" xfId="8" applyNumberFormat="1" applyFont="1" applyFill="1" applyBorder="1" applyAlignment="1">
      <alignment horizontal="center"/>
    </xf>
    <xf numFmtId="174" fontId="58" fillId="11" borderId="1" xfId="8" applyNumberFormat="1" applyFont="1" applyFill="1" applyBorder="1" applyAlignment="1">
      <alignment horizontal="center"/>
    </xf>
    <xf numFmtId="174" fontId="13" fillId="0" borderId="1" xfId="0" applyNumberFormat="1" applyFont="1" applyBorder="1" applyAlignment="1">
      <alignment horizontal="center"/>
    </xf>
    <xf numFmtId="3" fontId="37" fillId="4" borderId="0" xfId="8" applyNumberFormat="1" applyFont="1" applyFill="1" applyAlignment="1">
      <alignment horizontal="center"/>
    </xf>
    <xf numFmtId="3" fontId="37" fillId="11" borderId="0" xfId="8" applyNumberFormat="1" applyFont="1" applyFill="1" applyAlignment="1">
      <alignment horizontal="center"/>
    </xf>
    <xf numFmtId="174" fontId="59" fillId="4" borderId="0" xfId="8" applyNumberFormat="1" applyFont="1" applyFill="1" applyAlignment="1">
      <alignment horizontal="center"/>
    </xf>
    <xf numFmtId="174" fontId="60" fillId="4" borderId="0" xfId="8" applyNumberFormat="1" applyFont="1" applyFill="1" applyAlignment="1">
      <alignment horizontal="center"/>
    </xf>
    <xf numFmtId="174" fontId="13" fillId="0" borderId="0" xfId="0" applyNumberFormat="1" applyFont="1" applyAlignment="1">
      <alignment horizontal="center"/>
    </xf>
    <xf numFmtId="0" fontId="61" fillId="4" borderId="0" xfId="0" applyFont="1" applyFill="1"/>
    <xf numFmtId="171" fontId="62" fillId="4" borderId="0" xfId="10" applyFont="1" applyFill="1" applyAlignment="1">
      <alignment horizontal="left" indent="1"/>
    </xf>
    <xf numFmtId="172" fontId="63" fillId="4" borderId="0" xfId="8" applyNumberFormat="1" applyFont="1" applyFill="1" applyAlignment="1">
      <alignment horizontal="center"/>
    </xf>
    <xf numFmtId="182" fontId="61" fillId="4" borderId="0" xfId="8" applyNumberFormat="1" applyFont="1" applyFill="1" applyAlignment="1">
      <alignment horizontal="center"/>
    </xf>
    <xf numFmtId="182" fontId="61" fillId="11" borderId="0" xfId="8" applyNumberFormat="1" applyFont="1" applyFill="1" applyAlignment="1">
      <alignment horizontal="center"/>
    </xf>
    <xf numFmtId="0" fontId="8" fillId="0" borderId="0" xfId="0" applyFont="1"/>
    <xf numFmtId="0" fontId="8" fillId="0" borderId="0" xfId="0" applyFont="1" applyAlignment="1">
      <alignment wrapText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178" fontId="6" fillId="17" borderId="0" xfId="29" applyNumberFormat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165" fontId="6" fillId="17" borderId="0" xfId="29" applyFont="1" applyFill="1" applyAlignment="1">
      <alignment horizontal="center"/>
    </xf>
    <xf numFmtId="0" fontId="25" fillId="17" borderId="0" xfId="0" applyFont="1" applyFill="1" applyAlignment="1">
      <alignment horizontal="center"/>
    </xf>
    <xf numFmtId="165" fontId="25" fillId="17" borderId="0" xfId="29" applyFont="1" applyFill="1" applyAlignment="1">
      <alignment horizontal="center"/>
    </xf>
    <xf numFmtId="171" fontId="35" fillId="8" borderId="0" xfId="10" applyFont="1" applyFill="1" applyAlignment="1">
      <alignment horizontal="left" indent="1"/>
    </xf>
    <xf numFmtId="9" fontId="0" fillId="4" borderId="0" xfId="1" applyFont="1" applyFill="1"/>
    <xf numFmtId="3" fontId="58" fillId="4" borderId="1" xfId="8" applyNumberFormat="1" applyFont="1" applyFill="1" applyBorder="1" applyAlignment="1">
      <alignment horizontal="center"/>
    </xf>
    <xf numFmtId="0" fontId="14" fillId="4" borderId="0" xfId="0" applyFont="1" applyFill="1"/>
    <xf numFmtId="174" fontId="58" fillId="4" borderId="1" xfId="8" applyNumberFormat="1" applyFont="1" applyFill="1" applyBorder="1" applyAlignment="1">
      <alignment horizontal="center"/>
    </xf>
    <xf numFmtId="172" fontId="58" fillId="4" borderId="1" xfId="8" applyNumberFormat="1" applyFont="1" applyFill="1" applyBorder="1" applyAlignment="1">
      <alignment horizontal="center"/>
    </xf>
    <xf numFmtId="174" fontId="14" fillId="4" borderId="1" xfId="8" applyNumberFormat="1" applyFont="1" applyFill="1" applyBorder="1" applyAlignment="1">
      <alignment horizontal="center"/>
    </xf>
    <xf numFmtId="174" fontId="14" fillId="0" borderId="1" xfId="0" applyNumberFormat="1" applyFont="1" applyBorder="1" applyAlignment="1">
      <alignment horizontal="center"/>
    </xf>
    <xf numFmtId="177" fontId="13" fillId="4" borderId="10" xfId="0" applyNumberFormat="1" applyFont="1" applyFill="1" applyBorder="1" applyAlignment="1">
      <alignment horizontal="right"/>
    </xf>
    <xf numFmtId="9" fontId="13" fillId="0" borderId="1" xfId="1" applyFont="1" applyBorder="1" applyAlignment="1">
      <alignment horizontal="center"/>
    </xf>
    <xf numFmtId="0" fontId="0" fillId="12" borderId="0" xfId="0" applyFill="1"/>
    <xf numFmtId="9" fontId="65" fillId="17" borderId="0" xfId="1" applyFont="1" applyFill="1" applyAlignment="1">
      <alignment horizontal="center"/>
    </xf>
    <xf numFmtId="9" fontId="13" fillId="0" borderId="0" xfId="1" applyFont="1" applyAlignment="1">
      <alignment horizontal="center"/>
    </xf>
    <xf numFmtId="3" fontId="58" fillId="12" borderId="1" xfId="8" applyNumberFormat="1" applyFont="1" applyFill="1" applyBorder="1" applyAlignment="1">
      <alignment horizontal="center"/>
    </xf>
    <xf numFmtId="174" fontId="37" fillId="12" borderId="1" xfId="8" applyNumberFormat="1" applyFont="1" applyFill="1" applyBorder="1" applyAlignment="1">
      <alignment horizontal="center"/>
    </xf>
    <xf numFmtId="0" fontId="11" fillId="6" borderId="1" xfId="11" quotePrefix="1" applyAlignment="1">
      <alignment horizontal="left" vertical="center" indent="5"/>
    </xf>
    <xf numFmtId="0" fontId="11" fillId="6" borderId="1" xfId="11" quotePrefix="1" applyAlignment="1">
      <alignment horizontal="left" vertical="center" indent="3"/>
    </xf>
    <xf numFmtId="0" fontId="11" fillId="6" borderId="1" xfId="11" quotePrefix="1" applyAlignment="1">
      <alignment horizontal="left" vertical="center" indent="4"/>
    </xf>
    <xf numFmtId="174" fontId="58" fillId="12" borderId="1" xfId="8" applyNumberFormat="1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0" xfId="0" applyFont="1" applyFill="1" applyAlignment="1">
      <alignment wrapText="1"/>
    </xf>
    <xf numFmtId="0" fontId="8" fillId="4" borderId="0" xfId="0" applyFont="1" applyFill="1"/>
    <xf numFmtId="0" fontId="62" fillId="4" borderId="0" xfId="0" applyFont="1" applyFill="1" applyAlignment="1">
      <alignment horizontal="center"/>
    </xf>
    <xf numFmtId="0" fontId="62" fillId="4" borderId="0" xfId="0" applyFont="1" applyFill="1"/>
    <xf numFmtId="183" fontId="61" fillId="4" borderId="0" xfId="0" applyNumberFormat="1" applyFont="1" applyFill="1"/>
    <xf numFmtId="0" fontId="38" fillId="3" borderId="0" xfId="0" applyFont="1" applyFill="1"/>
    <xf numFmtId="0" fontId="0" fillId="3" borderId="0" xfId="0" applyFill="1"/>
    <xf numFmtId="0" fontId="8" fillId="0" borderId="0" xfId="0" applyFont="1" applyAlignment="1">
      <alignment horizontal="center" vertical="top" wrapText="1"/>
    </xf>
    <xf numFmtId="0" fontId="50" fillId="0" borderId="1" xfId="5" applyFont="1" applyAlignment="1">
      <alignment horizontal="center" vertical="top" wrapText="1"/>
    </xf>
    <xf numFmtId="0" fontId="50" fillId="0" borderId="14" xfId="5" applyFont="1" applyBorder="1" applyAlignment="1">
      <alignment vertical="top" wrapText="1"/>
    </xf>
    <xf numFmtId="0" fontId="50" fillId="0" borderId="0" xfId="0" applyFont="1" applyAlignment="1">
      <alignment vertical="top" wrapText="1"/>
    </xf>
    <xf numFmtId="4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left"/>
    </xf>
    <xf numFmtId="0" fontId="11" fillId="0" borderId="0" xfId="0" applyFont="1" applyAlignment="1">
      <alignment horizontal="center"/>
    </xf>
    <xf numFmtId="170" fontId="0" fillId="0" borderId="0" xfId="31" applyNumberFormat="1" applyFont="1"/>
    <xf numFmtId="4" fontId="37" fillId="4" borderId="0" xfId="8" applyNumberFormat="1" applyFont="1" applyFill="1" applyAlignment="1">
      <alignment horizontal="center"/>
    </xf>
    <xf numFmtId="0" fontId="8" fillId="21" borderId="0" xfId="0" applyFont="1" applyFill="1" applyAlignment="1">
      <alignment horizontal="center"/>
    </xf>
    <xf numFmtId="0" fontId="8" fillId="21" borderId="0" xfId="0" applyFont="1" applyFill="1" applyAlignment="1">
      <alignment wrapText="1"/>
    </xf>
    <xf numFmtId="170" fontId="38" fillId="0" borderId="0" xfId="31" applyNumberFormat="1" applyFont="1"/>
    <xf numFmtId="0" fontId="66" fillId="4" borderId="0" xfId="0" applyFont="1" applyFill="1"/>
    <xf numFmtId="9" fontId="66" fillId="4" borderId="0" xfId="1" applyFont="1" applyFill="1"/>
    <xf numFmtId="0" fontId="66" fillId="0" borderId="0" xfId="0" applyFont="1"/>
    <xf numFmtId="169" fontId="15" fillId="3" borderId="14" xfId="12" applyNumberFormat="1" applyFill="1" applyBorder="1"/>
    <xf numFmtId="0" fontId="15" fillId="13" borderId="9" xfId="12" applyBorder="1"/>
    <xf numFmtId="169" fontId="15" fillId="13" borderId="2" xfId="12" applyNumberFormat="1" applyBorder="1"/>
    <xf numFmtId="169" fontId="15" fillId="13" borderId="7" xfId="12" applyNumberFormat="1" applyBorder="1"/>
    <xf numFmtId="169" fontId="15" fillId="13" borderId="10" xfId="12" applyNumberFormat="1" applyBorder="1"/>
    <xf numFmtId="169" fontId="15" fillId="13" borderId="15" xfId="12" applyNumberFormat="1" applyBorder="1"/>
    <xf numFmtId="184" fontId="15" fillId="3" borderId="31" xfId="12" applyNumberFormat="1" applyFill="1" applyBorder="1"/>
    <xf numFmtId="178" fontId="64" fillId="0" borderId="0" xfId="29" applyNumberFormat="1" applyFont="1" applyAlignment="1">
      <alignment horizontal="center"/>
    </xf>
    <xf numFmtId="9" fontId="3" fillId="0" borderId="0" xfId="1" applyFont="1" applyAlignment="1">
      <alignment horizontal="left"/>
    </xf>
    <xf numFmtId="0" fontId="11" fillId="6" borderId="1" xfId="11" quotePrefix="1" applyAlignment="1">
      <alignment horizontal="left" vertical="center" indent="1"/>
    </xf>
    <xf numFmtId="0" fontId="11" fillId="6" borderId="1" xfId="11" quotePrefix="1" applyAlignment="1">
      <alignment horizontal="left" vertical="center" indent="2"/>
    </xf>
    <xf numFmtId="0" fontId="16" fillId="7" borderId="19" xfId="6" quotePrefix="1" applyFont="1" applyBorder="1">
      <alignment horizontal="center" vertical="center"/>
    </xf>
    <xf numFmtId="0" fontId="0" fillId="5" borderId="21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56" fillId="4" borderId="0" xfId="0" applyFont="1" applyFill="1"/>
    <xf numFmtId="181" fontId="67" fillId="0" borderId="32" xfId="0" applyNumberFormat="1" applyFont="1" applyBorder="1" applyAlignment="1">
      <alignment horizontal="right" vertical="top"/>
    </xf>
    <xf numFmtId="9" fontId="34" fillId="4" borderId="0" xfId="1" applyFont="1" applyFill="1" applyAlignment="1">
      <alignment horizontal="center"/>
    </xf>
    <xf numFmtId="0" fontId="69" fillId="0" borderId="0" xfId="0" applyFont="1"/>
    <xf numFmtId="0" fontId="13" fillId="4" borderId="6" xfId="0" applyFont="1" applyFill="1" applyBorder="1"/>
    <xf numFmtId="166" fontId="0" fillId="0" borderId="0" xfId="31" applyFont="1"/>
    <xf numFmtId="0" fontId="0" fillId="4" borderId="0" xfId="0" applyFill="1" applyAlignment="1">
      <alignment horizontal="left"/>
    </xf>
    <xf numFmtId="0" fontId="17" fillId="4" borderId="0" xfId="0" applyFont="1" applyFill="1" applyAlignment="1">
      <alignment horizontal="left" vertical="center"/>
    </xf>
    <xf numFmtId="171" fontId="35" fillId="11" borderId="0" xfId="10" applyFont="1" applyFill="1" applyAlignment="1">
      <alignment horizontal="left"/>
    </xf>
    <xf numFmtId="3" fontId="37" fillId="4" borderId="1" xfId="8" applyNumberFormat="1" applyFont="1" applyFill="1" applyBorder="1" applyAlignment="1">
      <alignment horizontal="left"/>
    </xf>
    <xf numFmtId="3" fontId="58" fillId="4" borderId="1" xfId="8" applyNumberFormat="1" applyFont="1" applyFill="1" applyBorder="1" applyAlignment="1">
      <alignment horizontal="left"/>
    </xf>
    <xf numFmtId="0" fontId="61" fillId="4" borderId="0" xfId="0" applyFont="1" applyFill="1" applyAlignment="1">
      <alignment horizontal="left"/>
    </xf>
    <xf numFmtId="3" fontId="37" fillId="4" borderId="1" xfId="8" applyNumberFormat="1" applyFont="1" applyFill="1" applyBorder="1" applyAlignment="1">
      <alignment horizontal="left" indent="1"/>
    </xf>
    <xf numFmtId="3" fontId="58" fillId="11" borderId="15" xfId="8" applyNumberFormat="1" applyFont="1" applyFill="1" applyBorder="1" applyAlignment="1">
      <alignment horizontal="center"/>
    </xf>
    <xf numFmtId="172" fontId="58" fillId="11" borderId="15" xfId="8" applyNumberFormat="1" applyFont="1" applyFill="1" applyBorder="1" applyAlignment="1">
      <alignment horizontal="center"/>
    </xf>
    <xf numFmtId="3" fontId="58" fillId="12" borderId="15" xfId="8" applyNumberFormat="1" applyFont="1" applyFill="1" applyBorder="1" applyAlignment="1">
      <alignment horizontal="center"/>
    </xf>
    <xf numFmtId="174" fontId="58" fillId="11" borderId="15" xfId="8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68" fillId="0" borderId="0" xfId="0" applyFont="1" applyAlignment="1">
      <alignment wrapText="1"/>
    </xf>
    <xf numFmtId="171" fontId="68" fillId="4" borderId="0" xfId="10" applyFont="1" applyFill="1" applyAlignment="1">
      <alignment horizontal="left"/>
    </xf>
    <xf numFmtId="3" fontId="71" fillId="4" borderId="0" xfId="8" applyNumberFormat="1" applyFont="1" applyFill="1" applyAlignment="1">
      <alignment horizontal="center"/>
    </xf>
    <xf numFmtId="172" fontId="71" fillId="4" borderId="0" xfId="8" applyNumberFormat="1" applyFont="1" applyFill="1" applyAlignment="1">
      <alignment horizontal="center"/>
    </xf>
    <xf numFmtId="0" fontId="59" fillId="4" borderId="0" xfId="0" applyFont="1" applyFill="1"/>
    <xf numFmtId="174" fontId="71" fillId="4" borderId="0" xfId="8" applyNumberFormat="1" applyFont="1" applyFill="1" applyAlignment="1">
      <alignment horizontal="center"/>
    </xf>
    <xf numFmtId="0" fontId="56" fillId="0" borderId="0" xfId="0" applyFont="1"/>
    <xf numFmtId="0" fontId="68" fillId="4" borderId="0" xfId="0" applyFont="1" applyFill="1" applyAlignment="1">
      <alignment horizontal="center"/>
    </xf>
    <xf numFmtId="0" fontId="68" fillId="4" borderId="0" xfId="0" applyFont="1" applyFill="1" applyAlignment="1">
      <alignment wrapText="1"/>
    </xf>
    <xf numFmtId="9" fontId="71" fillId="4" borderId="0" xfId="1" applyFont="1" applyFill="1" applyBorder="1" applyAlignment="1">
      <alignment horizontal="center"/>
    </xf>
    <xf numFmtId="3" fontId="58" fillId="19" borderId="1" xfId="8" applyNumberFormat="1" applyFont="1" applyFill="1" applyBorder="1" applyAlignment="1">
      <alignment horizontal="center"/>
    </xf>
    <xf numFmtId="172" fontId="34" fillId="4" borderId="5" xfId="8" applyNumberFormat="1" applyFont="1" applyFill="1" applyBorder="1" applyAlignment="1">
      <alignment horizontal="right"/>
    </xf>
    <xf numFmtId="0" fontId="11" fillId="4" borderId="6" xfId="0" applyFont="1" applyFill="1" applyBorder="1"/>
    <xf numFmtId="9" fontId="11" fillId="4" borderId="5" xfId="0" applyNumberFormat="1" applyFont="1" applyFill="1" applyBorder="1" applyAlignment="1">
      <alignment horizontal="right"/>
    </xf>
    <xf numFmtId="177" fontId="11" fillId="4" borderId="5" xfId="0" applyNumberFormat="1" applyFont="1" applyFill="1" applyBorder="1" applyAlignment="1">
      <alignment horizontal="right"/>
    </xf>
    <xf numFmtId="3" fontId="0" fillId="4" borderId="0" xfId="0" applyNumberFormat="1" applyFill="1"/>
    <xf numFmtId="184" fontId="10" fillId="13" borderId="1" xfId="12" applyNumberFormat="1" applyFont="1" applyAlignment="1">
      <alignment horizontal="center"/>
    </xf>
    <xf numFmtId="188" fontId="8" fillId="0" borderId="0" xfId="31" applyNumberFormat="1" applyFont="1"/>
    <xf numFmtId="169" fontId="0" fillId="0" borderId="0" xfId="0" applyNumberFormat="1"/>
    <xf numFmtId="182" fontId="37" fillId="4" borderId="0" xfId="8" applyNumberFormat="1" applyFont="1" applyFill="1" applyAlignment="1">
      <alignment horizontal="center"/>
    </xf>
    <xf numFmtId="176" fontId="70" fillId="4" borderId="0" xfId="30" applyNumberFormat="1" applyFont="1" applyFill="1" applyBorder="1" applyAlignment="1">
      <alignment horizontal="center" vertical="center"/>
    </xf>
    <xf numFmtId="176" fontId="52" fillId="4" borderId="5" xfId="30" applyNumberFormat="1" applyFont="1" applyFill="1" applyBorder="1" applyAlignment="1">
      <alignment horizontal="center" vertical="center"/>
    </xf>
    <xf numFmtId="176" fontId="52" fillId="4" borderId="6" xfId="30" applyNumberFormat="1" applyFont="1" applyFill="1" applyBorder="1" applyAlignment="1">
      <alignment horizontal="center" vertical="center"/>
    </xf>
    <xf numFmtId="176" fontId="53" fillId="4" borderId="5" xfId="30" applyNumberFormat="1" applyFont="1" applyFill="1" applyBorder="1" applyAlignment="1">
      <alignment horizontal="center" vertical="center"/>
    </xf>
    <xf numFmtId="176" fontId="53" fillId="4" borderId="6" xfId="30" applyNumberFormat="1" applyFont="1" applyFill="1" applyBorder="1" applyAlignment="1">
      <alignment horizontal="center" vertical="center"/>
    </xf>
    <xf numFmtId="176" fontId="53" fillId="4" borderId="0" xfId="30" applyNumberFormat="1" applyFont="1" applyFill="1" applyBorder="1" applyAlignment="1">
      <alignment horizontal="center" vertical="center"/>
    </xf>
    <xf numFmtId="0" fontId="73" fillId="27" borderId="0" xfId="0" applyFont="1" applyFill="1" applyAlignment="1">
      <alignment horizontal="left" vertical="center"/>
    </xf>
    <xf numFmtId="0" fontId="77" fillId="28" borderId="33" xfId="0" applyFont="1" applyFill="1" applyBorder="1" applyAlignment="1">
      <alignment horizontal="center" vertical="top"/>
    </xf>
    <xf numFmtId="0" fontId="51" fillId="4" borderId="0" xfId="0" applyFont="1" applyFill="1" applyAlignment="1">
      <alignment horizontal="center" vertical="center" wrapText="1"/>
    </xf>
    <xf numFmtId="176" fontId="72" fillId="4" borderId="0" xfId="30" applyNumberFormat="1" applyFont="1" applyFill="1" applyBorder="1" applyAlignment="1">
      <alignment vertical="center"/>
    </xf>
    <xf numFmtId="0" fontId="0" fillId="0" borderId="10" xfId="0" applyBorder="1"/>
    <xf numFmtId="177" fontId="13" fillId="4" borderId="12" xfId="0" applyNumberFormat="1" applyFont="1" applyFill="1" applyBorder="1" applyAlignment="1">
      <alignment horizontal="right"/>
    </xf>
    <xf numFmtId="176" fontId="53" fillId="4" borderId="0" xfId="30" applyNumberFormat="1" applyFont="1" applyFill="1" applyBorder="1" applyAlignment="1">
      <alignment vertical="center"/>
    </xf>
    <xf numFmtId="0" fontId="13" fillId="4" borderId="12" xfId="0" applyFont="1" applyFill="1" applyBorder="1"/>
    <xf numFmtId="176" fontId="0" fillId="4" borderId="0" xfId="0" applyNumberFormat="1" applyFill="1" applyAlignment="1">
      <alignment horizontal="center"/>
    </xf>
    <xf numFmtId="185" fontId="0" fillId="0" borderId="0" xfId="0" applyNumberFormat="1"/>
    <xf numFmtId="0" fontId="0" fillId="11" borderId="0" xfId="0" applyFill="1"/>
    <xf numFmtId="0" fontId="11" fillId="6" borderId="1" xfId="1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wrapText="1"/>
    </xf>
    <xf numFmtId="167" fontId="6" fillId="0" borderId="21" xfId="0" applyNumberFormat="1" applyFont="1" applyBorder="1"/>
    <xf numFmtId="2" fontId="2" fillId="0" borderId="21" xfId="0" applyNumberFormat="1" applyFont="1" applyBorder="1"/>
    <xf numFmtId="2" fontId="2" fillId="0" borderId="0" xfId="0" applyNumberFormat="1" applyFont="1"/>
    <xf numFmtId="2" fontId="2" fillId="0" borderId="22" xfId="0" applyNumberFormat="1" applyFont="1" applyBorder="1"/>
    <xf numFmtId="2" fontId="2" fillId="0" borderId="2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22" xfId="0" applyNumberFormat="1" applyFont="1" applyBorder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29" applyFont="1" applyAlignment="1">
      <alignment horizontal="center"/>
    </xf>
    <xf numFmtId="49" fontId="8" fillId="3" borderId="1" xfId="3" quotePrefix="1" applyNumberFormat="1" applyFill="1" applyAlignment="1">
      <alignment horizontal="left" vertical="center" indent="3"/>
    </xf>
    <xf numFmtId="0" fontId="8" fillId="0" borderId="0" xfId="0" applyFont="1" applyAlignment="1">
      <alignment horizontal="left" wrapText="1"/>
    </xf>
    <xf numFmtId="0" fontId="13" fillId="4" borderId="0" xfId="5" applyFont="1" applyFill="1" applyBorder="1" applyAlignment="1">
      <alignment horizontal="left" vertical="center"/>
    </xf>
    <xf numFmtId="0" fontId="15" fillId="6" borderId="1" xfId="4" quotePrefix="1" applyFont="1" applyAlignment="1">
      <alignment horizontal="left" vertical="center"/>
    </xf>
    <xf numFmtId="0" fontId="15" fillId="4" borderId="0" xfId="0" applyFont="1" applyFill="1" applyAlignment="1">
      <alignment horizontal="left"/>
    </xf>
    <xf numFmtId="0" fontId="13" fillId="0" borderId="1" xfId="5" applyFont="1" applyAlignment="1">
      <alignment horizontal="left" vertical="center"/>
    </xf>
    <xf numFmtId="0" fontId="15" fillId="4" borderId="0" xfId="4" quotePrefix="1" applyFont="1" applyFill="1" applyBorder="1" applyAlignment="1">
      <alignment horizontal="left" vertical="center"/>
    </xf>
    <xf numFmtId="0" fontId="15" fillId="6" borderId="9" xfId="4" quotePrefix="1" applyFont="1" applyBorder="1" applyAlignment="1">
      <alignment horizontal="left" vertical="center"/>
    </xf>
    <xf numFmtId="0" fontId="15" fillId="0" borderId="0" xfId="0" applyFont="1" applyAlignment="1">
      <alignment horizontal="left"/>
    </xf>
    <xf numFmtId="49" fontId="17" fillId="7" borderId="1" xfId="3" quotePrefix="1" applyNumberFormat="1" applyFont="1">
      <alignment horizontal="left" vertical="center"/>
    </xf>
    <xf numFmtId="49" fontId="8" fillId="7" borderId="14" xfId="3" quotePrefix="1" applyNumberFormat="1" applyBorder="1">
      <alignment horizontal="left" vertical="center"/>
    </xf>
    <xf numFmtId="0" fontId="35" fillId="0" borderId="0" xfId="0" applyFont="1" applyAlignment="1">
      <alignment horizontal="center" vertical="top" wrapText="1"/>
    </xf>
    <xf numFmtId="0" fontId="79" fillId="0" borderId="0" xfId="0" applyFont="1"/>
    <xf numFmtId="0" fontId="79" fillId="0" borderId="0" xfId="0" quotePrefix="1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vertical="top" wrapText="1"/>
    </xf>
    <xf numFmtId="171" fontId="79" fillId="0" borderId="0" xfId="0" quotePrefix="1" applyNumberFormat="1" applyFont="1"/>
    <xf numFmtId="171" fontId="79" fillId="0" borderId="0" xfId="0" applyNumberFormat="1" applyFont="1"/>
    <xf numFmtId="0" fontId="14" fillId="0" borderId="0" xfId="0" applyFont="1" applyAlignment="1">
      <alignment horizontal="left" indent="2"/>
    </xf>
    <xf numFmtId="0" fontId="14" fillId="0" borderId="0" xfId="0" quotePrefix="1" applyFont="1" applyAlignment="1">
      <alignment horizontal="left" indent="2"/>
    </xf>
    <xf numFmtId="0" fontId="14" fillId="16" borderId="0" xfId="0" applyFont="1" applyFill="1" applyAlignment="1">
      <alignment horizontal="left" indent="2"/>
    </xf>
    <xf numFmtId="0" fontId="8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2" fillId="0" borderId="0" xfId="0" applyFont="1" applyAlignment="1">
      <alignment horizontal="left" vertical="center" indent="1"/>
    </xf>
    <xf numFmtId="0" fontId="83" fillId="0" borderId="0" xfId="0" applyFont="1" applyAlignment="1">
      <alignment horizontal="left" vertical="center" indent="2"/>
    </xf>
    <xf numFmtId="172" fontId="0" fillId="0" borderId="0" xfId="0" applyNumberFormat="1"/>
    <xf numFmtId="0" fontId="13" fillId="0" borderId="0" xfId="0" applyFont="1" applyAlignment="1">
      <alignment horizontal="left"/>
    </xf>
    <xf numFmtId="0" fontId="13" fillId="3" borderId="0" xfId="0" applyFont="1" applyFill="1" applyAlignment="1">
      <alignment horizontal="left"/>
    </xf>
    <xf numFmtId="0" fontId="15" fillId="20" borderId="1" xfId="4" quotePrefix="1" applyFont="1" applyFill="1" applyAlignment="1">
      <alignment horizontal="center" vertical="center" wrapText="1"/>
    </xf>
    <xf numFmtId="0" fontId="26" fillId="0" borderId="0" xfId="0" quotePrefix="1" applyFont="1"/>
    <xf numFmtId="0" fontId="0" fillId="27" borderId="0" xfId="0" applyFill="1" applyAlignment="1">
      <alignment horizontal="center"/>
    </xf>
    <xf numFmtId="0" fontId="0" fillId="27" borderId="17" xfId="0" applyFill="1" applyBorder="1" applyAlignment="1">
      <alignment horizontal="center"/>
    </xf>
    <xf numFmtId="0" fontId="0" fillId="26" borderId="0" xfId="0" applyFill="1" applyAlignment="1">
      <alignment horizontal="center"/>
    </xf>
    <xf numFmtId="3" fontId="13" fillId="4" borderId="0" xfId="0" applyNumberFormat="1" applyFont="1" applyFill="1"/>
    <xf numFmtId="0" fontId="76" fillId="0" borderId="0" xfId="0" applyFont="1" applyAlignment="1">
      <alignment vertical="top"/>
    </xf>
    <xf numFmtId="196" fontId="77" fillId="28" borderId="33" xfId="0" applyNumberFormat="1" applyFont="1" applyFill="1" applyBorder="1" applyAlignment="1">
      <alignment horizontal="right" vertical="top"/>
    </xf>
    <xf numFmtId="196" fontId="0" fillId="0" borderId="0" xfId="0" applyNumberFormat="1" applyAlignment="1">
      <alignment horizontal="right"/>
    </xf>
    <xf numFmtId="196" fontId="0" fillId="0" borderId="0" xfId="0" applyNumberFormat="1" applyAlignment="1">
      <alignment horizontal="center"/>
    </xf>
    <xf numFmtId="196" fontId="77" fillId="28" borderId="33" xfId="0" applyNumberFormat="1" applyFont="1" applyFill="1" applyBorder="1" applyAlignment="1">
      <alignment horizontal="center" vertical="top"/>
    </xf>
    <xf numFmtId="0" fontId="77" fillId="28" borderId="35" xfId="0" applyFont="1" applyFill="1" applyBorder="1" applyAlignment="1">
      <alignment horizontal="center" vertical="top"/>
    </xf>
    <xf numFmtId="0" fontId="77" fillId="28" borderId="36" xfId="0" applyFont="1" applyFill="1" applyBorder="1" applyAlignment="1">
      <alignment horizontal="center" vertical="top"/>
    </xf>
    <xf numFmtId="0" fontId="75" fillId="27" borderId="0" xfId="0" applyFont="1" applyFill="1" applyAlignment="1">
      <alignment horizontal="right" vertical="center"/>
    </xf>
    <xf numFmtId="0" fontId="0" fillId="27" borderId="0" xfId="0" applyFill="1"/>
    <xf numFmtId="0" fontId="74" fillId="27" borderId="0" xfId="0" applyFont="1" applyFill="1" applyAlignment="1">
      <alignment vertical="center"/>
    </xf>
    <xf numFmtId="196" fontId="0" fillId="27" borderId="0" xfId="0" applyNumberFormat="1" applyFill="1"/>
    <xf numFmtId="0" fontId="84" fillId="12" borderId="33" xfId="0" applyFont="1" applyFill="1" applyBorder="1" applyAlignment="1">
      <alignment horizontal="center" vertical="top"/>
    </xf>
    <xf numFmtId="196" fontId="78" fillId="0" borderId="34" xfId="0" applyNumberFormat="1" applyFont="1" applyBorder="1" applyAlignment="1">
      <alignment horizontal="center" vertical="center"/>
    </xf>
    <xf numFmtId="2" fontId="79" fillId="30" borderId="21" xfId="0" applyNumberFormat="1" applyFont="1" applyFill="1" applyBorder="1"/>
    <xf numFmtId="2" fontId="0" fillId="30" borderId="21" xfId="0" applyNumberFormat="1" applyFill="1" applyBorder="1"/>
    <xf numFmtId="2" fontId="38" fillId="0" borderId="21" xfId="0" applyNumberFormat="1" applyFont="1" applyBorder="1"/>
    <xf numFmtId="2" fontId="38" fillId="0" borderId="0" xfId="0" applyNumberFormat="1" applyFont="1"/>
    <xf numFmtId="2" fontId="38" fillId="0" borderId="22" xfId="0" applyNumberFormat="1" applyFont="1" applyBorder="1"/>
    <xf numFmtId="2" fontId="38" fillId="0" borderId="21" xfId="0" applyNumberFormat="1" applyFont="1" applyBorder="1" applyAlignment="1">
      <alignment horizontal="center"/>
    </xf>
    <xf numFmtId="2" fontId="38" fillId="0" borderId="0" xfId="0" applyNumberFormat="1" applyFont="1" applyAlignment="1">
      <alignment horizontal="center"/>
    </xf>
    <xf numFmtId="2" fontId="38" fillId="0" borderId="22" xfId="0" applyNumberFormat="1" applyFont="1" applyBorder="1" applyAlignment="1">
      <alignment horizontal="center"/>
    </xf>
    <xf numFmtId="2" fontId="38" fillId="4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49" fontId="8" fillId="7" borderId="1" xfId="3" quotePrefix="1" applyNumberFormat="1" applyAlignment="1">
      <alignment horizontal="left" vertical="center" indent="5"/>
    </xf>
    <xf numFmtId="49" fontId="11" fillId="6" borderId="1" xfId="11" quotePrefix="1" applyNumberFormat="1" applyAlignment="1">
      <alignment horizontal="left" vertical="center" indent="3"/>
    </xf>
    <xf numFmtId="0" fontId="81" fillId="0" borderId="0" xfId="0" applyFont="1" applyAlignment="1">
      <alignment horizontal="left" vertical="center" indent="1"/>
    </xf>
    <xf numFmtId="196" fontId="78" fillId="0" borderId="0" xfId="0" applyNumberFormat="1" applyFont="1" applyAlignment="1">
      <alignment horizontal="right" vertical="top"/>
    </xf>
    <xf numFmtId="190" fontId="78" fillId="0" borderId="0" xfId="0" applyNumberFormat="1" applyFont="1" applyAlignment="1">
      <alignment horizontal="center" vertical="top"/>
    </xf>
    <xf numFmtId="0" fontId="78" fillId="0" borderId="0" xfId="0" applyFont="1" applyAlignment="1">
      <alignment horizontal="center" vertical="top"/>
    </xf>
    <xf numFmtId="0" fontId="85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0" fillId="0" borderId="38" xfId="0" applyBorder="1" applyAlignment="1">
      <alignment horizontal="center"/>
    </xf>
    <xf numFmtId="190" fontId="78" fillId="0" borderId="5" xfId="0" applyNumberFormat="1" applyFont="1" applyBorder="1" applyAlignment="1">
      <alignment horizontal="center" vertical="top"/>
    </xf>
    <xf numFmtId="187" fontId="15" fillId="4" borderId="1" xfId="12" applyNumberFormat="1" applyFill="1" applyAlignment="1">
      <alignment horizontal="center"/>
    </xf>
    <xf numFmtId="1" fontId="0" fillId="0" borderId="0" xfId="0" applyNumberFormat="1"/>
    <xf numFmtId="171" fontId="34" fillId="8" borderId="1" xfId="10" applyFont="1" applyFill="1" applyBorder="1"/>
    <xf numFmtId="171" fontId="34" fillId="4" borderId="1" xfId="10" applyFont="1" applyFill="1" applyBorder="1"/>
    <xf numFmtId="174" fontId="37" fillId="4" borderId="7" xfId="8" applyNumberFormat="1" applyFont="1" applyFill="1" applyBorder="1" applyAlignment="1">
      <alignment horizontal="center"/>
    </xf>
    <xf numFmtId="0" fontId="80" fillId="32" borderId="1" xfId="0" applyFont="1" applyFill="1" applyBorder="1" applyAlignment="1">
      <alignment horizontal="center" vertical="center" wrapText="1"/>
    </xf>
    <xf numFmtId="0" fontId="80" fillId="31" borderId="1" xfId="0" applyFont="1" applyFill="1" applyBorder="1" applyAlignment="1">
      <alignment horizontal="center" vertical="center" wrapText="1"/>
    </xf>
    <xf numFmtId="172" fontId="37" fillId="4" borderId="0" xfId="1" applyNumberFormat="1" applyFont="1" applyFill="1" applyBorder="1" applyAlignment="1">
      <alignment horizontal="center"/>
    </xf>
    <xf numFmtId="3" fontId="37" fillId="4" borderId="26" xfId="8" applyNumberFormat="1" applyFont="1" applyFill="1" applyBorder="1" applyAlignment="1">
      <alignment horizontal="center"/>
    </xf>
    <xf numFmtId="3" fontId="37" fillId="4" borderId="15" xfId="8" applyNumberFormat="1" applyFont="1" applyFill="1" applyBorder="1" applyAlignment="1">
      <alignment horizontal="center"/>
    </xf>
    <xf numFmtId="172" fontId="37" fillId="4" borderId="26" xfId="1" applyNumberFormat="1" applyFont="1" applyFill="1" applyBorder="1" applyAlignment="1">
      <alignment horizontal="center"/>
    </xf>
    <xf numFmtId="172" fontId="37" fillId="4" borderId="15" xfId="1" applyNumberFormat="1" applyFont="1" applyFill="1" applyBorder="1" applyAlignment="1">
      <alignment horizontal="center"/>
    </xf>
    <xf numFmtId="172" fontId="37" fillId="4" borderId="26" xfId="8" applyNumberFormat="1" applyFont="1" applyFill="1" applyBorder="1" applyAlignment="1">
      <alignment horizontal="center"/>
    </xf>
    <xf numFmtId="172" fontId="37" fillId="4" borderId="15" xfId="8" applyNumberFormat="1" applyFont="1" applyFill="1" applyBorder="1" applyAlignment="1">
      <alignment horizontal="center"/>
    </xf>
    <xf numFmtId="174" fontId="37" fillId="4" borderId="26" xfId="8" applyNumberFormat="1" applyFont="1" applyFill="1" applyBorder="1" applyAlignment="1">
      <alignment horizontal="center"/>
    </xf>
    <xf numFmtId="174" fontId="37" fillId="4" borderId="15" xfId="8" applyNumberFormat="1" applyFont="1" applyFill="1" applyBorder="1" applyAlignment="1">
      <alignment horizontal="center"/>
    </xf>
    <xf numFmtId="174" fontId="13" fillId="4" borderId="26" xfId="8" applyNumberFormat="1" applyFont="1" applyFill="1" applyBorder="1" applyAlignment="1">
      <alignment horizontal="center"/>
    </xf>
    <xf numFmtId="174" fontId="13" fillId="4" borderId="15" xfId="8" applyNumberFormat="1" applyFont="1" applyFill="1" applyBorder="1" applyAlignment="1">
      <alignment horizontal="center"/>
    </xf>
    <xf numFmtId="174" fontId="13" fillId="0" borderId="26" xfId="0" applyNumberFormat="1" applyFont="1" applyBorder="1" applyAlignment="1">
      <alignment horizontal="center"/>
    </xf>
    <xf numFmtId="0" fontId="86" fillId="0" borderId="0" xfId="0" applyFont="1"/>
    <xf numFmtId="171" fontId="87" fillId="11" borderId="1" xfId="10" applyFont="1" applyFill="1" applyBorder="1"/>
    <xf numFmtId="3" fontId="87" fillId="11" borderId="1" xfId="8" applyNumberFormat="1" applyFont="1" applyFill="1" applyBorder="1" applyAlignment="1">
      <alignment horizontal="center"/>
    </xf>
    <xf numFmtId="172" fontId="87" fillId="11" borderId="1" xfId="8" applyNumberFormat="1" applyFont="1" applyFill="1" applyBorder="1" applyAlignment="1">
      <alignment horizontal="center"/>
    </xf>
    <xf numFmtId="0" fontId="81" fillId="4" borderId="0" xfId="0" applyFont="1" applyFill="1"/>
    <xf numFmtId="174" fontId="87" fillId="11" borderId="1" xfId="8" applyNumberFormat="1" applyFont="1" applyFill="1" applyBorder="1" applyAlignment="1">
      <alignment horizontal="center"/>
    </xf>
    <xf numFmtId="3" fontId="81" fillId="4" borderId="0" xfId="0" applyNumberFormat="1" applyFont="1" applyFill="1"/>
    <xf numFmtId="0" fontId="81" fillId="0" borderId="0" xfId="0" applyFont="1"/>
    <xf numFmtId="174" fontId="37" fillId="4" borderId="6" xfId="8" applyNumberFormat="1" applyFont="1" applyFill="1" applyBorder="1" applyAlignment="1">
      <alignment horizontal="center"/>
    </xf>
    <xf numFmtId="174" fontId="37" fillId="4" borderId="12" xfId="8" applyNumberFormat="1" applyFont="1" applyFill="1" applyBorder="1" applyAlignment="1">
      <alignment horizontal="center"/>
    </xf>
    <xf numFmtId="174" fontId="13" fillId="0" borderId="15" xfId="0" applyNumberFormat="1" applyFont="1" applyBorder="1" applyAlignment="1">
      <alignment horizontal="center"/>
    </xf>
    <xf numFmtId="0" fontId="15" fillId="0" borderId="22" xfId="0" applyFont="1" applyBorder="1" applyAlignment="1">
      <alignment horizontal="right"/>
    </xf>
    <xf numFmtId="0" fontId="15" fillId="0" borderId="24" xfId="0" applyFont="1" applyBorder="1" applyAlignment="1">
      <alignment horizontal="right"/>
    </xf>
    <xf numFmtId="0" fontId="15" fillId="0" borderId="25" xfId="0" applyFont="1" applyBorder="1" applyAlignment="1">
      <alignment horizontal="right"/>
    </xf>
    <xf numFmtId="0" fontId="15" fillId="0" borderId="29" xfId="0" applyFont="1" applyBorder="1"/>
    <xf numFmtId="0" fontId="15" fillId="0" borderId="13" xfId="0" applyFont="1" applyBorder="1" applyAlignment="1">
      <alignment horizontal="right"/>
    </xf>
    <xf numFmtId="0" fontId="15" fillId="0" borderId="30" xfId="0" applyFont="1" applyBorder="1" applyAlignment="1">
      <alignment horizontal="right"/>
    </xf>
    <xf numFmtId="173" fontId="11" fillId="4" borderId="14" xfId="10" applyNumberFormat="1" applyFont="1" applyFill="1" applyBorder="1" applyAlignment="1">
      <alignment horizontal="left" indent="1"/>
    </xf>
    <xf numFmtId="171" fontId="34" fillId="8" borderId="14" xfId="10" applyFont="1" applyFill="1" applyBorder="1" applyAlignment="1">
      <alignment horizontal="left" indent="1"/>
    </xf>
    <xf numFmtId="171" fontId="35" fillId="8" borderId="14" xfId="10" applyFont="1" applyFill="1" applyBorder="1" applyAlignment="1">
      <alignment horizontal="left" indent="1"/>
    </xf>
    <xf numFmtId="3" fontId="37" fillId="4" borderId="2" xfId="8" applyNumberFormat="1" applyFont="1" applyFill="1" applyBorder="1" applyAlignment="1">
      <alignment horizontal="center"/>
    </xf>
    <xf numFmtId="3" fontId="37" fillId="4" borderId="3" xfId="8" applyNumberFormat="1" applyFont="1" applyFill="1" applyBorder="1" applyAlignment="1">
      <alignment horizontal="center"/>
    </xf>
    <xf numFmtId="3" fontId="37" fillId="4" borderId="5" xfId="8" applyNumberFormat="1" applyFont="1" applyFill="1" applyBorder="1" applyAlignment="1">
      <alignment horizontal="center"/>
    </xf>
    <xf numFmtId="3" fontId="37" fillId="4" borderId="10" xfId="8" applyNumberFormat="1" applyFont="1" applyFill="1" applyBorder="1" applyAlignment="1">
      <alignment horizontal="center"/>
    </xf>
    <xf numFmtId="3" fontId="37" fillId="4" borderId="11" xfId="8" applyNumberFormat="1" applyFont="1" applyFill="1" applyBorder="1" applyAlignment="1">
      <alignment horizontal="center"/>
    </xf>
    <xf numFmtId="172" fontId="37" fillId="4" borderId="7" xfId="1" applyNumberFormat="1" applyFont="1" applyFill="1" applyBorder="1" applyAlignment="1">
      <alignment horizontal="center"/>
    </xf>
    <xf numFmtId="174" fontId="37" fillId="4" borderId="3" xfId="8" applyNumberFormat="1" applyFont="1" applyFill="1" applyBorder="1" applyAlignment="1">
      <alignment horizontal="center"/>
    </xf>
    <xf numFmtId="174" fontId="37" fillId="11" borderId="3" xfId="8" applyNumberFormat="1" applyFont="1" applyFill="1" applyBorder="1" applyAlignment="1">
      <alignment horizontal="center"/>
    </xf>
    <xf numFmtId="174" fontId="13" fillId="4" borderId="4" xfId="8" applyNumberFormat="1" applyFont="1" applyFill="1" applyBorder="1" applyAlignment="1">
      <alignment horizontal="center"/>
    </xf>
    <xf numFmtId="174" fontId="13" fillId="4" borderId="6" xfId="8" applyNumberFormat="1" applyFont="1" applyFill="1" applyBorder="1" applyAlignment="1">
      <alignment horizontal="center"/>
    </xf>
    <xf numFmtId="174" fontId="37" fillId="4" borderId="11" xfId="8" applyNumberFormat="1" applyFont="1" applyFill="1" applyBorder="1" applyAlignment="1">
      <alignment horizontal="center"/>
    </xf>
    <xf numFmtId="174" fontId="37" fillId="11" borderId="11" xfId="8" applyNumberFormat="1" applyFont="1" applyFill="1" applyBorder="1" applyAlignment="1">
      <alignment horizontal="center"/>
    </xf>
    <xf numFmtId="174" fontId="13" fillId="4" borderId="12" xfId="8" applyNumberFormat="1" applyFont="1" applyFill="1" applyBorder="1" applyAlignment="1">
      <alignment horizontal="center"/>
    </xf>
    <xf numFmtId="3" fontId="37" fillId="4" borderId="7" xfId="8" applyNumberFormat="1" applyFont="1" applyFill="1" applyBorder="1" applyAlignment="1">
      <alignment horizontal="center"/>
    </xf>
    <xf numFmtId="172" fontId="37" fillId="4" borderId="7" xfId="8" applyNumberFormat="1" applyFont="1" applyFill="1" applyBorder="1" applyAlignment="1">
      <alignment horizontal="center"/>
    </xf>
    <xf numFmtId="174" fontId="37" fillId="4" borderId="2" xfId="8" applyNumberFormat="1" applyFont="1" applyFill="1" applyBorder="1" applyAlignment="1">
      <alignment horizontal="center"/>
    </xf>
    <xf numFmtId="174" fontId="37" fillId="4" borderId="4" xfId="8" applyNumberFormat="1" applyFont="1" applyFill="1" applyBorder="1" applyAlignment="1">
      <alignment horizontal="center"/>
    </xf>
    <xf numFmtId="174" fontId="37" fillId="4" borderId="5" xfId="8" applyNumberFormat="1" applyFont="1" applyFill="1" applyBorder="1" applyAlignment="1">
      <alignment horizontal="center"/>
    </xf>
    <xf numFmtId="174" fontId="37" fillId="4" borderId="10" xfId="8" applyNumberFormat="1" applyFont="1" applyFill="1" applyBorder="1" applyAlignment="1">
      <alignment horizontal="center"/>
    </xf>
    <xf numFmtId="174" fontId="13" fillId="0" borderId="10" xfId="0" applyNumberFormat="1" applyFont="1" applyBorder="1" applyAlignment="1">
      <alignment horizontal="center"/>
    </xf>
    <xf numFmtId="196" fontId="78" fillId="11" borderId="0" xfId="0" applyNumberFormat="1" applyFont="1" applyFill="1" applyAlignment="1">
      <alignment horizontal="right" vertical="top"/>
    </xf>
    <xf numFmtId="190" fontId="78" fillId="11" borderId="0" xfId="0" applyNumberFormat="1" applyFont="1" applyFill="1" applyAlignment="1">
      <alignment horizontal="center" vertical="top"/>
    </xf>
    <xf numFmtId="0" fontId="78" fillId="11" borderId="0" xfId="0" applyFont="1" applyFill="1" applyAlignment="1">
      <alignment horizontal="center" vertical="top"/>
    </xf>
    <xf numFmtId="190" fontId="78" fillId="11" borderId="5" xfId="0" applyNumberFormat="1" applyFont="1" applyFill="1" applyBorder="1" applyAlignment="1">
      <alignment horizontal="center" vertical="top"/>
    </xf>
    <xf numFmtId="0" fontId="11" fillId="11" borderId="0" xfId="0" applyFont="1" applyFill="1" applyAlignment="1">
      <alignment horizontal="center"/>
    </xf>
    <xf numFmtId="49" fontId="11" fillId="6" borderId="1" xfId="11" quotePrefix="1" applyNumberFormat="1" applyAlignment="1">
      <alignment horizontal="left" vertical="center" indent="4"/>
    </xf>
    <xf numFmtId="49" fontId="11" fillId="6" borderId="1" xfId="11" quotePrefix="1" applyNumberFormat="1" applyAlignment="1">
      <alignment horizontal="left" vertical="center" indent="2"/>
    </xf>
    <xf numFmtId="49" fontId="11" fillId="6" borderId="1" xfId="11" quotePrefix="1" applyNumberFormat="1" applyAlignment="1">
      <alignment horizontal="left" vertical="center" indent="6"/>
    </xf>
    <xf numFmtId="49" fontId="15" fillId="13" borderId="1" xfId="12" applyNumberFormat="1"/>
    <xf numFmtId="0" fontId="0" fillId="33" borderId="0" xfId="0" applyFill="1"/>
    <xf numFmtId="49" fontId="0" fillId="0" borderId="0" xfId="0" applyNumberFormat="1"/>
    <xf numFmtId="0" fontId="51" fillId="4" borderId="2" xfId="0" applyFont="1" applyFill="1" applyBorder="1" applyAlignment="1">
      <alignment horizontal="center" vertical="center" wrapText="1"/>
    </xf>
    <xf numFmtId="0" fontId="51" fillId="4" borderId="4" xfId="0" applyFont="1" applyFill="1" applyBorder="1" applyAlignment="1">
      <alignment horizontal="center" vertical="center" wrapText="1"/>
    </xf>
    <xf numFmtId="176" fontId="53" fillId="4" borderId="5" xfId="30" applyNumberFormat="1" applyFont="1" applyFill="1" applyBorder="1" applyAlignment="1">
      <alignment horizontal="center" vertical="center"/>
    </xf>
    <xf numFmtId="176" fontId="53" fillId="4" borderId="6" xfId="30" applyNumberFormat="1" applyFont="1" applyFill="1" applyBorder="1" applyAlignment="1">
      <alignment horizontal="center" vertical="center"/>
    </xf>
    <xf numFmtId="176" fontId="52" fillId="4" borderId="5" xfId="30" applyNumberFormat="1" applyFont="1" applyFill="1" applyBorder="1" applyAlignment="1">
      <alignment horizontal="center" vertical="center"/>
    </xf>
    <xf numFmtId="176" fontId="52" fillId="4" borderId="6" xfId="30" applyNumberFormat="1" applyFont="1" applyFill="1" applyBorder="1" applyAlignment="1">
      <alignment horizontal="center" vertical="center"/>
    </xf>
    <xf numFmtId="176" fontId="70" fillId="4" borderId="5" xfId="30" applyNumberFormat="1" applyFont="1" applyFill="1" applyBorder="1" applyAlignment="1">
      <alignment horizontal="center" vertical="center"/>
    </xf>
    <xf numFmtId="176" fontId="70" fillId="4" borderId="6" xfId="3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0" fillId="29" borderId="13" xfId="0" applyFill="1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0" fillId="17" borderId="37" xfId="0" applyFill="1" applyBorder="1" applyAlignment="1">
      <alignment horizontal="center"/>
    </xf>
    <xf numFmtId="0" fontId="15" fillId="0" borderId="29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171" fontId="19" fillId="4" borderId="0" xfId="8" applyFont="1" applyFill="1" applyAlignment="1">
      <alignment horizontal="center" vertical="center" wrapText="1"/>
    </xf>
    <xf numFmtId="0" fontId="21" fillId="4" borderId="0" xfId="0" applyFont="1" applyFill="1" applyAlignment="1">
      <alignment horizontal="center"/>
    </xf>
    <xf numFmtId="171" fontId="20" fillId="4" borderId="0" xfId="8" applyFont="1" applyFill="1" applyAlignment="1">
      <alignment horizontal="center"/>
    </xf>
    <xf numFmtId="171" fontId="33" fillId="9" borderId="0" xfId="10" applyFont="1" applyFill="1" applyAlignment="1">
      <alignment horizontal="center" vertical="center" wrapText="1"/>
    </xf>
    <xf numFmtId="171" fontId="57" fillId="23" borderId="0" xfId="10" applyFont="1" applyFill="1" applyAlignment="1">
      <alignment horizontal="center" vertical="center" wrapText="1"/>
    </xf>
    <xf numFmtId="171" fontId="57" fillId="9" borderId="0" xfId="10" applyFont="1" applyFill="1" applyAlignment="1">
      <alignment horizontal="center" vertical="center" wrapText="1"/>
    </xf>
    <xf numFmtId="171" fontId="80" fillId="31" borderId="1" xfId="10" applyFont="1" applyFill="1" applyBorder="1" applyAlignment="1">
      <alignment horizontal="center" vertical="center" wrapText="1"/>
    </xf>
    <xf numFmtId="171" fontId="43" fillId="31" borderId="1" xfId="10" applyFont="1" applyFill="1" applyBorder="1" applyAlignment="1">
      <alignment horizontal="center" vertical="center" wrapText="1"/>
    </xf>
    <xf numFmtId="171" fontId="80" fillId="31" borderId="14" xfId="10" applyFont="1" applyFill="1" applyBorder="1" applyAlignment="1">
      <alignment horizontal="center" vertical="center" wrapText="1"/>
    </xf>
    <xf numFmtId="171" fontId="80" fillId="31" borderId="8" xfId="10" applyFont="1" applyFill="1" applyBorder="1" applyAlignment="1">
      <alignment horizontal="center" vertical="center" wrapText="1"/>
    </xf>
    <xf numFmtId="171" fontId="80" fillId="31" borderId="9" xfId="10" applyFont="1" applyFill="1" applyBorder="1" applyAlignment="1">
      <alignment horizontal="center" vertical="center" wrapText="1"/>
    </xf>
    <xf numFmtId="171" fontId="43" fillId="32" borderId="14" xfId="10" applyFont="1" applyFill="1" applyBorder="1" applyAlignment="1">
      <alignment horizontal="center" vertical="center" wrapText="1"/>
    </xf>
    <xf numFmtId="171" fontId="43" fillId="32" borderId="8" xfId="10" applyFont="1" applyFill="1" applyBorder="1" applyAlignment="1">
      <alignment horizontal="center" vertical="center" wrapText="1"/>
    </xf>
    <xf numFmtId="171" fontId="43" fillId="32" borderId="9" xfId="10" applyFont="1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/>
    </xf>
    <xf numFmtId="49" fontId="11" fillId="6" borderId="7" xfId="11" applyNumberFormat="1" applyBorder="1" applyAlignment="1">
      <alignment horizontal="left" vertical="center" indent="4"/>
    </xf>
    <xf numFmtId="49" fontId="11" fillId="6" borderId="26" xfId="11" applyNumberFormat="1" applyBorder="1" applyAlignment="1">
      <alignment horizontal="left" vertical="center" indent="4"/>
    </xf>
    <xf numFmtId="49" fontId="11" fillId="6" borderId="15" xfId="11" applyNumberFormat="1" applyBorder="1" applyAlignment="1">
      <alignment horizontal="left" vertical="center" indent="4"/>
    </xf>
    <xf numFmtId="49" fontId="11" fillId="6" borderId="7" xfId="11" applyNumberFormat="1" applyBorder="1" applyAlignment="1">
      <alignment horizontal="left" vertical="center" indent="5"/>
    </xf>
    <xf numFmtId="49" fontId="11" fillId="6" borderId="26" xfId="11" applyNumberFormat="1" applyBorder="1" applyAlignment="1">
      <alignment horizontal="left" vertical="center" indent="5"/>
    </xf>
    <xf numFmtId="49" fontId="11" fillId="6" borderId="15" xfId="11" applyNumberFormat="1" applyBorder="1" applyAlignment="1">
      <alignment horizontal="left" vertical="center" indent="5"/>
    </xf>
    <xf numFmtId="49" fontId="11" fillId="6" borderId="7" xfId="11" applyNumberFormat="1" applyBorder="1" applyAlignment="1">
      <alignment horizontal="left" vertical="center" indent="17"/>
    </xf>
    <xf numFmtId="49" fontId="11" fillId="6" borderId="26" xfId="11" applyNumberFormat="1" applyBorder="1" applyAlignment="1">
      <alignment horizontal="left" vertical="center" indent="17"/>
    </xf>
    <xf numFmtId="49" fontId="11" fillId="6" borderId="15" xfId="11" applyNumberFormat="1" applyBorder="1" applyAlignment="1">
      <alignment horizontal="left" vertical="center" indent="17"/>
    </xf>
    <xf numFmtId="49" fontId="11" fillId="6" borderId="7" xfId="11" applyNumberFormat="1" applyBorder="1" applyAlignment="1">
      <alignment horizontal="left" vertical="center" indent="7"/>
    </xf>
    <xf numFmtId="49" fontId="11" fillId="6" borderId="26" xfId="11" applyNumberFormat="1" applyBorder="1" applyAlignment="1">
      <alignment horizontal="left" vertical="center" indent="7"/>
    </xf>
    <xf numFmtId="49" fontId="11" fillId="6" borderId="15" xfId="11" applyNumberFormat="1" applyBorder="1" applyAlignment="1">
      <alignment horizontal="left" vertical="center" indent="7"/>
    </xf>
    <xf numFmtId="49" fontId="11" fillId="6" borderId="7" xfId="11" applyNumberFormat="1" applyBorder="1" applyAlignment="1">
      <alignment horizontal="left" vertical="center" indent="6"/>
    </xf>
    <xf numFmtId="49" fontId="11" fillId="6" borderId="26" xfId="11" applyNumberFormat="1" applyBorder="1" applyAlignment="1">
      <alignment horizontal="left" vertical="center" indent="6"/>
    </xf>
    <xf numFmtId="49" fontId="11" fillId="6" borderId="15" xfId="11" applyNumberFormat="1" applyBorder="1" applyAlignment="1">
      <alignment horizontal="left" vertical="center" indent="6"/>
    </xf>
    <xf numFmtId="0" fontId="0" fillId="4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2" borderId="0" xfId="0" applyFill="1" applyAlignment="1">
      <alignment horizontal="center"/>
    </xf>
    <xf numFmtId="0" fontId="0" fillId="24" borderId="14" xfId="0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0" fontId="0" fillId="24" borderId="9" xfId="0" applyFill="1" applyBorder="1" applyAlignment="1">
      <alignment horizontal="center"/>
    </xf>
    <xf numFmtId="0" fontId="0" fillId="25" borderId="14" xfId="0" applyFill="1" applyBorder="1" applyAlignment="1">
      <alignment horizontal="center"/>
    </xf>
    <xf numFmtId="0" fontId="0" fillId="25" borderId="8" xfId="0" applyFill="1" applyBorder="1" applyAlignment="1">
      <alignment horizontal="center"/>
    </xf>
    <xf numFmtId="0" fontId="0" fillId="25" borderId="9" xfId="0" applyFill="1" applyBorder="1" applyAlignment="1">
      <alignment horizontal="center"/>
    </xf>
    <xf numFmtId="49" fontId="11" fillId="6" borderId="14" xfId="4" applyNumberFormat="1" applyBorder="1">
      <alignment horizontal="center" vertical="center"/>
    </xf>
    <xf numFmtId="49" fontId="11" fillId="6" borderId="8" xfId="4" applyNumberFormat="1" applyBorder="1">
      <alignment horizontal="center" vertical="center"/>
    </xf>
    <xf numFmtId="49" fontId="11" fillId="6" borderId="9" xfId="4" applyNumberFormat="1" applyBorder="1">
      <alignment horizontal="center" vertical="center"/>
    </xf>
    <xf numFmtId="49" fontId="11" fillId="6" borderId="7" xfId="11" applyNumberFormat="1" applyBorder="1" applyAlignment="1">
      <alignment horizontal="left" vertical="center" indent="2"/>
    </xf>
    <xf numFmtId="49" fontId="11" fillId="6" borderId="26" xfId="11" applyNumberFormat="1" applyBorder="1" applyAlignment="1">
      <alignment horizontal="left" vertical="center" indent="2"/>
    </xf>
    <xf numFmtId="49" fontId="11" fillId="6" borderId="15" xfId="11" applyNumberFormat="1" applyBorder="1" applyAlignment="1">
      <alignment horizontal="left" vertical="center" indent="2"/>
    </xf>
    <xf numFmtId="49" fontId="11" fillId="6" borderId="7" xfId="11" applyNumberFormat="1" applyBorder="1" applyAlignment="1">
      <alignment horizontal="left" vertical="center" indent="3"/>
    </xf>
    <xf numFmtId="49" fontId="11" fillId="6" borderId="26" xfId="11" applyNumberFormat="1" applyBorder="1" applyAlignment="1">
      <alignment horizontal="left" vertical="center" indent="3"/>
    </xf>
    <xf numFmtId="49" fontId="11" fillId="6" borderId="15" xfId="11" applyNumberFormat="1" applyBorder="1" applyAlignment="1">
      <alignment horizontal="left" vertical="center" indent="3"/>
    </xf>
    <xf numFmtId="0" fontId="0" fillId="0" borderId="24" xfId="0" applyBorder="1" applyAlignment="1">
      <alignment horizontal="center"/>
    </xf>
    <xf numFmtId="0" fontId="0" fillId="0" borderId="0" xfId="0" applyFill="1"/>
    <xf numFmtId="0" fontId="15" fillId="0" borderId="0" xfId="0" applyFont="1" applyFill="1"/>
    <xf numFmtId="0" fontId="17" fillId="17" borderId="0" xfId="0" applyFont="1" applyFill="1" applyAlignment="1">
      <alignment horizontal="center" vertical="center"/>
    </xf>
    <xf numFmtId="169" fontId="9" fillId="7" borderId="1" xfId="7" applyNumberFormat="1"/>
    <xf numFmtId="0" fontId="11" fillId="6" borderId="1" xfId="11" quotePrefix="1" applyAlignment="1">
      <alignment horizontal="left" vertical="center"/>
    </xf>
    <xf numFmtId="0" fontId="11" fillId="6" borderId="1" xfId="11" applyAlignment="1">
      <alignment horizontal="left" vertical="center"/>
    </xf>
    <xf numFmtId="49" fontId="17" fillId="7" borderId="1" xfId="3" quotePrefix="1" applyNumberFormat="1" applyFont="1" applyAlignment="1">
      <alignment horizontal="left" vertical="center"/>
    </xf>
    <xf numFmtId="49" fontId="8" fillId="7" borderId="14" xfId="3" quotePrefix="1" applyNumberFormat="1" applyBorder="1" applyAlignment="1">
      <alignment horizontal="left" vertical="center"/>
    </xf>
    <xf numFmtId="49" fontId="11" fillId="7" borderId="1" xfId="3" quotePrefix="1" applyNumberFormat="1" applyFont="1" applyAlignment="1">
      <alignment horizontal="left" vertical="center"/>
    </xf>
    <xf numFmtId="49" fontId="11" fillId="7" borderId="14" xfId="3" quotePrefix="1" applyNumberFormat="1" applyFont="1" applyBorder="1" applyAlignment="1">
      <alignment horizontal="left" vertical="center"/>
    </xf>
    <xf numFmtId="49" fontId="8" fillId="7" borderId="1" xfId="3" quotePrefix="1" applyNumberFormat="1" applyAlignment="1">
      <alignment horizontal="left" vertical="center"/>
    </xf>
    <xf numFmtId="0" fontId="13" fillId="6" borderId="1" xfId="11" quotePrefix="1" applyFont="1" applyAlignment="1">
      <alignment horizontal="left" vertical="center"/>
    </xf>
    <xf numFmtId="0" fontId="11" fillId="6" borderId="1" xfId="4" applyNumberFormat="1">
      <alignment horizontal="center" vertical="center"/>
    </xf>
    <xf numFmtId="49" fontId="11" fillId="6" borderId="1" xfId="11" applyNumberFormat="1" applyAlignment="1">
      <alignment horizontal="left" vertical="center"/>
    </xf>
    <xf numFmtId="0" fontId="15" fillId="0" borderId="2" xfId="5" applyBorder="1" applyAlignment="1">
      <alignment horizontal="center" vertical="center"/>
    </xf>
    <xf numFmtId="0" fontId="15" fillId="0" borderId="3" xfId="5" applyBorder="1" applyAlignment="1">
      <alignment horizontal="center" vertical="center"/>
    </xf>
    <xf numFmtId="0" fontId="15" fillId="0" borderId="4" xfId="5" applyBorder="1" applyAlignment="1">
      <alignment horizontal="center" vertical="center"/>
    </xf>
    <xf numFmtId="0" fontId="15" fillId="0" borderId="5" xfId="5" applyBorder="1" applyAlignment="1">
      <alignment horizontal="center" vertical="center"/>
    </xf>
    <xf numFmtId="0" fontId="15" fillId="0" borderId="0" xfId="5" applyBorder="1" applyAlignment="1">
      <alignment horizontal="center" vertical="center"/>
    </xf>
    <xf numFmtId="0" fontId="15" fillId="0" borderId="6" xfId="5" applyBorder="1" applyAlignment="1">
      <alignment horizontal="center" vertical="center"/>
    </xf>
    <xf numFmtId="0" fontId="15" fillId="0" borderId="10" xfId="5" applyBorder="1" applyAlignment="1">
      <alignment horizontal="center" vertical="center"/>
    </xf>
    <xf numFmtId="0" fontId="15" fillId="0" borderId="11" xfId="5" applyBorder="1" applyAlignment="1">
      <alignment horizontal="center" vertical="center"/>
    </xf>
    <xf numFmtId="0" fontId="15" fillId="0" borderId="12" xfId="5" applyBorder="1" applyAlignment="1">
      <alignment horizontal="center" vertical="center"/>
    </xf>
    <xf numFmtId="171" fontId="88" fillId="17" borderId="0" xfId="10" applyFont="1" applyFill="1" applyAlignment="1">
      <alignment vertical="center" wrapText="1"/>
    </xf>
    <xf numFmtId="174" fontId="13" fillId="0" borderId="7" xfId="0" applyNumberFormat="1" applyFont="1" applyBorder="1" applyAlignment="1">
      <alignment horizontal="center"/>
    </xf>
    <xf numFmtId="3" fontId="37" fillId="4" borderId="0" xfId="8" applyNumberFormat="1" applyFont="1" applyFill="1" applyBorder="1" applyAlignment="1">
      <alignment horizontal="center"/>
    </xf>
    <xf numFmtId="174" fontId="37" fillId="4" borderId="0" xfId="8" applyNumberFormat="1" applyFont="1" applyFill="1" applyBorder="1" applyAlignment="1">
      <alignment horizontal="center"/>
    </xf>
    <xf numFmtId="174" fontId="37" fillId="11" borderId="0" xfId="8" applyNumberFormat="1" applyFont="1" applyFill="1" applyBorder="1" applyAlignment="1">
      <alignment horizontal="center"/>
    </xf>
    <xf numFmtId="49" fontId="8" fillId="34" borderId="19" xfId="6" quotePrefix="1" applyNumberFormat="1" applyFill="1" applyBorder="1">
      <alignment horizontal="center" vertical="center"/>
    </xf>
    <xf numFmtId="49" fontId="8" fillId="34" borderId="1" xfId="6" quotePrefix="1" applyNumberFormat="1" applyFill="1">
      <alignment horizontal="center" vertical="center"/>
    </xf>
    <xf numFmtId="49" fontId="8" fillId="34" borderId="20" xfId="6" quotePrefix="1" applyNumberFormat="1" applyFill="1" applyBorder="1">
      <alignment horizontal="center" vertical="center"/>
    </xf>
    <xf numFmtId="174" fontId="59" fillId="4" borderId="15" xfId="8" applyNumberFormat="1" applyFont="1" applyFill="1" applyBorder="1" applyAlignment="1">
      <alignment horizontal="center"/>
    </xf>
    <xf numFmtId="0" fontId="0" fillId="4" borderId="0" xfId="0" applyFont="1" applyFill="1"/>
    <xf numFmtId="2" fontId="0" fillId="0" borderId="24" xfId="0" applyNumberFormat="1" applyBorder="1" applyAlignment="1">
      <alignment horizontal="center"/>
    </xf>
    <xf numFmtId="2" fontId="0" fillId="34" borderId="24" xfId="0" applyNumberFormat="1" applyFill="1" applyBorder="1" applyAlignment="1">
      <alignment horizontal="center"/>
    </xf>
    <xf numFmtId="0" fontId="0" fillId="34" borderId="24" xfId="0" applyFill="1" applyBorder="1" applyAlignment="1">
      <alignment horizontal="center"/>
    </xf>
    <xf numFmtId="0" fontId="39" fillId="0" borderId="18" xfId="0" applyFont="1" applyBorder="1" applyAlignment="1">
      <alignment horizontal="center" vertical="center"/>
    </xf>
    <xf numFmtId="49" fontId="8" fillId="7" borderId="1" xfId="6" quotePrefix="1" applyNumberFormat="1" applyBorder="1">
      <alignment horizontal="center" vertical="center"/>
    </xf>
    <xf numFmtId="0" fontId="16" fillId="7" borderId="39" xfId="6" quotePrefix="1" applyFont="1" applyBorder="1">
      <alignment horizontal="center" vertical="center"/>
    </xf>
    <xf numFmtId="0" fontId="0" fillId="6" borderId="1" xfId="4" quotePrefix="1" applyFont="1" applyBorder="1">
      <alignment horizontal="center" vertical="center"/>
    </xf>
    <xf numFmtId="2" fontId="6" fillId="0" borderId="0" xfId="0" applyNumberFormat="1" applyFont="1" applyBorder="1" applyAlignment="1">
      <alignment horizontal="center"/>
    </xf>
    <xf numFmtId="2" fontId="6" fillId="21" borderId="22" xfId="0" applyNumberFormat="1" applyFont="1" applyFill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0" fillId="5" borderId="0" xfId="0" applyFill="1" applyBorder="1" applyAlignment="1">
      <alignment horizontal="center"/>
    </xf>
    <xf numFmtId="49" fontId="8" fillId="7" borderId="39" xfId="6" quotePrefix="1" applyNumberFormat="1" applyBorder="1">
      <alignment horizontal="center" vertical="center"/>
    </xf>
    <xf numFmtId="2" fontId="38" fillId="0" borderId="0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left" indent="1"/>
    </xf>
    <xf numFmtId="3" fontId="37" fillId="4" borderId="6" xfId="8" applyNumberFormat="1" applyFont="1" applyFill="1" applyBorder="1" applyAlignment="1">
      <alignment horizontal="center"/>
    </xf>
    <xf numFmtId="3" fontId="37" fillId="4" borderId="12" xfId="8" applyNumberFormat="1" applyFont="1" applyFill="1" applyBorder="1" applyAlignment="1">
      <alignment horizontal="center"/>
    </xf>
    <xf numFmtId="174" fontId="37" fillId="11" borderId="15" xfId="8" applyNumberFormat="1" applyFont="1" applyFill="1" applyBorder="1" applyAlignment="1">
      <alignment horizontal="center"/>
    </xf>
  </cellXfs>
  <cellStyles count="35">
    <cellStyle name="Column Name - IBM Cognos" xfId="4" xr:uid="{14450984-4C7D-477D-A04F-ED77441AB8FB}"/>
    <cellStyle name="Column Name - IBM Cognos 2" xfId="25" xr:uid="{C7C7ACD7-1C75-45AE-9558-B1CC3B101010}"/>
    <cellStyle name="Column Template - IBM Cognos" xfId="2" xr:uid="{D10FCCFC-772A-4751-A5D8-FD252D5747C5}"/>
    <cellStyle name="Column Template - IBM Cognos 2" xfId="22" xr:uid="{E530C841-C04B-4909-A053-43B64A19B217}"/>
    <cellStyle name="Column Template - IBM Cognos 3" xfId="23" xr:uid="{6542FA63-D58C-4CF4-AA1C-DF1F0597953A}"/>
    <cellStyle name="Comma" xfId="31" builtinId="3"/>
    <cellStyle name="Comma [0]" xfId="29" builtinId="6"/>
    <cellStyle name="Comma [0] 2" xfId="16" xr:uid="{59D03C70-A977-42B7-B613-F8F31AC4E782}"/>
    <cellStyle name="Comma 2" xfId="33" xr:uid="{F79A9961-7F79-44D9-BA99-7D59C2EC484F}"/>
    <cellStyle name="Comma 5 2 2" xfId="9" xr:uid="{FDB97D7A-2AD0-4C82-9CD1-163576AEFBA5}"/>
    <cellStyle name="Currency [0]" xfId="30" builtinId="7"/>
    <cellStyle name="Locked - IBM Cognos" xfId="12" xr:uid="{18CC1DFE-5070-4C30-82B7-C486F13D7F0E}"/>
    <cellStyle name="Measure Name - IBM Cognos" xfId="5" xr:uid="{196BD520-6A4C-45AB-9852-7405B0CD3446}"/>
    <cellStyle name="Measure Name - IBM Cognos 2" xfId="24" xr:uid="{E0D395E5-489D-41E7-A19B-029016BE3320}"/>
    <cellStyle name="Measure Summary - IBM Cognos 2" xfId="21" xr:uid="{DED87849-96F3-42ED-B7AB-C3FF4D7AC239}"/>
    <cellStyle name="Measure Summary TM1 - IBM Cognos" xfId="7" xr:uid="{A18A9079-58E3-4E05-ACB7-E506EA2BA603}"/>
    <cellStyle name="Measure Summary TM1 - IBM Cognos 2" xfId="27" xr:uid="{41A0496A-A997-426B-93DE-F4C9B3C0C171}"/>
    <cellStyle name="Normal" xfId="0" builtinId="0" customBuiltin="1"/>
    <cellStyle name="Normal 18" xfId="28" xr:uid="{6F9C3E24-D943-4A80-9464-65C30752342F}"/>
    <cellStyle name="Normal 2" xfId="8" xr:uid="{9CF27542-0D95-43A4-B3A6-FD6B91D43B9F}"/>
    <cellStyle name="Normal 2 12" xfId="14" xr:uid="{F6CA9394-2B08-4496-8E45-BC38E3D54ADC}"/>
    <cellStyle name="Normal 3" xfId="32" xr:uid="{32E2B610-0582-4223-92B5-DC8C5989B2DE}"/>
    <cellStyle name="Normal 4 9" xfId="19" xr:uid="{1EACD162-7384-446F-9F79-81979BD3C362}"/>
    <cellStyle name="Normal 5" xfId="20" xr:uid="{8DDB537C-DC14-4796-A609-749B370DD36E}"/>
    <cellStyle name="Normal_load exec summary format" xfId="10" xr:uid="{CAA25EC7-C4E0-457F-92DF-6FC752460923}"/>
    <cellStyle name="Percent" xfId="1" builtinId="5"/>
    <cellStyle name="Percent 18" xfId="15" xr:uid="{A36FEFE9-39AD-452E-9634-A4B9BCF8A98C}"/>
    <cellStyle name="Percent 2" xfId="34" xr:uid="{EB26E594-3CD9-4415-95F2-EFA552A7BD61}"/>
    <cellStyle name="Row Name - IBM Cognos" xfId="11" xr:uid="{10ACD458-E468-4703-A0A4-A109D51DC4E1}"/>
    <cellStyle name="Row Name - IBM Cognos 2" xfId="26" xr:uid="{6EC1D8E4-AF91-47C1-BA14-726818FD45F4}"/>
    <cellStyle name="Row Name - IBM Cognos 2 4" xfId="18" xr:uid="{F37836F3-88AE-4CC4-A3BF-D0600E3F8447}"/>
    <cellStyle name="Summary Column Name TM1 - IBM Cognos" xfId="6" xr:uid="{151560D8-47BC-432F-8FC5-893D6603B16A}"/>
    <cellStyle name="Summary Column Name TM1 - IBM Cognos 2" xfId="17" xr:uid="{011E26D4-A2B1-4AFE-A750-0D043BB0D89D}"/>
    <cellStyle name="Summary Row Name TM1 - IBM Cognos" xfId="3" xr:uid="{F6F988A9-FAE4-401D-8870-BAD43DAF0555}"/>
    <cellStyle name="Summary Row Name TM1 - IBM Cognos 2" xfId="13" xr:uid="{C6A398E6-077D-43B5-A515-785B7042F616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CCFFCC"/>
      <color rgb="FF4784FF"/>
      <color rgb="FF71A0FF"/>
      <color rgb="FF81DEFF"/>
      <color rgb="FF0099CC"/>
      <color rgb="FF0099FF"/>
      <color rgb="FF33CCFF"/>
      <color rgb="FF93E3FF"/>
      <color rgb="FF47CFFF"/>
      <color rgb="FF1C55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FIRM LOAD BY BRAND</a:t>
            </a:r>
          </a:p>
        </c:rich>
      </c:tx>
      <c:layout>
        <c:manualLayout>
          <c:xMode val="edge"/>
          <c:yMode val="edge"/>
          <c:x val="0.3145636464702613"/>
          <c:y val="2.85714285714285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22-BF66-42B1-A2E6-7EFE6CD42B70}"/>
              </c:ext>
            </c:extLst>
          </c:dPt>
          <c:dPt>
            <c:idx val="1"/>
            <c:bubble3D val="0"/>
            <c:spPr>
              <a:ln>
                <a:solidFill>
                  <a:schemeClr val="accent2">
                    <a:lumMod val="20000"/>
                    <a:lumOff val="80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23-BF66-42B1-A2E6-7EFE6CD42B70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24-BF66-42B1-A2E6-7EFE6CD42B70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25-BF66-42B1-A2E6-7EFE6CD42B70}"/>
              </c:ext>
            </c:extLst>
          </c:dPt>
          <c:cat>
            <c:strRef>
              <c:f>graph!$C$23:$C$26</c:f>
              <c:strCache>
                <c:ptCount val="4"/>
                <c:pt idx="0">
                  <c:v>Traditional z</c:v>
                </c:pt>
                <c:pt idx="1">
                  <c:v>Power HW</c:v>
                </c:pt>
                <c:pt idx="2">
                  <c:v>Storage HW</c:v>
                </c:pt>
                <c:pt idx="3">
                  <c:v>GARS</c:v>
                </c:pt>
              </c:strCache>
            </c:strRef>
          </c:cat>
          <c:val>
            <c:numRef>
              <c:f>graph!$D$23:$D$26</c:f>
              <c:numCache>
                <c:formatCode>0</c:formatCode>
                <c:ptCount val="4"/>
                <c:pt idx="0">
                  <c:v>129.49897691300004</c:v>
                </c:pt>
                <c:pt idx="1">
                  <c:v>79.566730337899983</c:v>
                </c:pt>
                <c:pt idx="2">
                  <c:v>233.99971098570003</c:v>
                </c:pt>
                <c:pt idx="3">
                  <c:v>5.5241985599999994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BF66-42B1-A2E6-7EFE6CD42B70}"/>
            </c:ext>
          </c:extLst>
        </c:ser>
        <c:ser>
          <c:idx val="0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F66-42B1-A2E6-7EFE6CD42B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accent2">
                    <a:lumMod val="20000"/>
                    <a:lumOff val="8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F66-42B1-A2E6-7EFE6CD42B7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F66-42B1-A2E6-7EFE6CD42B7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F66-42B1-A2E6-7EFE6CD42B70}"/>
              </c:ext>
            </c:extLst>
          </c:dPt>
          <c:cat>
            <c:strRef>
              <c:f>graph!$C$23:$C$26</c:f>
              <c:strCache>
                <c:ptCount val="4"/>
                <c:pt idx="0">
                  <c:v>Traditional z</c:v>
                </c:pt>
                <c:pt idx="1">
                  <c:v>Power HW</c:v>
                </c:pt>
                <c:pt idx="2">
                  <c:v>Storage HW</c:v>
                </c:pt>
                <c:pt idx="3">
                  <c:v>GARS</c:v>
                </c:pt>
              </c:strCache>
            </c:strRef>
          </c:cat>
          <c:val>
            <c:numRef>
              <c:f>graph!$D$23:$D$26</c:f>
              <c:numCache>
                <c:formatCode>0</c:formatCode>
                <c:ptCount val="4"/>
                <c:pt idx="0">
                  <c:v>129.49897691300004</c:v>
                </c:pt>
                <c:pt idx="1">
                  <c:v>79.566730337899983</c:v>
                </c:pt>
                <c:pt idx="2">
                  <c:v>233.99971098570003</c:v>
                </c:pt>
                <c:pt idx="3">
                  <c:v>5.5241985599999994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BF66-42B1-A2E6-7EFE6CD42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FIRM LOAD BY GEO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9B-4B17-A52C-9858041A93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9B-4B17-A52C-9858041A93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9B-4B17-A52C-9858041A93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39B-4B17-A52C-9858041A931B}"/>
              </c:ext>
            </c:extLst>
          </c:dPt>
          <c:cat>
            <c:strRef>
              <c:f>graph!$C$30:$C$33</c:f>
              <c:strCache>
                <c:ptCount val="4"/>
                <c:pt idx="0">
                  <c:v>Americas</c:v>
                </c:pt>
                <c:pt idx="1">
                  <c:v>EMEA</c:v>
                </c:pt>
                <c:pt idx="2">
                  <c:v>Japan</c:v>
                </c:pt>
                <c:pt idx="3">
                  <c:v>APAC</c:v>
                </c:pt>
              </c:strCache>
            </c:strRef>
          </c:cat>
          <c:val>
            <c:numRef>
              <c:f>graph!$D$30:$D$33</c:f>
              <c:numCache>
                <c:formatCode>0</c:formatCode>
                <c:ptCount val="4"/>
                <c:pt idx="0">
                  <c:v>166.08076965870009</c:v>
                </c:pt>
                <c:pt idx="1">
                  <c:v>173.31338095340021</c:v>
                </c:pt>
                <c:pt idx="2">
                  <c:v>60.107739174500004</c:v>
                </c:pt>
                <c:pt idx="3">
                  <c:v>43.563528450000021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9B-4B17-A52C-9858041A9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4Q'24 WEEKLY RETAIL</a:t>
            </a:r>
            <a:r>
              <a:rPr lang="en-US" baseline="0"/>
              <a:t> 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graph!$Q$18</c:f>
              <c:strCache>
                <c:ptCount val="1"/>
                <c:pt idx="0">
                  <c:v>Retail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graph!$R$17:$AD$17</c:f>
              <c:strCache>
                <c:ptCount val="13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</c:strCache>
            </c:strRef>
          </c:cat>
          <c:val>
            <c:numRef>
              <c:f>graph!$R$18:$AD$18</c:f>
              <c:numCache>
                <c:formatCode>0</c:formatCode>
                <c:ptCount val="13"/>
                <c:pt idx="0">
                  <c:v>0</c:v>
                </c:pt>
                <c:pt idx="1">
                  <c:v>612.21654944290049</c:v>
                </c:pt>
                <c:pt idx="2">
                  <c:v>661.00777272280072</c:v>
                </c:pt>
                <c:pt idx="3">
                  <c:v>791.23818507660064</c:v>
                </c:pt>
                <c:pt idx="4">
                  <c:v>1115.4991646633998</c:v>
                </c:pt>
                <c:pt idx="5">
                  <c:v>1441.663521587599</c:v>
                </c:pt>
                <c:pt idx="6">
                  <c:v>397.70232866279923</c:v>
                </c:pt>
                <c:pt idx="7">
                  <c:v>508.92735339019941</c:v>
                </c:pt>
                <c:pt idx="8">
                  <c:v>743.93305631589976</c:v>
                </c:pt>
                <c:pt idx="9">
                  <c:v>797.41308971520004</c:v>
                </c:pt>
                <c:pt idx="10">
                  <c:v>997.54390983729979</c:v>
                </c:pt>
                <c:pt idx="11">
                  <c:v>1512.742733620498</c:v>
                </c:pt>
                <c:pt idx="12">
                  <c:v>2268.9539711857997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0-41FB-997E-721F98EF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848304"/>
        <c:axId val="810832080"/>
      </c:barChart>
      <c:lineChart>
        <c:grouping val="standard"/>
        <c:varyColors val="0"/>
        <c:ser>
          <c:idx val="1"/>
          <c:order val="1"/>
          <c:tx>
            <c:strRef>
              <c:f>graph!$Q$19</c:f>
              <c:strCache>
                <c:ptCount val="1"/>
                <c:pt idx="0">
                  <c:v>Retail Tracks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graph!$R$17:$AD$17</c:f>
              <c:strCache>
                <c:ptCount val="13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</c:strCache>
            </c:strRef>
          </c:cat>
          <c:val>
            <c:numRef>
              <c:f>graph!$R$19:$AD$19</c:f>
              <c:numCache>
                <c:formatCode>0</c:formatCode>
                <c:ptCount val="13"/>
                <c:pt idx="0">
                  <c:v>146.22326822476711</c:v>
                </c:pt>
                <c:pt idx="1">
                  <c:v>210.57538820155534</c:v>
                </c:pt>
                <c:pt idx="2">
                  <c:v>281.11779803376749</c:v>
                </c:pt>
                <c:pt idx="3">
                  <c:v>346.47533027880593</c:v>
                </c:pt>
                <c:pt idx="4">
                  <c:v>448.17492996906623</c:v>
                </c:pt>
                <c:pt idx="5">
                  <c:v>532.44685707008489</c:v>
                </c:pt>
                <c:pt idx="6">
                  <c:v>660.5824442612228</c:v>
                </c:pt>
                <c:pt idx="7">
                  <c:v>870.20814960735208</c:v>
                </c:pt>
                <c:pt idx="8">
                  <c:v>1144.8914451346898</c:v>
                </c:pt>
                <c:pt idx="9">
                  <c:v>1484.2852222453548</c:v>
                </c:pt>
                <c:pt idx="10">
                  <c:v>1757.7513946785543</c:v>
                </c:pt>
                <c:pt idx="11">
                  <c:v>2024.5911352926419</c:v>
                </c:pt>
                <c:pt idx="12">
                  <c:v>2701.9325537425775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0-41FB-997E-721F98EF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848304"/>
        <c:axId val="810832080"/>
      </c:lineChart>
      <c:catAx>
        <c:axId val="8108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32080"/>
        <c:crosses val="autoZero"/>
        <c:auto val="1"/>
        <c:lblAlgn val="ctr"/>
        <c:lblOffset val="100"/>
        <c:noMultiLvlLbl val="0"/>
      </c:catAx>
      <c:valAx>
        <c:axId val="810832080"/>
        <c:scaling>
          <c:orientation val="minMax"/>
          <c:max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483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 LOAD BY BRAND</a:t>
            </a:r>
          </a:p>
        </c:rich>
      </c:tx>
      <c:layout>
        <c:manualLayout>
          <c:xMode val="edge"/>
          <c:yMode val="edge"/>
          <c:x val="0.3145636464702613"/>
          <c:y val="2.857142857142857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1"/>
          <c:order val="0"/>
          <c:cat>
            <c:strRef>
              <c:f>graph!$F$23:$F$26</c:f>
              <c:strCache>
                <c:ptCount val="4"/>
                <c:pt idx="0">
                  <c:v>Traditional z</c:v>
                </c:pt>
                <c:pt idx="1">
                  <c:v>Power HW</c:v>
                </c:pt>
                <c:pt idx="2">
                  <c:v>Storage HW</c:v>
                </c:pt>
                <c:pt idx="3">
                  <c:v>GARS</c:v>
                </c:pt>
              </c:strCache>
            </c:strRef>
          </c:cat>
          <c:val>
            <c:numRef>
              <c:f>graph!$G$23:$G$26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5B3-494A-A0AD-C6BA876CB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RETAIL LOAD BY GEO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26-4F6A-A381-8FE6998AC4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26-4F6A-A381-8FE6998AC4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26-4F6A-A381-8FE6998AC4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26-4F6A-A381-8FE6998AC477}"/>
              </c:ext>
            </c:extLst>
          </c:dPt>
          <c:cat>
            <c:strRef>
              <c:f>graph!$F$30:$F$33</c:f>
              <c:strCache>
                <c:ptCount val="4"/>
                <c:pt idx="0">
                  <c:v>Americas</c:v>
                </c:pt>
                <c:pt idx="1">
                  <c:v>EMEA</c:v>
                </c:pt>
                <c:pt idx="2">
                  <c:v>Japan</c:v>
                </c:pt>
                <c:pt idx="3">
                  <c:v>APAC</c:v>
                </c:pt>
              </c:strCache>
            </c:strRef>
          </c:cat>
          <c:val>
            <c:numRef>
              <c:f>graph!$G$30:$G$33</c:f>
              <c:numCache>
                <c:formatCode>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26-4F6A-A381-8FE6998A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4Q'24 WEEKLY FIRM</a:t>
            </a:r>
            <a:r>
              <a:rPr lang="en-US" baseline="0"/>
              <a:t> 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graph!$C$18</c:f>
              <c:strCache>
                <c:ptCount val="1"/>
                <c:pt idx="0">
                  <c:v>Firm Load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graph!$D$17:$P$17</c:f>
              <c:strCache>
                <c:ptCount val="13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</c:strCache>
            </c:strRef>
          </c:cat>
          <c:val>
            <c:numRef>
              <c:f>graph!$D$18:$P$18</c:f>
              <c:numCache>
                <c:formatCode>0</c:formatCode>
                <c:ptCount val="13"/>
                <c:pt idx="0">
                  <c:v>0</c:v>
                </c:pt>
                <c:pt idx="1">
                  <c:v>96.99833210220001</c:v>
                </c:pt>
                <c:pt idx="2">
                  <c:v>155.97590639010002</c:v>
                </c:pt>
                <c:pt idx="3">
                  <c:v>203.79162680229993</c:v>
                </c:pt>
                <c:pt idx="4">
                  <c:v>305.16829324629936</c:v>
                </c:pt>
                <c:pt idx="5">
                  <c:v>347.0073519767995</c:v>
                </c:pt>
                <c:pt idx="6">
                  <c:v>397.70232866279923</c:v>
                </c:pt>
                <c:pt idx="7">
                  <c:v>508.92735339019941</c:v>
                </c:pt>
                <c:pt idx="8">
                  <c:v>743.93305631589976</c:v>
                </c:pt>
                <c:pt idx="9">
                  <c:v>797.41308971520004</c:v>
                </c:pt>
                <c:pt idx="10">
                  <c:v>997.54390983729979</c:v>
                </c:pt>
                <c:pt idx="11">
                  <c:v>1512.742733620498</c:v>
                </c:pt>
                <c:pt idx="12">
                  <c:v>2268.9539711857997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E-4600-9F04-52DD49FE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848304"/>
        <c:axId val="810832080"/>
      </c:barChart>
      <c:lineChart>
        <c:grouping val="standard"/>
        <c:varyColors val="0"/>
        <c:ser>
          <c:idx val="1"/>
          <c:order val="1"/>
          <c:tx>
            <c:strRef>
              <c:f>graph!$C$19</c:f>
              <c:strCache>
                <c:ptCount val="1"/>
                <c:pt idx="0">
                  <c:v>Firm Tracks</c:v>
                </c:pt>
              </c:strCache>
            </c:strRef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graph!$D$17:$P$17</c:f>
              <c:strCache>
                <c:ptCount val="13"/>
                <c:pt idx="0">
                  <c:v>WK1</c:v>
                </c:pt>
                <c:pt idx="1">
                  <c:v>WK2</c:v>
                </c:pt>
                <c:pt idx="2">
                  <c:v>WK3</c:v>
                </c:pt>
                <c:pt idx="3">
                  <c:v>WK4</c:v>
                </c:pt>
                <c:pt idx="4">
                  <c:v>WK5</c:v>
                </c:pt>
                <c:pt idx="5">
                  <c:v>WK6</c:v>
                </c:pt>
                <c:pt idx="6">
                  <c:v>WK7</c:v>
                </c:pt>
                <c:pt idx="7">
                  <c:v>WK8</c:v>
                </c:pt>
                <c:pt idx="8">
                  <c:v>WK9</c:v>
                </c:pt>
                <c:pt idx="9">
                  <c:v>WK10</c:v>
                </c:pt>
                <c:pt idx="10">
                  <c:v>WK11</c:v>
                </c:pt>
                <c:pt idx="11">
                  <c:v>WK12</c:v>
                </c:pt>
                <c:pt idx="12">
                  <c:v>WK13</c:v>
                </c:pt>
              </c:strCache>
            </c:strRef>
          </c:cat>
          <c:val>
            <c:numRef>
              <c:f>graph!$D$19:$P$19</c:f>
              <c:numCache>
                <c:formatCode>0</c:formatCode>
                <c:ptCount val="13"/>
                <c:pt idx="0">
                  <c:v>146.22326822476711</c:v>
                </c:pt>
                <c:pt idx="1">
                  <c:v>210.57538820155534</c:v>
                </c:pt>
                <c:pt idx="2">
                  <c:v>281.11779803376749</c:v>
                </c:pt>
                <c:pt idx="3">
                  <c:v>346.47533027880593</c:v>
                </c:pt>
                <c:pt idx="4">
                  <c:v>448.17492996906623</c:v>
                </c:pt>
                <c:pt idx="5">
                  <c:v>532.44685707008489</c:v>
                </c:pt>
                <c:pt idx="6">
                  <c:v>660.5824442612228</c:v>
                </c:pt>
                <c:pt idx="7">
                  <c:v>870.20814960735208</c:v>
                </c:pt>
                <c:pt idx="8">
                  <c:v>1144.8914451346898</c:v>
                </c:pt>
                <c:pt idx="9">
                  <c:v>1484.2852222453548</c:v>
                </c:pt>
                <c:pt idx="10">
                  <c:v>1757.7513946785543</c:v>
                </c:pt>
                <c:pt idx="11">
                  <c:v>2024.5911352926419</c:v>
                </c:pt>
                <c:pt idx="12">
                  <c:v>2701.9325537425775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7E-4600-9F04-52DD49FE5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0848304"/>
        <c:axId val="810832080"/>
      </c:lineChart>
      <c:catAx>
        <c:axId val="810848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32080"/>
        <c:crosses val="autoZero"/>
        <c:auto val="1"/>
        <c:lblAlgn val="ctr"/>
        <c:lblOffset val="100"/>
        <c:noMultiLvlLbl val="0"/>
      </c:catAx>
      <c:valAx>
        <c:axId val="810832080"/>
        <c:scaling>
          <c:orientation val="minMax"/>
          <c:max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848304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254000</xdr:colOff>
      <xdr:row>19</xdr:row>
      <xdr:rowOff>165100</xdr:rowOff>
    </xdr:from>
    <xdr:to>
      <xdr:col>13</xdr:col>
      <xdr:colOff>327660</xdr:colOff>
      <xdr:row>34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D55D8F-E628-40A6-B0A0-6BD6EC5D9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148413</xdr:colOff>
      <xdr:row>19</xdr:row>
      <xdr:rowOff>165100</xdr:rowOff>
    </xdr:from>
    <xdr:to>
      <xdr:col>21</xdr:col>
      <xdr:colOff>97972</xdr:colOff>
      <xdr:row>35</xdr:row>
      <xdr:rowOff>20320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C369924-FE14-4AA8-911C-7D98A2AE5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1186544</xdr:colOff>
      <xdr:row>37</xdr:row>
      <xdr:rowOff>0</xdr:rowOff>
    </xdr:from>
    <xdr:to>
      <xdr:col>6</xdr:col>
      <xdr:colOff>96884</xdr:colOff>
      <xdr:row>52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8FBDE8-8017-401B-8022-4D67C3D1E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272146</xdr:colOff>
      <xdr:row>37</xdr:row>
      <xdr:rowOff>0</xdr:rowOff>
    </xdr:from>
    <xdr:to>
      <xdr:col>13</xdr:col>
      <xdr:colOff>345806</xdr:colOff>
      <xdr:row>52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008AC52-BFC5-4235-ADF0-F49F089FC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533398</xdr:colOff>
      <xdr:row>37</xdr:row>
      <xdr:rowOff>0</xdr:rowOff>
    </xdr:from>
    <xdr:to>
      <xdr:col>21</xdr:col>
      <xdr:colOff>228598</xdr:colOff>
      <xdr:row>52</xdr:row>
      <xdr:rowOff>40278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31D90DC-1BA2-4A76-BF85-4004AA0D4D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1208318</xdr:colOff>
      <xdr:row>20</xdr:row>
      <xdr:rowOff>0</xdr:rowOff>
    </xdr:from>
    <xdr:to>
      <xdr:col>6</xdr:col>
      <xdr:colOff>118658</xdr:colOff>
      <xdr:row>35</xdr:row>
      <xdr:rowOff>-1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85774AE-27A7-4B3F-8D18-C67272AD4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BM_ADMIN/AppData/Roaming/Microsoft/AddIns/IBM%20TM1%20Mapped%20Worksheets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"/>
      <sheetName val="IBM TM1 Mapped Worksheets"/>
    </sheetNames>
    <definedNames>
      <definedName name="TM1RangeSlice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6" Type="http://schemas.openxmlformats.org/officeDocument/2006/relationships/customProperty" Target="../customProperty16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5" Type="http://schemas.openxmlformats.org/officeDocument/2006/relationships/customProperty" Target="../customProperty1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8.bin"/><Relationship Id="rId2" Type="http://schemas.openxmlformats.org/officeDocument/2006/relationships/customProperty" Target="../customProperty17.bin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0.bin"/><Relationship Id="rId2" Type="http://schemas.openxmlformats.org/officeDocument/2006/relationships/customProperty" Target="../customProperty19.bin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7.bin"/><Relationship Id="rId13" Type="http://schemas.openxmlformats.org/officeDocument/2006/relationships/customProperty" Target="../customProperty32.bin"/><Relationship Id="rId18" Type="http://schemas.openxmlformats.org/officeDocument/2006/relationships/customProperty" Target="../customProperty37.bin"/><Relationship Id="rId3" Type="http://schemas.openxmlformats.org/officeDocument/2006/relationships/customProperty" Target="../customProperty22.bin"/><Relationship Id="rId21" Type="http://schemas.openxmlformats.org/officeDocument/2006/relationships/customProperty" Target="../customProperty40.bin"/><Relationship Id="rId7" Type="http://schemas.openxmlformats.org/officeDocument/2006/relationships/customProperty" Target="../customProperty26.bin"/><Relationship Id="rId12" Type="http://schemas.openxmlformats.org/officeDocument/2006/relationships/customProperty" Target="../customProperty31.bin"/><Relationship Id="rId17" Type="http://schemas.openxmlformats.org/officeDocument/2006/relationships/customProperty" Target="../customProperty36.bin"/><Relationship Id="rId2" Type="http://schemas.openxmlformats.org/officeDocument/2006/relationships/customProperty" Target="../customProperty21.bin"/><Relationship Id="rId16" Type="http://schemas.openxmlformats.org/officeDocument/2006/relationships/customProperty" Target="../customProperty35.bin"/><Relationship Id="rId20" Type="http://schemas.openxmlformats.org/officeDocument/2006/relationships/customProperty" Target="../customProperty39.bin"/><Relationship Id="rId1" Type="http://schemas.openxmlformats.org/officeDocument/2006/relationships/printerSettings" Target="../printerSettings/printerSettings7.bin"/><Relationship Id="rId6" Type="http://schemas.openxmlformats.org/officeDocument/2006/relationships/customProperty" Target="../customProperty25.bin"/><Relationship Id="rId11" Type="http://schemas.openxmlformats.org/officeDocument/2006/relationships/customProperty" Target="../customProperty30.bin"/><Relationship Id="rId5" Type="http://schemas.openxmlformats.org/officeDocument/2006/relationships/customProperty" Target="../customProperty24.bin"/><Relationship Id="rId15" Type="http://schemas.openxmlformats.org/officeDocument/2006/relationships/customProperty" Target="../customProperty34.bin"/><Relationship Id="rId10" Type="http://schemas.openxmlformats.org/officeDocument/2006/relationships/customProperty" Target="../customProperty29.bin"/><Relationship Id="rId19" Type="http://schemas.openxmlformats.org/officeDocument/2006/relationships/customProperty" Target="../customProperty38.bin"/><Relationship Id="rId4" Type="http://schemas.openxmlformats.org/officeDocument/2006/relationships/customProperty" Target="../customProperty23.bin"/><Relationship Id="rId9" Type="http://schemas.openxmlformats.org/officeDocument/2006/relationships/customProperty" Target="../customProperty28.bin"/><Relationship Id="rId14" Type="http://schemas.openxmlformats.org/officeDocument/2006/relationships/customProperty" Target="../customProperty33.bin"/><Relationship Id="rId22" Type="http://schemas.openxmlformats.org/officeDocument/2006/relationships/customProperty" Target="../customProperty4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3.bin"/><Relationship Id="rId2" Type="http://schemas.openxmlformats.org/officeDocument/2006/relationships/customProperty" Target="../customProperty42.bin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5.bin"/><Relationship Id="rId2" Type="http://schemas.openxmlformats.org/officeDocument/2006/relationships/customProperty" Target="../customProperty44.bin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7.bin"/><Relationship Id="rId2" Type="http://schemas.openxmlformats.org/officeDocument/2006/relationships/customProperty" Target="../customProperty46.bin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9.bin"/><Relationship Id="rId2" Type="http://schemas.openxmlformats.org/officeDocument/2006/relationships/customProperty" Target="../customProperty48.bin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1.bin"/><Relationship Id="rId1" Type="http://schemas.openxmlformats.org/officeDocument/2006/relationships/customProperty" Target="../customProperty50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8.bin"/><Relationship Id="rId13" Type="http://schemas.openxmlformats.org/officeDocument/2006/relationships/customProperty" Target="../customProperty63.bin"/><Relationship Id="rId18" Type="http://schemas.openxmlformats.org/officeDocument/2006/relationships/customProperty" Target="../customProperty68.bin"/><Relationship Id="rId3" Type="http://schemas.openxmlformats.org/officeDocument/2006/relationships/customProperty" Target="../customProperty53.bin"/><Relationship Id="rId21" Type="http://schemas.openxmlformats.org/officeDocument/2006/relationships/customProperty" Target="../customProperty71.bin"/><Relationship Id="rId7" Type="http://schemas.openxmlformats.org/officeDocument/2006/relationships/customProperty" Target="../customProperty57.bin"/><Relationship Id="rId12" Type="http://schemas.openxmlformats.org/officeDocument/2006/relationships/customProperty" Target="../customProperty62.bin"/><Relationship Id="rId17" Type="http://schemas.openxmlformats.org/officeDocument/2006/relationships/customProperty" Target="../customProperty67.bin"/><Relationship Id="rId2" Type="http://schemas.openxmlformats.org/officeDocument/2006/relationships/customProperty" Target="../customProperty52.bin"/><Relationship Id="rId16" Type="http://schemas.openxmlformats.org/officeDocument/2006/relationships/customProperty" Target="../customProperty66.bin"/><Relationship Id="rId20" Type="http://schemas.openxmlformats.org/officeDocument/2006/relationships/customProperty" Target="../customProperty70.bin"/><Relationship Id="rId1" Type="http://schemas.openxmlformats.org/officeDocument/2006/relationships/printerSettings" Target="../printerSettings/printerSettings12.bin"/><Relationship Id="rId6" Type="http://schemas.openxmlformats.org/officeDocument/2006/relationships/customProperty" Target="../customProperty56.bin"/><Relationship Id="rId11" Type="http://schemas.openxmlformats.org/officeDocument/2006/relationships/customProperty" Target="../customProperty61.bin"/><Relationship Id="rId5" Type="http://schemas.openxmlformats.org/officeDocument/2006/relationships/customProperty" Target="../customProperty55.bin"/><Relationship Id="rId15" Type="http://schemas.openxmlformats.org/officeDocument/2006/relationships/customProperty" Target="../customProperty65.bin"/><Relationship Id="rId10" Type="http://schemas.openxmlformats.org/officeDocument/2006/relationships/customProperty" Target="../customProperty60.bin"/><Relationship Id="rId19" Type="http://schemas.openxmlformats.org/officeDocument/2006/relationships/customProperty" Target="../customProperty69.bin"/><Relationship Id="rId4" Type="http://schemas.openxmlformats.org/officeDocument/2006/relationships/customProperty" Target="../customProperty54.bin"/><Relationship Id="rId9" Type="http://schemas.openxmlformats.org/officeDocument/2006/relationships/customProperty" Target="../customProperty59.bin"/><Relationship Id="rId14" Type="http://schemas.openxmlformats.org/officeDocument/2006/relationships/customProperty" Target="../customProperty64.bin"/><Relationship Id="rId22" Type="http://schemas.openxmlformats.org/officeDocument/2006/relationships/customProperty" Target="../customProperty72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79.bin"/><Relationship Id="rId13" Type="http://schemas.openxmlformats.org/officeDocument/2006/relationships/customProperty" Target="../customProperty84.bin"/><Relationship Id="rId18" Type="http://schemas.openxmlformats.org/officeDocument/2006/relationships/customProperty" Target="../customProperty89.bin"/><Relationship Id="rId3" Type="http://schemas.openxmlformats.org/officeDocument/2006/relationships/customProperty" Target="../customProperty74.bin"/><Relationship Id="rId21" Type="http://schemas.openxmlformats.org/officeDocument/2006/relationships/customProperty" Target="../customProperty92.bin"/><Relationship Id="rId7" Type="http://schemas.openxmlformats.org/officeDocument/2006/relationships/customProperty" Target="../customProperty78.bin"/><Relationship Id="rId12" Type="http://schemas.openxmlformats.org/officeDocument/2006/relationships/customProperty" Target="../customProperty83.bin"/><Relationship Id="rId17" Type="http://schemas.openxmlformats.org/officeDocument/2006/relationships/customProperty" Target="../customProperty88.bin"/><Relationship Id="rId2" Type="http://schemas.openxmlformats.org/officeDocument/2006/relationships/customProperty" Target="../customProperty73.bin"/><Relationship Id="rId16" Type="http://schemas.openxmlformats.org/officeDocument/2006/relationships/customProperty" Target="../customProperty87.bin"/><Relationship Id="rId20" Type="http://schemas.openxmlformats.org/officeDocument/2006/relationships/customProperty" Target="../customProperty91.bin"/><Relationship Id="rId1" Type="http://schemas.openxmlformats.org/officeDocument/2006/relationships/printerSettings" Target="../printerSettings/printerSettings13.bin"/><Relationship Id="rId6" Type="http://schemas.openxmlformats.org/officeDocument/2006/relationships/customProperty" Target="../customProperty77.bin"/><Relationship Id="rId11" Type="http://schemas.openxmlformats.org/officeDocument/2006/relationships/customProperty" Target="../customProperty82.bin"/><Relationship Id="rId5" Type="http://schemas.openxmlformats.org/officeDocument/2006/relationships/customProperty" Target="../customProperty76.bin"/><Relationship Id="rId15" Type="http://schemas.openxmlformats.org/officeDocument/2006/relationships/customProperty" Target="../customProperty86.bin"/><Relationship Id="rId23" Type="http://schemas.openxmlformats.org/officeDocument/2006/relationships/customProperty" Target="../customProperty94.bin"/><Relationship Id="rId10" Type="http://schemas.openxmlformats.org/officeDocument/2006/relationships/customProperty" Target="../customProperty81.bin"/><Relationship Id="rId19" Type="http://schemas.openxmlformats.org/officeDocument/2006/relationships/customProperty" Target="../customProperty90.bin"/><Relationship Id="rId4" Type="http://schemas.openxmlformats.org/officeDocument/2006/relationships/customProperty" Target="../customProperty75.bin"/><Relationship Id="rId9" Type="http://schemas.openxmlformats.org/officeDocument/2006/relationships/customProperty" Target="../customProperty80.bin"/><Relationship Id="rId14" Type="http://schemas.openxmlformats.org/officeDocument/2006/relationships/customProperty" Target="../customProperty85.bin"/><Relationship Id="rId22" Type="http://schemas.openxmlformats.org/officeDocument/2006/relationships/customProperty" Target="../customProperty9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34A88-F6D0-48EC-9DC8-D1C111A22476}">
  <dimension ref="A1"/>
  <sheetViews>
    <sheetView workbookViewId="0"/>
  </sheetViews>
  <sheetFormatPr defaultRowHeight="14.4"/>
  <sheetData/>
  <pageMargins left="0.7" right="0.7" top="0.75" bottom="0.75" header="0.3" footer="0.3"/>
  <customProperties>
    <customPr name="CafeStyleVersion" r:id="rId1"/>
    <customPr name="LastTupleSet_0" r:id="rId2"/>
    <customPr name="LastTupleSet_1" r:id="rId3"/>
    <customPr name="LastTupleSet_10" r:id="rId4"/>
    <customPr name="LastTupleSet_11" r:id="rId5"/>
    <customPr name="LastTupleSet_12" r:id="rId6"/>
    <customPr name="LastTupleSet_2" r:id="rId7"/>
    <customPr name="LastTupleSet_3" r:id="rId8"/>
    <customPr name="LastTupleSet_4" r:id="rId9"/>
    <customPr name="LastTupleSet_5" r:id="rId10"/>
    <customPr name="LastTupleSet_6" r:id="rId11"/>
    <customPr name="LastTupleSet_7" r:id="rId12"/>
    <customPr name="LastTupleSet_8" r:id="rId13"/>
    <customPr name="LastTupleSet_9" r:id="rId14"/>
    <customPr name="LastTupleSet_COR_MapAnnotations" r:id="rId15"/>
    <customPr name="LastTupleSet_COR_Mappings" r:id="rId16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3C7F-30AF-42F1-9D14-FD2DFB674ED3}">
  <dimension ref="A1:AB57"/>
  <sheetViews>
    <sheetView zoomScale="70" zoomScaleNormal="70" workbookViewId="0">
      <selection activeCell="B14" sqref="B14:C14"/>
    </sheetView>
  </sheetViews>
  <sheetFormatPr defaultRowHeight="14.4" outlineLevelRow="1"/>
  <cols>
    <col min="1" max="1" width="24.6640625" customWidth="1"/>
    <col min="2" max="2" width="13.6640625" customWidth="1"/>
    <col min="3" max="3" width="13.5546875" customWidth="1"/>
    <col min="4" max="4" width="3.44140625" customWidth="1"/>
    <col min="5" max="6" width="13.6640625" customWidth="1"/>
    <col min="7" max="7" width="13.33203125" customWidth="1"/>
    <col min="8" max="8" width="10.6640625" customWidth="1"/>
    <col min="10" max="10" width="3.6640625" customWidth="1"/>
    <col min="12" max="13" width="13.6640625" customWidth="1"/>
    <col min="14" max="14" width="3.5546875" customWidth="1"/>
    <col min="15" max="16" width="13.6640625" customWidth="1"/>
    <col min="17" max="17" width="15.109375" customWidth="1"/>
    <col min="18" max="18" width="8.88671875" customWidth="1"/>
    <col min="20" max="20" width="3.6640625" customWidth="1"/>
    <col min="21" max="28" width="8.88671875" style="2"/>
  </cols>
  <sheetData>
    <row r="1" spans="1:28" s="2" customFormat="1" outlineLevel="1"/>
    <row r="2" spans="1:2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8" ht="37.200000000000003" customHeight="1">
      <c r="A3" s="2"/>
      <c r="B3" s="506" t="str">
        <f>CONCATENATE(INPUT!B2,INPUT!B1," Firm Load")</f>
        <v>4Q25 Firm Load</v>
      </c>
      <c r="C3" s="507"/>
      <c r="D3" s="2"/>
      <c r="E3" s="506" t="str">
        <f>CONCATENATE(INPUT!B2,INPUT!B1," Retail Load")</f>
        <v>4Q25 Retail Load</v>
      </c>
      <c r="F3" s="507"/>
      <c r="G3" s="2"/>
      <c r="H3" s="2"/>
      <c r="I3" s="2"/>
      <c r="J3" s="2"/>
      <c r="K3" s="2"/>
      <c r="L3" s="506" t="str">
        <f>CONCATENATE(INPUT!B2,INPUT!B1,"QTD Firm Load")</f>
        <v>4Q25QTD Firm Load</v>
      </c>
      <c r="M3" s="507"/>
      <c r="N3" s="2"/>
      <c r="O3" s="506" t="str">
        <f>CONCATENATE(INPUT!B2,INPUT!B1,"QTD Retail Load")</f>
        <v>4Q25QTD Retail Load</v>
      </c>
      <c r="P3" s="507"/>
      <c r="Q3" s="2"/>
      <c r="R3" s="2"/>
      <c r="S3" s="2"/>
      <c r="T3" s="2"/>
    </row>
    <row r="4" spans="1:28" ht="10.95" customHeight="1">
      <c r="A4" s="2"/>
      <c r="B4" s="510"/>
      <c r="C4" s="511"/>
      <c r="D4" s="2"/>
      <c r="E4" s="340"/>
      <c r="F4" s="341"/>
      <c r="G4" s="2"/>
      <c r="H4" s="2"/>
      <c r="I4" s="2"/>
      <c r="J4" s="2"/>
      <c r="K4" s="2"/>
      <c r="L4" s="510"/>
      <c r="M4" s="511"/>
      <c r="N4" s="2"/>
      <c r="O4" s="340"/>
      <c r="P4" s="341"/>
      <c r="Q4" s="2"/>
      <c r="R4" s="2"/>
      <c r="S4" s="2"/>
      <c r="T4" s="2"/>
    </row>
    <row r="5" spans="1:28" s="1" customFormat="1" ht="13.2" customHeight="1">
      <c r="A5" s="91"/>
      <c r="B5" s="512">
        <f>WW!H9</f>
        <v>448.58961679660007</v>
      </c>
      <c r="C5" s="513"/>
      <c r="D5" s="91"/>
      <c r="E5" s="512" t="e">
        <f>WW!#REF!</f>
        <v>#REF!</v>
      </c>
      <c r="F5" s="513"/>
      <c r="G5" s="91"/>
      <c r="H5" s="353" t="e">
        <f>E5-743-18</f>
        <v>#REF!</v>
      </c>
      <c r="I5" s="91"/>
      <c r="J5" s="91"/>
      <c r="K5" s="91"/>
      <c r="L5" s="512">
        <f>WW!H49</f>
        <v>326.86944344080007</v>
      </c>
      <c r="M5" s="513"/>
      <c r="N5" s="91"/>
      <c r="O5" s="512" t="e">
        <f>WW!#REF!</f>
        <v>#REF!</v>
      </c>
      <c r="P5" s="513"/>
      <c r="Q5" s="91"/>
      <c r="R5" s="353" t="e">
        <f>O5-743</f>
        <v>#REF!</v>
      </c>
      <c r="S5" s="91"/>
      <c r="T5" s="91"/>
      <c r="U5" s="91"/>
      <c r="V5" s="91"/>
      <c r="W5" s="91"/>
      <c r="X5" s="91"/>
      <c r="Y5" s="91"/>
      <c r="Z5" s="91"/>
      <c r="AA5" s="91"/>
      <c r="AB5" s="91"/>
    </row>
    <row r="6" spans="1:28">
      <c r="A6" s="2"/>
      <c r="B6" s="514" t="s">
        <v>186</v>
      </c>
      <c r="C6" s="515"/>
      <c r="D6" s="2"/>
      <c r="E6" s="514" t="s">
        <v>186</v>
      </c>
      <c r="F6" s="515"/>
      <c r="G6" s="2"/>
      <c r="H6" s="2"/>
      <c r="I6" s="2"/>
      <c r="J6" s="2"/>
      <c r="K6" s="146"/>
      <c r="L6" s="514" t="s">
        <v>186</v>
      </c>
      <c r="M6" s="515"/>
      <c r="N6" s="2"/>
      <c r="O6" s="514" t="s">
        <v>186</v>
      </c>
      <c r="P6" s="515"/>
      <c r="Q6" s="2"/>
      <c r="R6" s="2"/>
      <c r="S6" s="2"/>
      <c r="T6" s="2"/>
    </row>
    <row r="7" spans="1:28" ht="24" customHeight="1">
      <c r="A7" s="2"/>
      <c r="B7" s="330">
        <f>WW!K9</f>
        <v>0.15984053451364866</v>
      </c>
      <c r="C7" s="331" t="s">
        <v>53</v>
      </c>
      <c r="D7" s="2"/>
      <c r="E7" s="330" t="e">
        <f>WW!#REF!</f>
        <v>#REF!</v>
      </c>
      <c r="F7" s="331" t="s">
        <v>53</v>
      </c>
      <c r="G7" s="2"/>
      <c r="H7" s="2"/>
      <c r="I7" s="2"/>
      <c r="J7" s="2"/>
      <c r="K7" s="161"/>
      <c r="L7" s="330">
        <f>WW!K49</f>
        <v>0.54610408846584968</v>
      </c>
      <c r="M7" s="331" t="s">
        <v>53</v>
      </c>
      <c r="N7" s="2"/>
      <c r="O7" s="330" t="e">
        <f>WW!#REF!</f>
        <v>#REF!</v>
      </c>
      <c r="P7" s="331" t="s">
        <v>53</v>
      </c>
      <c r="Q7" s="2"/>
      <c r="R7" s="2"/>
      <c r="S7" s="2"/>
      <c r="T7" s="2"/>
    </row>
    <row r="8" spans="1:28" ht="12.6" customHeight="1">
      <c r="A8" s="2"/>
      <c r="B8" s="333">
        <f>WW!S9</f>
        <v>-217.51702602462277</v>
      </c>
      <c r="C8" s="331" t="s">
        <v>185</v>
      </c>
      <c r="D8" s="2"/>
      <c r="E8" s="333" t="e">
        <f>WW!#REF!</f>
        <v>#REF!</v>
      </c>
      <c r="F8" s="331" t="s">
        <v>185</v>
      </c>
      <c r="G8" s="2"/>
      <c r="H8" s="2"/>
      <c r="I8" s="2"/>
      <c r="J8" s="2"/>
      <c r="K8" s="161"/>
      <c r="L8" s="333">
        <f>WW!S49</f>
        <v>-339.21198944223931</v>
      </c>
      <c r="M8" s="331" t="s">
        <v>185</v>
      </c>
      <c r="N8" s="2"/>
      <c r="O8" s="333" t="e">
        <f>WW!#REF!</f>
        <v>#REF!</v>
      </c>
      <c r="P8" s="331" t="s">
        <v>185</v>
      </c>
      <c r="Q8" s="2"/>
      <c r="R8" s="2"/>
      <c r="S8" s="2"/>
      <c r="T8" s="2"/>
    </row>
    <row r="9" spans="1:28">
      <c r="A9" s="2"/>
      <c r="B9" s="143"/>
      <c r="C9" s="142"/>
      <c r="D9" s="2"/>
      <c r="E9" s="143"/>
      <c r="F9" s="142"/>
      <c r="G9" s="2"/>
      <c r="H9" s="2"/>
      <c r="I9" s="2"/>
      <c r="J9" s="2"/>
      <c r="K9" s="2"/>
      <c r="L9" s="143"/>
      <c r="M9" s="142"/>
      <c r="N9" s="2"/>
      <c r="O9" s="143"/>
      <c r="P9" s="142"/>
      <c r="Q9" s="2"/>
      <c r="R9" s="2"/>
      <c r="S9" s="2"/>
      <c r="T9" s="2"/>
    </row>
    <row r="10" spans="1:28" ht="4.95" customHeight="1">
      <c r="A10" s="2"/>
      <c r="B10" s="145"/>
      <c r="C10" s="144"/>
      <c r="D10" s="2"/>
      <c r="E10" s="145"/>
      <c r="F10" s="144"/>
      <c r="G10" s="2"/>
      <c r="H10" s="2"/>
      <c r="I10" s="2"/>
      <c r="J10" s="2"/>
      <c r="K10" s="2"/>
      <c r="L10" s="145"/>
      <c r="M10" s="144"/>
      <c r="N10" s="2"/>
      <c r="O10" s="145"/>
      <c r="P10" s="144"/>
      <c r="Q10" s="2"/>
      <c r="R10" s="2"/>
      <c r="S10" s="2"/>
      <c r="T10" s="2"/>
    </row>
    <row r="11" spans="1:28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8" ht="34.950000000000003" customHeight="1">
      <c r="A12" s="2"/>
      <c r="B12" s="506" t="str">
        <f>CONCATENATE(INPUT!B2,INPUT!B1," Non HW")</f>
        <v>4Q25 Non HW</v>
      </c>
      <c r="C12" s="507"/>
      <c r="D12" s="2"/>
      <c r="E12" s="506" t="str">
        <f>CONCATENATE(INPUT!B2,INPUT!B1," Total Load")</f>
        <v>4Q25 Total Load</v>
      </c>
      <c r="F12" s="507"/>
      <c r="G12" s="2"/>
      <c r="H12" s="347"/>
      <c r="I12" s="2"/>
      <c r="J12" s="2"/>
      <c r="K12" s="2"/>
      <c r="L12" s="506" t="str">
        <f>CONCATENATE(INPUT!B2,INPUT!B1,"QTD Non HW")</f>
        <v>4Q25QTD Non HW</v>
      </c>
      <c r="M12" s="507"/>
      <c r="N12" s="2"/>
      <c r="O12" s="506" t="str">
        <f>CONCATENATE(INPUT!B2,INPUT!B1,"QTD Total Load")</f>
        <v>4Q25QTD Total Load</v>
      </c>
      <c r="P12" s="507"/>
      <c r="Q12" s="347"/>
      <c r="R12" s="2"/>
      <c r="S12" s="2"/>
      <c r="T12" s="2"/>
    </row>
    <row r="13" spans="1:28" ht="10.95" customHeight="1">
      <c r="A13" s="2"/>
      <c r="B13" s="508"/>
      <c r="C13" s="509"/>
      <c r="D13" s="2"/>
      <c r="E13" s="340"/>
      <c r="F13" s="341"/>
      <c r="G13" s="2"/>
      <c r="H13" s="344"/>
      <c r="I13" s="2"/>
      <c r="J13" s="2"/>
      <c r="K13" s="2"/>
      <c r="L13" s="342"/>
      <c r="M13" s="343"/>
      <c r="N13" s="2"/>
      <c r="O13" s="342"/>
      <c r="P13" s="343"/>
      <c r="Q13" s="344"/>
      <c r="R13" s="2"/>
      <c r="S13" s="2"/>
      <c r="T13" s="2"/>
    </row>
    <row r="14" spans="1:28" ht="21">
      <c r="A14" s="2"/>
      <c r="B14" s="512">
        <f>WW!Z9</f>
        <v>581.21483171923319</v>
      </c>
      <c r="C14" s="513"/>
      <c r="D14" s="2"/>
      <c r="E14" s="512">
        <f>WW!AD9</f>
        <v>1029.8044485158334</v>
      </c>
      <c r="F14" s="513"/>
      <c r="G14" s="2"/>
      <c r="H14" s="339"/>
      <c r="I14" s="2"/>
      <c r="J14" s="2"/>
      <c r="K14" s="2"/>
      <c r="L14" s="512">
        <f>WW!Z49</f>
        <v>432.76635675282756</v>
      </c>
      <c r="M14" s="513"/>
      <c r="N14" s="2"/>
      <c r="O14" s="512">
        <f>WW!AD49</f>
        <v>759.63580019362757</v>
      </c>
      <c r="P14" s="513"/>
      <c r="Q14" s="339"/>
      <c r="R14" s="2"/>
      <c r="S14" s="2"/>
      <c r="T14" s="2"/>
    </row>
    <row r="15" spans="1:28">
      <c r="A15" s="2"/>
      <c r="B15" s="514" t="s">
        <v>186</v>
      </c>
      <c r="C15" s="515"/>
      <c r="D15" s="2"/>
      <c r="E15" s="514" t="s">
        <v>186</v>
      </c>
      <c r="F15" s="515"/>
      <c r="G15" s="2"/>
      <c r="H15" s="146"/>
      <c r="I15" s="2"/>
      <c r="J15" s="2"/>
      <c r="K15" s="2"/>
      <c r="L15" s="514" t="s">
        <v>186</v>
      </c>
      <c r="M15" s="515"/>
      <c r="N15" s="2"/>
      <c r="O15" s="514" t="s">
        <v>186</v>
      </c>
      <c r="P15" s="515"/>
      <c r="Q15" s="109"/>
      <c r="R15" s="2"/>
      <c r="S15" s="2"/>
      <c r="T15" s="2"/>
    </row>
    <row r="16" spans="1:28" ht="21">
      <c r="A16" s="2"/>
      <c r="B16" s="332"/>
      <c r="C16" s="331"/>
      <c r="D16" s="2"/>
      <c r="E16" s="330">
        <f>WW!AE9</f>
        <v>-0.63715343277430581</v>
      </c>
      <c r="F16" s="331" t="s">
        <v>53</v>
      </c>
      <c r="G16" s="2"/>
      <c r="H16" s="348"/>
      <c r="I16" s="2"/>
      <c r="J16" s="2"/>
      <c r="K16" s="2"/>
      <c r="L16" s="332"/>
      <c r="M16" s="331"/>
      <c r="N16" s="2"/>
      <c r="O16" s="330">
        <f>WW!AE49</f>
        <v>0.19440960184081013</v>
      </c>
      <c r="P16" s="331" t="s">
        <v>53</v>
      </c>
      <c r="Q16" s="351"/>
      <c r="R16" s="2"/>
      <c r="S16" s="2"/>
      <c r="T16" s="2"/>
    </row>
    <row r="17" spans="1:20">
      <c r="A17" s="2"/>
      <c r="B17" s="333">
        <f>WW!AF9</f>
        <v>-2256.5530567511873</v>
      </c>
      <c r="C17" s="331" t="s">
        <v>246</v>
      </c>
      <c r="D17" s="2"/>
      <c r="E17" s="333">
        <f>WW!AF9</f>
        <v>-2256.5530567511873</v>
      </c>
      <c r="F17" s="331" t="s">
        <v>246</v>
      </c>
      <c r="G17" s="2"/>
      <c r="H17" s="161"/>
      <c r="I17" s="2"/>
      <c r="J17" s="2"/>
      <c r="K17" s="2"/>
      <c r="L17" s="333">
        <f>WW!AB49</f>
        <v>145.98804614152348</v>
      </c>
      <c r="M17" s="331" t="s">
        <v>246</v>
      </c>
      <c r="N17" s="2"/>
      <c r="O17" s="333">
        <f>WW!AF49</f>
        <v>143.47589058862499</v>
      </c>
      <c r="P17" s="331" t="s">
        <v>246</v>
      </c>
      <c r="R17" s="2"/>
      <c r="S17" s="2"/>
      <c r="T17" s="2"/>
    </row>
    <row r="18" spans="1:20">
      <c r="A18" s="2"/>
      <c r="B18" s="143"/>
      <c r="C18" s="142"/>
      <c r="D18" s="2"/>
      <c r="E18" s="143"/>
      <c r="F18" s="142"/>
      <c r="G18" s="2"/>
      <c r="H18" s="2"/>
      <c r="I18" s="2"/>
      <c r="J18" s="2"/>
      <c r="K18" s="2"/>
      <c r="L18" s="143"/>
      <c r="M18" s="142"/>
      <c r="N18" s="2"/>
      <c r="O18" s="147"/>
      <c r="P18" s="305"/>
      <c r="Q18" s="2"/>
      <c r="R18" s="2"/>
      <c r="S18" s="2"/>
      <c r="T18" s="2"/>
    </row>
    <row r="19" spans="1:20" ht="4.2" customHeight="1">
      <c r="A19" s="2"/>
      <c r="B19" s="145"/>
      <c r="C19" s="144"/>
      <c r="D19" s="2"/>
      <c r="E19" s="349"/>
      <c r="F19" s="350"/>
      <c r="G19" s="146"/>
      <c r="H19" s="2"/>
      <c r="I19" s="2"/>
      <c r="J19" s="2"/>
      <c r="K19" s="2"/>
      <c r="L19" s="145"/>
      <c r="M19" s="144"/>
      <c r="N19" s="2"/>
      <c r="O19" s="252"/>
      <c r="P19" s="352"/>
      <c r="Q19" s="2"/>
      <c r="R19" s="2"/>
      <c r="S19" s="2"/>
      <c r="T19" s="2"/>
    </row>
    <row r="20" spans="1: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s="2" customFormat="1"/>
    <row r="41" spans="1:20" s="2" customFormat="1"/>
    <row r="42" spans="1:20" s="2" customFormat="1"/>
    <row r="43" spans="1:20" s="2" customFormat="1"/>
    <row r="44" spans="1:20" s="2" customFormat="1"/>
    <row r="45" spans="1:20" s="2" customFormat="1"/>
    <row r="46" spans="1:20" s="2" customFormat="1"/>
    <row r="47" spans="1:20" s="2" customFormat="1"/>
    <row r="48" spans="1:20" s="2" customFormat="1"/>
    <row r="49" s="2" customFormat="1"/>
    <row r="50" s="2" customFormat="1"/>
    <row r="51" s="2" customFormat="1"/>
    <row r="52" s="2" customFormat="1"/>
    <row r="53" s="2" customFormat="1"/>
    <row r="54" s="2" customFormat="1"/>
    <row r="55" s="2" customFormat="1"/>
    <row r="56" s="2" customFormat="1"/>
    <row r="57" s="2" customFormat="1"/>
  </sheetData>
  <mergeCells count="27">
    <mergeCell ref="O15:P15"/>
    <mergeCell ref="B14:C14"/>
    <mergeCell ref="B15:C15"/>
    <mergeCell ref="L5:M5"/>
    <mergeCell ref="L15:M15"/>
    <mergeCell ref="L6:M6"/>
    <mergeCell ref="B12:C12"/>
    <mergeCell ref="E14:F14"/>
    <mergeCell ref="E15:F15"/>
    <mergeCell ref="L12:M12"/>
    <mergeCell ref="L3:M3"/>
    <mergeCell ref="L4:M4"/>
    <mergeCell ref="L14:M14"/>
    <mergeCell ref="O3:P3"/>
    <mergeCell ref="O5:P5"/>
    <mergeCell ref="O6:P6"/>
    <mergeCell ref="O12:P12"/>
    <mergeCell ref="O14:P14"/>
    <mergeCell ref="B3:C3"/>
    <mergeCell ref="B13:C13"/>
    <mergeCell ref="B4:C4"/>
    <mergeCell ref="E3:F3"/>
    <mergeCell ref="E5:F5"/>
    <mergeCell ref="E6:F6"/>
    <mergeCell ref="E12:F12"/>
    <mergeCell ref="B6:C6"/>
    <mergeCell ref="B5:C5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31C76-D781-4DCC-9816-8673E94AC4A1}">
  <sheetPr>
    <tabColor theme="2" tint="-0.249977111117893"/>
  </sheetPr>
  <dimension ref="A2:AQ51"/>
  <sheetViews>
    <sheetView zoomScale="85" zoomScaleNormal="85" workbookViewId="0">
      <pane ySplit="14" topLeftCell="A15" activePane="bottomLeft" state="frozen"/>
      <selection activeCell="L62" sqref="L62"/>
      <selection pane="bottomLeft" activeCell="F14" sqref="F14"/>
    </sheetView>
  </sheetViews>
  <sheetFormatPr defaultColWidth="9" defaultRowHeight="14.4"/>
  <cols>
    <col min="1" max="1" width="9" style="1" customWidth="1"/>
    <col min="2" max="2" width="15.44140625" customWidth="1"/>
    <col min="3" max="3" width="16.6640625" customWidth="1"/>
    <col min="4" max="31" width="11.5546875" customWidth="1"/>
    <col min="44" max="16384" width="9" style="1"/>
  </cols>
  <sheetData>
    <row r="2" spans="1:31">
      <c r="C2" s="1"/>
      <c r="G2" s="6"/>
      <c r="M2" s="6"/>
    </row>
    <row r="3" spans="1:31">
      <c r="C3" s="1"/>
    </row>
    <row r="4" spans="1:31" ht="16.2" customHeight="1">
      <c r="C4" s="1"/>
    </row>
    <row r="5" spans="1:31" ht="13.2" customHeight="1">
      <c r="F5" s="7"/>
      <c r="H5" s="3"/>
      <c r="I5" s="3"/>
      <c r="L5" s="7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spans="1:31" ht="12.6" customHeight="1">
      <c r="A6" s="1">
        <v>1</v>
      </c>
      <c r="B6" s="9" t="s">
        <v>1</v>
      </c>
    </row>
    <row r="7" spans="1:31">
      <c r="B7" s="10" t="s">
        <v>0</v>
      </c>
    </row>
    <row r="8" spans="1:31" ht="11.7" customHeight="1">
      <c r="B8" s="10" t="s">
        <v>2</v>
      </c>
    </row>
    <row r="9" spans="1:31">
      <c r="B9" s="11" t="s">
        <v>4</v>
      </c>
      <c r="G9" s="1" t="s">
        <v>187</v>
      </c>
      <c r="H9" s="1"/>
      <c r="I9" s="1"/>
      <c r="J9" s="1"/>
      <c r="K9" s="1" t="s">
        <v>188</v>
      </c>
      <c r="L9" s="1"/>
      <c r="M9" s="1"/>
      <c r="N9" s="1"/>
      <c r="O9" s="1"/>
      <c r="P9" s="1" t="s">
        <v>60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1" ht="13.2" customHeight="1">
      <c r="B10" s="10" t="s">
        <v>7</v>
      </c>
      <c r="D10" s="149" t="s">
        <v>148</v>
      </c>
      <c r="E10" s="150" t="s">
        <v>147</v>
      </c>
      <c r="F10" s="149" t="s">
        <v>149</v>
      </c>
      <c r="G10" s="150" t="s">
        <v>150</v>
      </c>
      <c r="H10" s="149" t="s">
        <v>151</v>
      </c>
      <c r="I10" s="150" t="s">
        <v>152</v>
      </c>
      <c r="J10" s="149" t="s">
        <v>153</v>
      </c>
      <c r="K10" s="150" t="s">
        <v>154</v>
      </c>
      <c r="L10" s="149" t="s">
        <v>155</v>
      </c>
      <c r="M10" s="150" t="s">
        <v>156</v>
      </c>
      <c r="N10" s="149" t="s">
        <v>157</v>
      </c>
      <c r="O10" s="150" t="s">
        <v>158</v>
      </c>
      <c r="P10" s="150" t="s">
        <v>159</v>
      </c>
      <c r="Q10" s="150"/>
      <c r="R10" s="149" t="s">
        <v>148</v>
      </c>
      <c r="S10" s="150" t="s">
        <v>147</v>
      </c>
      <c r="T10" s="149" t="s">
        <v>149</v>
      </c>
      <c r="U10" s="150" t="s">
        <v>150</v>
      </c>
      <c r="V10" s="149" t="s">
        <v>151</v>
      </c>
      <c r="W10" s="150" t="s">
        <v>152</v>
      </c>
      <c r="X10" s="149" t="s">
        <v>153</v>
      </c>
      <c r="Y10" s="150" t="s">
        <v>154</v>
      </c>
      <c r="Z10" s="149" t="s">
        <v>155</v>
      </c>
      <c r="AA10" s="150" t="s">
        <v>156</v>
      </c>
      <c r="AB10" s="149" t="s">
        <v>157</v>
      </c>
      <c r="AC10" s="150" t="s">
        <v>158</v>
      </c>
      <c r="AD10" s="150" t="s">
        <v>159</v>
      </c>
    </row>
    <row r="11" spans="1:31">
      <c r="B11" s="12"/>
      <c r="C11" s="59"/>
      <c r="D11" s="13" t="s">
        <v>8</v>
      </c>
      <c r="E11" s="13" t="s">
        <v>8</v>
      </c>
      <c r="F11" s="13" t="s">
        <v>8</v>
      </c>
      <c r="G11" s="13" t="s">
        <v>8</v>
      </c>
      <c r="H11" s="13" t="s">
        <v>8</v>
      </c>
      <c r="I11" s="13" t="s">
        <v>8</v>
      </c>
      <c r="J11" s="13" t="s">
        <v>8</v>
      </c>
      <c r="K11" s="13" t="s">
        <v>8</v>
      </c>
      <c r="L11" s="13" t="s">
        <v>8</v>
      </c>
      <c r="M11" s="13" t="s">
        <v>8</v>
      </c>
      <c r="N11" s="13" t="s">
        <v>8</v>
      </c>
      <c r="O11" s="13" t="s">
        <v>8</v>
      </c>
      <c r="P11" s="13" t="s">
        <v>8</v>
      </c>
      <c r="Q11" s="13"/>
      <c r="R11" s="13" t="s">
        <v>8</v>
      </c>
      <c r="S11" s="13" t="s">
        <v>8</v>
      </c>
      <c r="T11" s="13" t="s">
        <v>8</v>
      </c>
      <c r="U11" s="13" t="s">
        <v>8</v>
      </c>
      <c r="V11" s="13" t="s">
        <v>8</v>
      </c>
      <c r="W11" s="13" t="s">
        <v>8</v>
      </c>
      <c r="X11" s="13" t="s">
        <v>8</v>
      </c>
      <c r="Y11" s="13" t="s">
        <v>8</v>
      </c>
      <c r="Z11" s="13" t="s">
        <v>8</v>
      </c>
      <c r="AA11" s="13" t="s">
        <v>8</v>
      </c>
      <c r="AB11" s="13" t="s">
        <v>8</v>
      </c>
      <c r="AC11" s="13" t="s">
        <v>8</v>
      </c>
      <c r="AD11" s="13" t="s">
        <v>8</v>
      </c>
    </row>
    <row r="12" spans="1:31">
      <c r="B12" s="12"/>
      <c r="C12" s="59"/>
      <c r="D12" s="13" t="s">
        <v>347</v>
      </c>
      <c r="E12" s="13" t="s">
        <v>347</v>
      </c>
      <c r="F12" s="13" t="s">
        <v>347</v>
      </c>
      <c r="G12" s="13" t="s">
        <v>347</v>
      </c>
      <c r="H12" s="13" t="s">
        <v>347</v>
      </c>
      <c r="I12" s="13" t="s">
        <v>347</v>
      </c>
      <c r="J12" s="13" t="s">
        <v>347</v>
      </c>
      <c r="K12" s="13" t="s">
        <v>347</v>
      </c>
      <c r="L12" s="13" t="s">
        <v>347</v>
      </c>
      <c r="M12" s="13" t="s">
        <v>347</v>
      </c>
      <c r="N12" s="13" t="s">
        <v>347</v>
      </c>
      <c r="O12" s="13" t="s">
        <v>347</v>
      </c>
      <c r="P12" s="13" t="s">
        <v>347</v>
      </c>
      <c r="Q12" s="13"/>
      <c r="R12" s="13" t="s">
        <v>347</v>
      </c>
      <c r="S12" s="13" t="s">
        <v>347</v>
      </c>
      <c r="T12" s="13" t="s">
        <v>347</v>
      </c>
      <c r="U12" s="13" t="s">
        <v>347</v>
      </c>
      <c r="V12" s="13" t="s">
        <v>347</v>
      </c>
      <c r="W12" s="13" t="s">
        <v>347</v>
      </c>
      <c r="X12" s="13" t="s">
        <v>347</v>
      </c>
      <c r="Y12" s="13" t="s">
        <v>347</v>
      </c>
      <c r="Z12" s="13" t="s">
        <v>347</v>
      </c>
      <c r="AA12" s="13" t="s">
        <v>347</v>
      </c>
      <c r="AB12" s="13" t="s">
        <v>347</v>
      </c>
      <c r="AC12" s="13" t="s">
        <v>347</v>
      </c>
      <c r="AD12" s="13" t="s">
        <v>347</v>
      </c>
    </row>
    <row r="13" spans="1:31">
      <c r="B13" s="12"/>
      <c r="C13" s="59"/>
      <c r="D13" s="13" t="s">
        <v>10</v>
      </c>
      <c r="E13" s="13" t="str">
        <f>D13</f>
        <v>Daily Firm</v>
      </c>
      <c r="F13" s="13" t="str">
        <f>D13</f>
        <v>Daily Firm</v>
      </c>
      <c r="G13" s="13" t="str">
        <f>D13</f>
        <v>Daily Firm</v>
      </c>
      <c r="H13" s="13" t="str">
        <f>G13</f>
        <v>Daily Firm</v>
      </c>
      <c r="I13" s="13" t="str">
        <f>H13</f>
        <v>Daily Firm</v>
      </c>
      <c r="J13" s="13" t="s">
        <v>10</v>
      </c>
      <c r="K13" s="13" t="str">
        <f>J13</f>
        <v>Daily Firm</v>
      </c>
      <c r="L13" s="13" t="str">
        <f>J13</f>
        <v>Daily Firm</v>
      </c>
      <c r="M13" s="13" t="str">
        <f>J13</f>
        <v>Daily Firm</v>
      </c>
      <c r="N13" s="13" t="str">
        <f>M13</f>
        <v>Daily Firm</v>
      </c>
      <c r="O13" s="13" t="str">
        <f>N13</f>
        <v>Daily Firm</v>
      </c>
      <c r="P13" s="13" t="str">
        <f>O13</f>
        <v>Daily Firm</v>
      </c>
      <c r="Q13" s="13"/>
      <c r="R13" s="13" t="s">
        <v>202</v>
      </c>
      <c r="S13" s="13" t="str">
        <f>R13</f>
        <v>Daily Load</v>
      </c>
      <c r="T13" s="13" t="str">
        <f>R13</f>
        <v>Daily Load</v>
      </c>
      <c r="U13" s="13" t="str">
        <f>R13</f>
        <v>Daily Load</v>
      </c>
      <c r="V13" s="13" t="str">
        <f>U13</f>
        <v>Daily Load</v>
      </c>
      <c r="W13" s="13" t="str">
        <f>V13</f>
        <v>Daily Load</v>
      </c>
      <c r="X13" s="13" t="s">
        <v>10</v>
      </c>
      <c r="Y13" s="13" t="str">
        <f>X13</f>
        <v>Daily Firm</v>
      </c>
      <c r="Z13" s="13" t="str">
        <f>X13</f>
        <v>Daily Firm</v>
      </c>
      <c r="AA13" s="13" t="str">
        <f>X13</f>
        <v>Daily Firm</v>
      </c>
      <c r="AB13" s="13" t="str">
        <f>AA13</f>
        <v>Daily Firm</v>
      </c>
      <c r="AC13" s="13" t="str">
        <f>AA13</f>
        <v>Daily Firm</v>
      </c>
      <c r="AD13" s="13" t="str">
        <f>AB13</f>
        <v>Daily Firm</v>
      </c>
    </row>
    <row r="14" spans="1:31">
      <c r="B14" s="12"/>
      <c r="C14" s="59"/>
      <c r="D14" s="14" t="s">
        <v>628</v>
      </c>
      <c r="E14" s="14" t="s">
        <v>629</v>
      </c>
      <c r="F14" s="14" t="s">
        <v>630</v>
      </c>
      <c r="G14" s="14" t="s">
        <v>631</v>
      </c>
      <c r="H14" s="14" t="s">
        <v>632</v>
      </c>
      <c r="I14" s="14" t="s">
        <v>633</v>
      </c>
      <c r="J14" s="14" t="s">
        <v>634</v>
      </c>
      <c r="K14" s="14" t="s">
        <v>635</v>
      </c>
      <c r="L14" s="14" t="s">
        <v>636</v>
      </c>
      <c r="M14" s="14" t="s">
        <v>637</v>
      </c>
      <c r="N14" s="14" t="s">
        <v>638</v>
      </c>
      <c r="O14" s="14" t="s">
        <v>639</v>
      </c>
      <c r="P14" s="14" t="s">
        <v>640</v>
      </c>
      <c r="Q14" s="14"/>
      <c r="R14" s="14" t="s">
        <v>628</v>
      </c>
      <c r="S14" s="14" t="s">
        <v>629</v>
      </c>
      <c r="T14" s="14" t="s">
        <v>630</v>
      </c>
      <c r="U14" s="14" t="s">
        <v>631</v>
      </c>
      <c r="V14" s="14" t="s">
        <v>632</v>
      </c>
      <c r="W14" s="14" t="s">
        <v>633</v>
      </c>
      <c r="X14" s="14" t="s">
        <v>634</v>
      </c>
      <c r="Y14" s="14" t="s">
        <v>635</v>
      </c>
      <c r="Z14" s="14" t="s">
        <v>636</v>
      </c>
      <c r="AA14" s="14" t="s">
        <v>637</v>
      </c>
      <c r="AB14" s="14" t="s">
        <v>638</v>
      </c>
      <c r="AC14" s="14" t="s">
        <v>639</v>
      </c>
      <c r="AD14" s="14" t="s">
        <v>640</v>
      </c>
    </row>
    <row r="15" spans="1:31" s="4" customFormat="1" ht="18">
      <c r="A15" s="17"/>
      <c r="B15" s="24" t="s">
        <v>40</v>
      </c>
      <c r="C15" s="60" t="s">
        <v>12</v>
      </c>
      <c r="D15" s="151">
        <v>0</v>
      </c>
      <c r="E15" s="151">
        <v>96.99833210220001</v>
      </c>
      <c r="F15" s="151">
        <v>155.97590639010002</v>
      </c>
      <c r="G15" s="152">
        <v>203.79162680229993</v>
      </c>
      <c r="H15" s="152">
        <v>305.16829324629936</v>
      </c>
      <c r="I15" s="152">
        <v>347.0073519767995</v>
      </c>
      <c r="J15" s="151">
        <v>397.70232866279923</v>
      </c>
      <c r="K15" s="151">
        <v>508.92735339019941</v>
      </c>
      <c r="L15" s="151">
        <v>743.93305631589976</v>
      </c>
      <c r="M15" s="152">
        <v>797.41308971520004</v>
      </c>
      <c r="N15" s="152">
        <v>997.54390983729979</v>
      </c>
      <c r="O15" s="152">
        <v>1512.742733620498</v>
      </c>
      <c r="P15" s="152">
        <v>2268.9539711857997</v>
      </c>
      <c r="Q15" s="152"/>
      <c r="R15" s="152">
        <v>0</v>
      </c>
      <c r="S15" s="152">
        <v>612.21654944290049</v>
      </c>
      <c r="T15" s="152">
        <v>661.00777272280072</v>
      </c>
      <c r="U15" s="152">
        <v>791.23818507660064</v>
      </c>
      <c r="V15" s="152">
        <v>1115.4991646633998</v>
      </c>
      <c r="W15" s="152">
        <v>1441.663521587599</v>
      </c>
      <c r="X15" s="152">
        <v>397.70232866279923</v>
      </c>
      <c r="Y15" s="152">
        <v>508.92735339019941</v>
      </c>
      <c r="Z15" s="152">
        <v>743.93305631589976</v>
      </c>
      <c r="AA15" s="152">
        <v>797.41308971520004</v>
      </c>
      <c r="AB15" s="152">
        <v>997.54390983729979</v>
      </c>
      <c r="AC15" s="152">
        <v>1512.742733620498</v>
      </c>
      <c r="AD15" s="152">
        <v>2268.9539711857997</v>
      </c>
    </row>
    <row r="17" spans="1:30">
      <c r="C17" s="153" t="s">
        <v>186</v>
      </c>
      <c r="D17" s="1" t="s">
        <v>148</v>
      </c>
      <c r="E17" s="1" t="s">
        <v>147</v>
      </c>
      <c r="F17" s="1" t="s">
        <v>149</v>
      </c>
      <c r="G17" s="1" t="s">
        <v>150</v>
      </c>
      <c r="H17" s="1" t="s">
        <v>151</v>
      </c>
      <c r="I17" s="1" t="s">
        <v>152</v>
      </c>
      <c r="J17" s="1" t="s">
        <v>153</v>
      </c>
      <c r="K17" s="1" t="s">
        <v>154</v>
      </c>
      <c r="L17" s="1" t="s">
        <v>155</v>
      </c>
      <c r="M17" s="1" t="s">
        <v>156</v>
      </c>
      <c r="N17" s="1" t="s">
        <v>157</v>
      </c>
      <c r="O17" s="1" t="s">
        <v>158</v>
      </c>
      <c r="P17" s="1" t="s">
        <v>159</v>
      </c>
      <c r="Q17" s="153" t="s">
        <v>186</v>
      </c>
      <c r="R17" s="1" t="s">
        <v>148</v>
      </c>
      <c r="S17" s="1" t="s">
        <v>147</v>
      </c>
      <c r="T17" s="1" t="s">
        <v>149</v>
      </c>
      <c r="U17" s="1" t="s">
        <v>150</v>
      </c>
      <c r="V17" s="1" t="s">
        <v>151</v>
      </c>
      <c r="W17" s="1" t="s">
        <v>152</v>
      </c>
      <c r="X17" s="1" t="s">
        <v>153</v>
      </c>
      <c r="Y17" s="1" t="s">
        <v>154</v>
      </c>
      <c r="Z17" s="1" t="s">
        <v>155</v>
      </c>
      <c r="AA17" s="1" t="s">
        <v>156</v>
      </c>
      <c r="AB17" s="1" t="s">
        <v>157</v>
      </c>
      <c r="AC17" s="1" t="s">
        <v>158</v>
      </c>
      <c r="AD17" s="1" t="s">
        <v>159</v>
      </c>
    </row>
    <row r="18" spans="1:30">
      <c r="C18" s="153" t="s">
        <v>67</v>
      </c>
      <c r="D18" s="154">
        <f t="shared" ref="D18:O18" si="0">D15</f>
        <v>0</v>
      </c>
      <c r="E18" s="154">
        <f t="shared" si="0"/>
        <v>96.99833210220001</v>
      </c>
      <c r="F18" s="154">
        <f t="shared" si="0"/>
        <v>155.97590639010002</v>
      </c>
      <c r="G18" s="154">
        <f t="shared" si="0"/>
        <v>203.79162680229993</v>
      </c>
      <c r="H18" s="154">
        <f t="shared" si="0"/>
        <v>305.16829324629936</v>
      </c>
      <c r="I18" s="154">
        <f t="shared" si="0"/>
        <v>347.0073519767995</v>
      </c>
      <c r="J18" s="154">
        <f t="shared" si="0"/>
        <v>397.70232866279923</v>
      </c>
      <c r="K18" s="154">
        <f t="shared" si="0"/>
        <v>508.92735339019941</v>
      </c>
      <c r="L18" s="154">
        <f t="shared" si="0"/>
        <v>743.93305631589976</v>
      </c>
      <c r="M18" s="154">
        <f t="shared" si="0"/>
        <v>797.41308971520004</v>
      </c>
      <c r="N18" s="154">
        <f t="shared" si="0"/>
        <v>997.54390983729979</v>
      </c>
      <c r="O18" s="154">
        <f t="shared" si="0"/>
        <v>1512.742733620498</v>
      </c>
      <c r="P18" s="154">
        <f>P15</f>
        <v>2268.9539711857997</v>
      </c>
      <c r="Q18" s="153" t="s">
        <v>322</v>
      </c>
      <c r="R18" s="154">
        <f t="shared" ref="R18:AC18" si="1">R15</f>
        <v>0</v>
      </c>
      <c r="S18" s="154">
        <f t="shared" si="1"/>
        <v>612.21654944290049</v>
      </c>
      <c r="T18" s="154">
        <f t="shared" si="1"/>
        <v>661.00777272280072</v>
      </c>
      <c r="U18" s="154">
        <f t="shared" si="1"/>
        <v>791.23818507660064</v>
      </c>
      <c r="V18" s="154">
        <f t="shared" si="1"/>
        <v>1115.4991646633998</v>
      </c>
      <c r="W18" s="154">
        <f t="shared" si="1"/>
        <v>1441.663521587599</v>
      </c>
      <c r="X18" s="154">
        <f t="shared" si="1"/>
        <v>397.70232866279923</v>
      </c>
      <c r="Y18" s="154">
        <f t="shared" si="1"/>
        <v>508.92735339019941</v>
      </c>
      <c r="Z18" s="154">
        <f t="shared" si="1"/>
        <v>743.93305631589976</v>
      </c>
      <c r="AA18" s="154">
        <f t="shared" si="1"/>
        <v>797.41308971520004</v>
      </c>
      <c r="AB18" s="154">
        <f t="shared" si="1"/>
        <v>997.54390983729979</v>
      </c>
      <c r="AC18" s="154">
        <f t="shared" si="1"/>
        <v>1512.742733620498</v>
      </c>
      <c r="AD18" s="154">
        <f>AD15</f>
        <v>2268.9539711857997</v>
      </c>
    </row>
    <row r="19" spans="1:30">
      <c r="C19" s="148" t="s">
        <v>321</v>
      </c>
      <c r="D19" s="154">
        <f>'Tracks Pull'!X107</f>
        <v>146.22326822476711</v>
      </c>
      <c r="E19" s="154">
        <f>'Tracks Pull'!Y107</f>
        <v>210.57538820155534</v>
      </c>
      <c r="F19" s="154">
        <f>'Tracks Pull'!Z107</f>
        <v>281.11779803376749</v>
      </c>
      <c r="G19" s="154">
        <f>'Tracks Pull'!AA107</f>
        <v>346.47533027880593</v>
      </c>
      <c r="H19" s="154">
        <f>'Tracks Pull'!AB107</f>
        <v>448.17492996906623</v>
      </c>
      <c r="I19" s="154">
        <f>'Tracks Pull'!AC107</f>
        <v>532.44685707008489</v>
      </c>
      <c r="J19" s="154">
        <f>'Tracks Pull'!AD107</f>
        <v>660.5824442612228</v>
      </c>
      <c r="K19" s="154">
        <f>'Tracks Pull'!AE107</f>
        <v>870.20814960735208</v>
      </c>
      <c r="L19" s="154">
        <f>'Tracks Pull'!AF107</f>
        <v>1144.8914451346898</v>
      </c>
      <c r="M19" s="154">
        <f>'Tracks Pull'!AG107</f>
        <v>1484.2852222453548</v>
      </c>
      <c r="N19" s="154">
        <f>'Tracks Pull'!AH107</f>
        <v>1757.7513946785543</v>
      </c>
      <c r="O19" s="154">
        <f>'Tracks Pull'!AI107</f>
        <v>2024.5911352926419</v>
      </c>
      <c r="P19" s="154">
        <f>'Tracks Pull'!AJ107</f>
        <v>2701.9325537425775</v>
      </c>
      <c r="Q19" s="148" t="s">
        <v>323</v>
      </c>
      <c r="R19" s="154">
        <f>'Tracks Pull'!AZ107</f>
        <v>146.22326822476711</v>
      </c>
      <c r="S19" s="154">
        <f>'Tracks Pull'!BA107</f>
        <v>210.57538820155534</v>
      </c>
      <c r="T19" s="154">
        <f>'Tracks Pull'!BB107</f>
        <v>281.11779803376749</v>
      </c>
      <c r="U19" s="154">
        <f>'Tracks Pull'!BC107</f>
        <v>346.47533027880593</v>
      </c>
      <c r="V19" s="154">
        <f>'Tracks Pull'!BD107</f>
        <v>448.17492996906623</v>
      </c>
      <c r="W19" s="154">
        <f>'Tracks Pull'!BE107</f>
        <v>532.44685707008489</v>
      </c>
      <c r="X19" s="154">
        <f>'Tracks Pull'!BF107</f>
        <v>660.5824442612228</v>
      </c>
      <c r="Y19" s="154">
        <f>'Tracks Pull'!BG107</f>
        <v>870.20814960735208</v>
      </c>
      <c r="Z19" s="154">
        <f>'Tracks Pull'!BH107</f>
        <v>1144.8914451346898</v>
      </c>
      <c r="AA19" s="154">
        <f>'Tracks Pull'!BI107</f>
        <v>1484.2852222453548</v>
      </c>
      <c r="AB19" s="154">
        <f>'Tracks Pull'!BJ107</f>
        <v>1757.7513946785543</v>
      </c>
      <c r="AC19" s="154">
        <f>'Tracks Pull'!BK107</f>
        <v>2024.5911352926419</v>
      </c>
      <c r="AD19" s="154">
        <f>'Tracks Pull'!BL107</f>
        <v>2701.9325537425775</v>
      </c>
    </row>
    <row r="21" spans="1:30" ht="15" thickBot="1"/>
    <row r="22" spans="1:30">
      <c r="A22" s="1">
        <v>2</v>
      </c>
      <c r="C22" s="155" t="s">
        <v>189</v>
      </c>
      <c r="D22" s="156"/>
      <c r="F22" s="155" t="s">
        <v>247</v>
      </c>
      <c r="G22" s="156"/>
    </row>
    <row r="23" spans="1:30">
      <c r="C23" s="157" t="str">
        <f>WW!C10</f>
        <v>Traditional z</v>
      </c>
      <c r="D23" s="158">
        <f>WW!H10</f>
        <v>129.49897691300004</v>
      </c>
      <c r="F23" s="157" t="str">
        <f>WW!C10</f>
        <v>Traditional z</v>
      </c>
      <c r="G23" s="158" t="e">
        <f>WW!#REF!</f>
        <v>#REF!</v>
      </c>
    </row>
    <row r="24" spans="1:30">
      <c r="C24" s="157" t="str">
        <f>WW!C11</f>
        <v>Power HW</v>
      </c>
      <c r="D24" s="158">
        <f>WW!H11</f>
        <v>79.566730337899983</v>
      </c>
      <c r="F24" s="157" t="str">
        <f>WW!C11</f>
        <v>Power HW</v>
      </c>
      <c r="G24" s="158" t="e">
        <f>WW!#REF!</f>
        <v>#REF!</v>
      </c>
    </row>
    <row r="25" spans="1:30">
      <c r="C25" s="157" t="str">
        <f>WW!C12</f>
        <v>Storage HW</v>
      </c>
      <c r="D25" s="158">
        <f>WW!H12</f>
        <v>233.99971098570003</v>
      </c>
      <c r="F25" s="157" t="str">
        <f>WW!C12</f>
        <v>Storage HW</v>
      </c>
      <c r="G25" s="158" t="e">
        <f>WW!#REF!</f>
        <v>#REF!</v>
      </c>
    </row>
    <row r="26" spans="1:30" ht="15" thickBot="1">
      <c r="C26" s="159" t="s">
        <v>39</v>
      </c>
      <c r="D26" s="160">
        <f>WW!H14</f>
        <v>5.5241985599999994</v>
      </c>
      <c r="F26" s="159" t="s">
        <v>39</v>
      </c>
      <c r="G26" s="160" t="e">
        <f>WW!#REF!</f>
        <v>#REF!</v>
      </c>
    </row>
    <row r="28" spans="1:30" ht="15" thickBot="1"/>
    <row r="29" spans="1:30">
      <c r="A29" s="1">
        <v>3</v>
      </c>
      <c r="C29" s="155" t="s">
        <v>190</v>
      </c>
      <c r="D29" s="156"/>
      <c r="F29" s="155" t="s">
        <v>248</v>
      </c>
      <c r="G29" s="156"/>
    </row>
    <row r="30" spans="1:30">
      <c r="C30" s="157" t="str">
        <f>WW!C18</f>
        <v>Americas</v>
      </c>
      <c r="D30" s="158">
        <f>WW!H18</f>
        <v>166.08076965870009</v>
      </c>
      <c r="F30" s="157" t="str">
        <f>WW!C18</f>
        <v>Americas</v>
      </c>
      <c r="G30" s="158" t="e">
        <f>WW!#REF!</f>
        <v>#REF!</v>
      </c>
    </row>
    <row r="31" spans="1:30">
      <c r="C31" s="157" t="str">
        <f>WW!C19</f>
        <v>EMEA</v>
      </c>
      <c r="D31" s="158">
        <f>WW!H19</f>
        <v>173.31338095340021</v>
      </c>
      <c r="F31" s="157" t="str">
        <f>WW!C19</f>
        <v>EMEA</v>
      </c>
      <c r="G31" s="158" t="e">
        <f>WW!#REF!</f>
        <v>#REF!</v>
      </c>
    </row>
    <row r="32" spans="1:30">
      <c r="C32" s="157" t="str">
        <f>WW!C20</f>
        <v>Japan</v>
      </c>
      <c r="D32" s="158">
        <f>WW!H20</f>
        <v>60.107739174500004</v>
      </c>
      <c r="F32" s="157" t="str">
        <f>WW!C20</f>
        <v>Japan</v>
      </c>
      <c r="G32" s="158" t="e">
        <f>WW!#REF!</f>
        <v>#REF!</v>
      </c>
    </row>
    <row r="33" spans="1:7">
      <c r="C33" s="157" t="str">
        <f>WW!C21</f>
        <v>APAC</v>
      </c>
      <c r="D33" s="158">
        <f>WW!H21</f>
        <v>43.563528450000021</v>
      </c>
      <c r="F33" s="157" t="str">
        <f>WW!C21</f>
        <v>APAC</v>
      </c>
      <c r="G33" s="158" t="e">
        <f>WW!#REF!</f>
        <v>#REF!</v>
      </c>
    </row>
    <row r="34" spans="1:7" ht="15" thickBot="1">
      <c r="C34" s="159" t="s">
        <v>320</v>
      </c>
      <c r="D34" s="160">
        <f>WW!H22</f>
        <v>5.5241985599999994</v>
      </c>
      <c r="F34" s="159" t="s">
        <v>320</v>
      </c>
      <c r="G34" s="160" t="e">
        <f>WW!#REF!</f>
        <v>#REF!</v>
      </c>
    </row>
    <row r="38" spans="1:7" customFormat="1">
      <c r="A38" s="1"/>
      <c r="C38" s="1"/>
    </row>
    <row r="39" spans="1:7" customFormat="1">
      <c r="A39" s="1"/>
      <c r="C39" s="1"/>
    </row>
    <row r="40" spans="1:7" customFormat="1">
      <c r="A40" s="1"/>
      <c r="C40" s="1"/>
    </row>
    <row r="41" spans="1:7" customFormat="1">
      <c r="A41" s="1"/>
      <c r="C41" s="1"/>
    </row>
    <row r="42" spans="1:7" customFormat="1">
      <c r="A42" s="1"/>
      <c r="C42" s="1"/>
    </row>
    <row r="43" spans="1:7" customFormat="1">
      <c r="A43" s="1"/>
      <c r="C43" s="1"/>
    </row>
    <row r="44" spans="1:7" customFormat="1">
      <c r="A44" s="1"/>
      <c r="C44" s="1"/>
    </row>
    <row r="45" spans="1:7" customFormat="1">
      <c r="A45" s="1"/>
      <c r="C45" s="1"/>
    </row>
    <row r="46" spans="1:7" customFormat="1">
      <c r="A46" s="1"/>
      <c r="C46" s="1"/>
    </row>
    <row r="47" spans="1:7" customFormat="1">
      <c r="A47" s="1"/>
      <c r="C47" s="1"/>
    </row>
    <row r="48" spans="1:7" customFormat="1">
      <c r="A48" s="1"/>
      <c r="C48" s="1"/>
    </row>
    <row r="49" spans="1:3" customFormat="1">
      <c r="A49" s="1"/>
      <c r="C49" s="1"/>
    </row>
    <row r="50" spans="1:3" customFormat="1">
      <c r="A50" s="1"/>
      <c r="C50" s="1"/>
    </row>
    <row r="51" spans="1:3" customFormat="1">
      <c r="A51" s="1"/>
      <c r="C51" s="1"/>
    </row>
  </sheetData>
  <pageMargins left="0.7" right="0.7" top="0.75" bottom="0.75" header="0.3" footer="0.3"/>
  <pageSetup orientation="portrait" r:id="rId1"/>
  <customProperties>
    <customPr name="COR_MapSheets" r:id="rId2"/>
    <customPr name="Serialized_Sheet_Mapping" r:id="rId3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C091E-A5E2-46B2-9736-68170F161E82}">
  <dimension ref="A1:Z73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N14" sqref="N14"/>
    </sheetView>
  </sheetViews>
  <sheetFormatPr defaultRowHeight="14.4"/>
  <cols>
    <col min="1" max="1" width="9.88671875" style="405" customWidth="1"/>
    <col min="2" max="2" width="8.88671875" style="1" customWidth="1"/>
    <col min="3" max="3" width="9.109375" style="1" customWidth="1"/>
    <col min="4" max="4" width="7.88671875" style="1" customWidth="1"/>
    <col min="5" max="5" width="9.21875" style="1" customWidth="1"/>
    <col min="6" max="6" width="10.21875" style="1" customWidth="1"/>
    <col min="7" max="7" width="10" style="1" customWidth="1"/>
    <col min="8" max="9" width="9.88671875" style="1" customWidth="1"/>
    <col min="10" max="11" width="11.33203125" style="1" bestFit="1" customWidth="1"/>
    <col min="12" max="12" width="4.88671875" style="1" bestFit="1" customWidth="1"/>
    <col min="13" max="13" width="10.88671875" style="406" customWidth="1"/>
    <col min="14" max="14" width="4.88671875" style="1" bestFit="1" customWidth="1"/>
    <col min="15" max="16" width="11.33203125" style="1" bestFit="1" customWidth="1"/>
    <col min="17" max="17" width="10.44140625" style="1" customWidth="1"/>
    <col min="18" max="18" width="10.88671875" style="1" customWidth="1"/>
    <col min="19" max="19" width="8.88671875" style="1"/>
    <col min="20" max="20" width="10.33203125" style="1" customWidth="1"/>
    <col min="21" max="21" width="1.44140625" customWidth="1"/>
    <col min="22" max="22" width="1.109375" customWidth="1"/>
    <col min="23" max="23" width="13.109375" customWidth="1"/>
  </cols>
  <sheetData>
    <row r="1" spans="1:26" ht="22.5" customHeight="1" thickBot="1">
      <c r="A1" s="411"/>
      <c r="B1" s="411"/>
      <c r="C1" s="345" t="s">
        <v>334</v>
      </c>
      <c r="D1" s="399"/>
      <c r="E1" s="399"/>
      <c r="F1" s="399"/>
      <c r="G1" s="399"/>
      <c r="H1" s="399"/>
      <c r="I1" s="399"/>
      <c r="J1" s="399"/>
      <c r="K1" s="399"/>
      <c r="L1" s="411"/>
      <c r="M1" s="413"/>
      <c r="N1" s="411"/>
      <c r="O1" s="411"/>
      <c r="P1" s="411"/>
      <c r="Q1" s="401"/>
      <c r="R1" s="401"/>
      <c r="S1" s="401"/>
      <c r="T1" s="401"/>
    </row>
    <row r="2" spans="1:26">
      <c r="A2" s="411"/>
      <c r="B2" s="411"/>
      <c r="C2" s="400"/>
      <c r="D2" s="400"/>
      <c r="E2" s="400"/>
      <c r="F2" s="400"/>
      <c r="G2" s="400"/>
      <c r="H2" s="399"/>
      <c r="I2" s="399"/>
      <c r="J2" s="399"/>
      <c r="K2" s="399"/>
      <c r="L2" s="411"/>
      <c r="M2" s="413"/>
      <c r="N2" s="411"/>
      <c r="O2" s="411"/>
      <c r="P2" s="411"/>
      <c r="Q2" s="401"/>
      <c r="R2" s="401"/>
      <c r="S2" s="401"/>
      <c r="T2" s="401"/>
    </row>
    <row r="3" spans="1:26" ht="19.5" customHeight="1">
      <c r="A3" s="411"/>
      <c r="B3" s="411"/>
      <c r="C3" s="412" t="s">
        <v>335</v>
      </c>
      <c r="D3" s="411"/>
      <c r="E3" s="411"/>
      <c r="F3" s="411"/>
      <c r="G3" s="411"/>
      <c r="H3" s="399"/>
      <c r="I3" s="410" t="s">
        <v>336</v>
      </c>
      <c r="J3" s="411"/>
      <c r="K3" s="411"/>
      <c r="L3" s="411"/>
      <c r="M3" s="413"/>
      <c r="N3" s="411"/>
      <c r="O3" s="411"/>
      <c r="P3" s="411"/>
      <c r="Q3" s="401"/>
      <c r="R3" s="401"/>
      <c r="S3" s="401"/>
      <c r="T3" s="401"/>
    </row>
    <row r="4" spans="1:26" ht="15" thickBot="1">
      <c r="A4" s="411"/>
      <c r="B4" s="411"/>
      <c r="C4" s="411"/>
      <c r="D4" s="411"/>
      <c r="E4" s="411"/>
      <c r="F4" s="411"/>
      <c r="G4" s="411"/>
      <c r="H4" s="411"/>
      <c r="I4" s="399"/>
      <c r="J4" s="399"/>
      <c r="K4" s="399"/>
      <c r="L4" s="411"/>
      <c r="M4" s="413"/>
      <c r="N4" s="411"/>
      <c r="O4" s="411"/>
      <c r="P4" s="411"/>
      <c r="Q4" s="401"/>
      <c r="R4" s="401"/>
      <c r="S4" s="401"/>
      <c r="T4" s="401"/>
    </row>
    <row r="5" spans="1:26" ht="15" thickBot="1">
      <c r="A5" s="516" t="s">
        <v>390</v>
      </c>
      <c r="B5" s="517"/>
      <c r="C5" s="517"/>
      <c r="D5" s="517"/>
      <c r="E5" s="517"/>
      <c r="F5" s="517"/>
      <c r="G5" s="517"/>
      <c r="H5" s="517"/>
      <c r="I5" s="517"/>
      <c r="J5" s="517"/>
      <c r="K5" s="518"/>
      <c r="L5" s="516" t="s">
        <v>391</v>
      </c>
      <c r="M5" s="517"/>
      <c r="N5" s="517"/>
      <c r="O5" s="517"/>
      <c r="P5" s="517"/>
      <c r="Q5" s="517"/>
      <c r="R5" s="517"/>
      <c r="S5" s="517"/>
      <c r="T5" s="518"/>
    </row>
    <row r="6" spans="1:26" ht="15" thickBot="1">
      <c r="A6" s="403"/>
      <c r="B6"/>
      <c r="C6"/>
      <c r="D6"/>
      <c r="E6"/>
      <c r="F6" s="519" t="s">
        <v>389</v>
      </c>
      <c r="G6" s="519"/>
      <c r="H6" s="519"/>
      <c r="I6" s="519"/>
      <c r="J6" s="519"/>
      <c r="K6" s="519"/>
      <c r="L6" s="434">
        <v>1</v>
      </c>
      <c r="M6" s="1">
        <f>+L6+1</f>
        <v>2</v>
      </c>
      <c r="N6" s="1">
        <f t="shared" ref="N6:T6" si="0">+M6+1</f>
        <v>3</v>
      </c>
      <c r="O6" s="1">
        <f t="shared" si="0"/>
        <v>4</v>
      </c>
      <c r="P6" s="1">
        <f t="shared" si="0"/>
        <v>5</v>
      </c>
      <c r="Q6" s="1">
        <f t="shared" si="0"/>
        <v>6</v>
      </c>
      <c r="R6" s="1">
        <f t="shared" si="0"/>
        <v>7</v>
      </c>
      <c r="S6" s="1">
        <f t="shared" si="0"/>
        <v>8</v>
      </c>
      <c r="T6" s="1">
        <f t="shared" si="0"/>
        <v>9</v>
      </c>
    </row>
    <row r="7" spans="1:26">
      <c r="A7" s="404" t="s">
        <v>337</v>
      </c>
      <c r="B7" s="346" t="s">
        <v>338</v>
      </c>
      <c r="C7" s="346" t="s">
        <v>339</v>
      </c>
      <c r="D7" s="346" t="s">
        <v>340</v>
      </c>
      <c r="E7" s="346" t="s">
        <v>372</v>
      </c>
      <c r="F7" s="346" t="s">
        <v>341</v>
      </c>
      <c r="G7" s="346" t="s">
        <v>46</v>
      </c>
      <c r="H7" s="346" t="s">
        <v>119</v>
      </c>
      <c r="I7" s="346" t="s">
        <v>120</v>
      </c>
      <c r="J7" s="346" t="s">
        <v>342</v>
      </c>
      <c r="K7" s="408" t="s">
        <v>343</v>
      </c>
      <c r="L7" s="409" t="s">
        <v>350</v>
      </c>
      <c r="M7" s="407" t="s">
        <v>337</v>
      </c>
      <c r="N7" s="346" t="s">
        <v>344</v>
      </c>
      <c r="O7" s="346" t="s">
        <v>46</v>
      </c>
      <c r="P7" s="346" t="s">
        <v>119</v>
      </c>
      <c r="Q7" s="414" t="s">
        <v>112</v>
      </c>
      <c r="R7" s="414" t="s">
        <v>113</v>
      </c>
      <c r="S7" s="414" t="s">
        <v>114</v>
      </c>
      <c r="T7" s="414" t="s">
        <v>46</v>
      </c>
    </row>
    <row r="8" spans="1:26">
      <c r="A8" s="429" t="s">
        <v>1040</v>
      </c>
      <c r="B8" s="430">
        <v>4</v>
      </c>
      <c r="C8" s="430">
        <v>10</v>
      </c>
      <c r="D8" s="430">
        <v>2</v>
      </c>
      <c r="E8" s="430">
        <v>1</v>
      </c>
      <c r="F8" t="s">
        <v>977</v>
      </c>
      <c r="G8" s="431" t="s">
        <v>428</v>
      </c>
      <c r="H8" s="431" t="s">
        <v>512</v>
      </c>
      <c r="I8" s="431" t="s">
        <v>428</v>
      </c>
      <c r="J8" s="431" t="s">
        <v>511</v>
      </c>
      <c r="K8" s="431" t="s">
        <v>512</v>
      </c>
      <c r="L8" s="435" t="str">
        <f>C8&amp;N8</f>
        <v>1018</v>
      </c>
      <c r="M8" s="429" t="str">
        <f>A8</f>
        <v>2025-10-07</v>
      </c>
      <c r="N8" s="430">
        <v>18</v>
      </c>
      <c r="O8" s="431" t="s">
        <v>1103</v>
      </c>
      <c r="P8" s="431" t="s">
        <v>1162</v>
      </c>
      <c r="Q8" s="278" t="str">
        <f t="shared" ref="Q8:Q16" si="1">F8</f>
        <v>LD100625</v>
      </c>
      <c r="R8" s="278"/>
      <c r="S8" s="432"/>
      <c r="T8" s="278"/>
      <c r="W8" s="505" t="s">
        <v>1040</v>
      </c>
      <c r="X8" s="505">
        <f>W8-A8</f>
        <v>0</v>
      </c>
      <c r="Y8" t="s">
        <v>1103</v>
      </c>
      <c r="Z8" t="s">
        <v>1162</v>
      </c>
    </row>
    <row r="9" spans="1:26">
      <c r="A9" s="429" t="s">
        <v>1041</v>
      </c>
      <c r="B9" s="430">
        <v>4</v>
      </c>
      <c r="C9" s="430">
        <v>10</v>
      </c>
      <c r="D9" s="430">
        <v>2</v>
      </c>
      <c r="E9" s="430">
        <v>2</v>
      </c>
      <c r="F9" t="s">
        <v>978</v>
      </c>
      <c r="G9" s="431" t="s">
        <v>429</v>
      </c>
      <c r="H9" s="431" t="s">
        <v>514</v>
      </c>
      <c r="I9" s="431" t="s">
        <v>429</v>
      </c>
      <c r="J9" s="431" t="s">
        <v>513</v>
      </c>
      <c r="K9" s="431" t="s">
        <v>514</v>
      </c>
      <c r="L9" s="435" t="str">
        <f>C9&amp;N9</f>
        <v>1017</v>
      </c>
      <c r="M9" s="429" t="str">
        <f t="shared" ref="M9:M72" si="2">A9</f>
        <v>2025-10-08</v>
      </c>
      <c r="N9" s="430">
        <v>17</v>
      </c>
      <c r="O9" s="431" t="s">
        <v>1104</v>
      </c>
      <c r="P9" s="431" t="s">
        <v>1163</v>
      </c>
      <c r="Q9" s="278" t="str">
        <f t="shared" si="1"/>
        <v>LD100725</v>
      </c>
      <c r="R9" s="278" t="str">
        <f>Q8</f>
        <v>LD100625</v>
      </c>
      <c r="S9" s="278"/>
      <c r="T9" s="278"/>
      <c r="V9" s="7"/>
      <c r="W9" s="505" t="s">
        <v>1041</v>
      </c>
      <c r="X9" s="505">
        <f t="shared" ref="X9:X70" si="3">W9-A9</f>
        <v>0</v>
      </c>
      <c r="Y9" t="s">
        <v>1104</v>
      </c>
      <c r="Z9" t="s">
        <v>1163</v>
      </c>
    </row>
    <row r="10" spans="1:26">
      <c r="A10" s="429" t="s">
        <v>1042</v>
      </c>
      <c r="B10" s="430">
        <v>4</v>
      </c>
      <c r="C10" s="430">
        <v>10</v>
      </c>
      <c r="D10" s="430">
        <v>2</v>
      </c>
      <c r="E10" s="430">
        <v>3</v>
      </c>
      <c r="F10" t="s">
        <v>979</v>
      </c>
      <c r="G10" s="431" t="s">
        <v>430</v>
      </c>
      <c r="H10" s="431" t="s">
        <v>516</v>
      </c>
      <c r="I10" s="431" t="s">
        <v>430</v>
      </c>
      <c r="J10" s="431" t="s">
        <v>515</v>
      </c>
      <c r="K10" s="431" t="s">
        <v>516</v>
      </c>
      <c r="L10" s="435" t="str">
        <f>C10&amp;N10</f>
        <v>1016</v>
      </c>
      <c r="M10" s="429" t="str">
        <f t="shared" si="2"/>
        <v>2025-10-09</v>
      </c>
      <c r="N10" s="430">
        <v>16</v>
      </c>
      <c r="O10" s="431" t="s">
        <v>1105</v>
      </c>
      <c r="P10" s="431" t="s">
        <v>1164</v>
      </c>
      <c r="Q10" s="278" t="str">
        <f t="shared" si="1"/>
        <v>LD100825</v>
      </c>
      <c r="R10" s="278" t="str">
        <f>Q9</f>
        <v>LD100725</v>
      </c>
      <c r="S10" s="278"/>
      <c r="T10" s="278"/>
      <c r="W10" s="505" t="s">
        <v>1042</v>
      </c>
      <c r="X10" s="505">
        <f t="shared" si="3"/>
        <v>0</v>
      </c>
      <c r="Y10" t="s">
        <v>1105</v>
      </c>
      <c r="Z10" t="s">
        <v>1164</v>
      </c>
    </row>
    <row r="11" spans="1:26">
      <c r="A11" s="429" t="s">
        <v>1043</v>
      </c>
      <c r="B11" s="430">
        <v>4</v>
      </c>
      <c r="C11" s="430">
        <v>10</v>
      </c>
      <c r="D11" s="430">
        <v>2</v>
      </c>
      <c r="E11" s="430">
        <v>4</v>
      </c>
      <c r="F11" t="s">
        <v>892</v>
      </c>
      <c r="G11" s="431" t="s">
        <v>431</v>
      </c>
      <c r="H11" s="431" t="s">
        <v>518</v>
      </c>
      <c r="I11" s="431" t="s">
        <v>431</v>
      </c>
      <c r="J11" s="431" t="s">
        <v>517</v>
      </c>
      <c r="K11" s="431" t="s">
        <v>518</v>
      </c>
      <c r="L11" s="435" t="str">
        <f>C11&amp;N11</f>
        <v>1015</v>
      </c>
      <c r="M11" s="429" t="str">
        <f t="shared" si="2"/>
        <v>2025-10-10</v>
      </c>
      <c r="N11" s="430">
        <v>15</v>
      </c>
      <c r="O11" s="431" t="s">
        <v>1106</v>
      </c>
      <c r="P11" s="431" t="s">
        <v>511</v>
      </c>
      <c r="Q11" s="278" t="str">
        <f t="shared" si="1"/>
        <v>LD100925</v>
      </c>
      <c r="R11" s="278" t="str">
        <f>Q10</f>
        <v>LD100825</v>
      </c>
      <c r="S11" s="278"/>
      <c r="T11" s="278"/>
      <c r="W11" s="505" t="s">
        <v>1043</v>
      </c>
      <c r="X11" s="505">
        <f t="shared" si="3"/>
        <v>0</v>
      </c>
      <c r="Y11" t="s">
        <v>1106</v>
      </c>
      <c r="Z11" t="s">
        <v>511</v>
      </c>
    </row>
    <row r="12" spans="1:26">
      <c r="A12" s="429" t="s">
        <v>1044</v>
      </c>
      <c r="B12" s="430">
        <v>4</v>
      </c>
      <c r="C12" s="430">
        <v>10</v>
      </c>
      <c r="D12" s="430">
        <v>2</v>
      </c>
      <c r="E12" s="430">
        <v>5</v>
      </c>
      <c r="F12" t="s">
        <v>980</v>
      </c>
      <c r="G12" s="431" t="s">
        <v>432</v>
      </c>
      <c r="H12" s="431" t="s">
        <v>711</v>
      </c>
      <c r="I12" s="431" t="s">
        <v>432</v>
      </c>
      <c r="J12" s="431" t="s">
        <v>519</v>
      </c>
      <c r="K12" s="431" t="s">
        <v>520</v>
      </c>
      <c r="L12" s="435" t="str">
        <f>C12&amp;N12</f>
        <v>1014</v>
      </c>
      <c r="M12" s="429" t="str">
        <f t="shared" si="2"/>
        <v>2025-10-13</v>
      </c>
      <c r="N12" s="430">
        <v>14</v>
      </c>
      <c r="O12" s="431" t="s">
        <v>1107</v>
      </c>
      <c r="P12" s="431" t="s">
        <v>513</v>
      </c>
      <c r="Q12" s="278" t="str">
        <f t="shared" si="1"/>
        <v>LD101025</v>
      </c>
      <c r="R12" s="278" t="str">
        <f t="shared" ref="R12:R17" si="4">Q11</f>
        <v>LD100925</v>
      </c>
      <c r="S12" s="278" t="s">
        <v>882</v>
      </c>
      <c r="T12" s="278" t="str">
        <f t="shared" ref="T12:T42" si="5">+O12</f>
        <v>LD101024</v>
      </c>
      <c r="W12" s="505" t="s">
        <v>1044</v>
      </c>
      <c r="X12" s="505">
        <f t="shared" si="3"/>
        <v>0</v>
      </c>
      <c r="Y12" t="s">
        <v>1107</v>
      </c>
      <c r="Z12" t="s">
        <v>513</v>
      </c>
    </row>
    <row r="13" spans="1:26">
      <c r="A13" s="429" t="s">
        <v>1045</v>
      </c>
      <c r="B13" s="430">
        <v>4</v>
      </c>
      <c r="C13" s="430">
        <v>10</v>
      </c>
      <c r="D13" s="430">
        <v>3</v>
      </c>
      <c r="E13" s="430">
        <v>1</v>
      </c>
      <c r="F13" t="s">
        <v>981</v>
      </c>
      <c r="G13" s="431" t="s">
        <v>433</v>
      </c>
      <c r="H13" s="431" t="s">
        <v>522</v>
      </c>
      <c r="I13" s="431" t="s">
        <v>433</v>
      </c>
      <c r="J13" s="431" t="s">
        <v>521</v>
      </c>
      <c r="K13" s="431" t="s">
        <v>522</v>
      </c>
      <c r="L13" s="435" t="str">
        <f t="shared" ref="L13:L70" si="6">C13&amp;N13</f>
        <v>1013</v>
      </c>
      <c r="M13" s="429" t="str">
        <f t="shared" si="2"/>
        <v>2025-10-14</v>
      </c>
      <c r="N13" s="430">
        <v>13</v>
      </c>
      <c r="O13" s="431" t="s">
        <v>1108</v>
      </c>
      <c r="P13" s="431" t="s">
        <v>515</v>
      </c>
      <c r="Q13" s="278" t="str">
        <f t="shared" si="1"/>
        <v>LD101325</v>
      </c>
      <c r="R13" s="278" t="str">
        <f t="shared" si="4"/>
        <v>LD101025</v>
      </c>
      <c r="S13" s="433" t="str">
        <f>Q12</f>
        <v>LD101025</v>
      </c>
      <c r="T13" s="278" t="str">
        <f t="shared" si="5"/>
        <v>LD101124</v>
      </c>
      <c r="W13" s="505" t="s">
        <v>1045</v>
      </c>
      <c r="X13" s="505">
        <f t="shared" si="3"/>
        <v>0</v>
      </c>
      <c r="Y13" t="s">
        <v>1108</v>
      </c>
      <c r="Z13" t="s">
        <v>515</v>
      </c>
    </row>
    <row r="14" spans="1:26">
      <c r="A14" s="429" t="s">
        <v>1046</v>
      </c>
      <c r="B14" s="430">
        <v>4</v>
      </c>
      <c r="C14" s="430">
        <v>10</v>
      </c>
      <c r="D14" s="430">
        <v>3</v>
      </c>
      <c r="E14" s="430">
        <v>2</v>
      </c>
      <c r="F14" t="s">
        <v>982</v>
      </c>
      <c r="G14" s="431" t="s">
        <v>434</v>
      </c>
      <c r="H14" s="431" t="s">
        <v>524</v>
      </c>
      <c r="I14" s="431" t="s">
        <v>434</v>
      </c>
      <c r="J14" s="431" t="s">
        <v>523</v>
      </c>
      <c r="K14" s="431" t="s">
        <v>524</v>
      </c>
      <c r="L14" s="435" t="str">
        <f t="shared" si="6"/>
        <v>1012</v>
      </c>
      <c r="M14" s="429" t="str">
        <f t="shared" si="2"/>
        <v>2025-10-15</v>
      </c>
      <c r="N14" s="430">
        <v>12</v>
      </c>
      <c r="O14" s="431" t="s">
        <v>1109</v>
      </c>
      <c r="P14" s="431" t="s">
        <v>517</v>
      </c>
      <c r="Q14" s="278" t="str">
        <f t="shared" si="1"/>
        <v>LD101425</v>
      </c>
      <c r="R14" s="278" t="str">
        <f t="shared" si="4"/>
        <v>LD101325</v>
      </c>
      <c r="S14" s="278" t="str">
        <f>S13</f>
        <v>LD101025</v>
      </c>
      <c r="T14" s="278" t="str">
        <f t="shared" si="5"/>
        <v>LD101424</v>
      </c>
      <c r="V14" s="7"/>
      <c r="W14" s="505" t="s">
        <v>1046</v>
      </c>
      <c r="X14" s="505">
        <f t="shared" si="3"/>
        <v>0</v>
      </c>
      <c r="Y14" t="s">
        <v>1109</v>
      </c>
      <c r="Z14" t="s">
        <v>517</v>
      </c>
    </row>
    <row r="15" spans="1:26">
      <c r="A15" s="429" t="s">
        <v>1047</v>
      </c>
      <c r="B15" s="430">
        <v>4</v>
      </c>
      <c r="C15" s="430">
        <v>10</v>
      </c>
      <c r="D15" s="430">
        <v>3</v>
      </c>
      <c r="E15" s="430">
        <v>3</v>
      </c>
      <c r="F15" t="s">
        <v>983</v>
      </c>
      <c r="G15" s="431" t="s">
        <v>435</v>
      </c>
      <c r="H15" s="431" t="s">
        <v>526</v>
      </c>
      <c r="I15" s="431" t="s">
        <v>435</v>
      </c>
      <c r="J15" s="431" t="s">
        <v>525</v>
      </c>
      <c r="K15" s="431" t="s">
        <v>526</v>
      </c>
      <c r="L15" s="435" t="str">
        <f t="shared" si="6"/>
        <v>1011</v>
      </c>
      <c r="M15" s="429" t="str">
        <f t="shared" si="2"/>
        <v>2025-10-16</v>
      </c>
      <c r="N15" s="430">
        <v>11</v>
      </c>
      <c r="O15" s="431" t="s">
        <v>1110</v>
      </c>
      <c r="P15" s="431" t="s">
        <v>519</v>
      </c>
      <c r="Q15" s="278" t="str">
        <f t="shared" si="1"/>
        <v>LD101525</v>
      </c>
      <c r="R15" s="278" t="str">
        <f t="shared" si="4"/>
        <v>LD101425</v>
      </c>
      <c r="S15" s="278" t="str">
        <f>S14</f>
        <v>LD101025</v>
      </c>
      <c r="T15" s="278" t="str">
        <f t="shared" si="5"/>
        <v>LD101524</v>
      </c>
      <c r="W15" s="505" t="s">
        <v>1047</v>
      </c>
      <c r="X15" s="505">
        <f t="shared" si="3"/>
        <v>0</v>
      </c>
      <c r="Y15" t="s">
        <v>1110</v>
      </c>
      <c r="Z15" t="s">
        <v>519</v>
      </c>
    </row>
    <row r="16" spans="1:26">
      <c r="A16" s="429" t="s">
        <v>1048</v>
      </c>
      <c r="B16" s="430">
        <v>4</v>
      </c>
      <c r="C16" s="430">
        <v>10</v>
      </c>
      <c r="D16" s="430">
        <v>3</v>
      </c>
      <c r="E16" s="430">
        <v>4</v>
      </c>
      <c r="F16" t="s">
        <v>984</v>
      </c>
      <c r="G16" s="431" t="s">
        <v>436</v>
      </c>
      <c r="H16" s="431" t="s">
        <v>528</v>
      </c>
      <c r="I16" s="431" t="s">
        <v>436</v>
      </c>
      <c r="J16" s="431" t="s">
        <v>527</v>
      </c>
      <c r="K16" s="431" t="s">
        <v>528</v>
      </c>
      <c r="L16" s="435" t="str">
        <f t="shared" si="6"/>
        <v>1010</v>
      </c>
      <c r="M16" s="429" t="str">
        <f t="shared" si="2"/>
        <v>2025-10-17</v>
      </c>
      <c r="N16" s="430">
        <v>10</v>
      </c>
      <c r="O16" s="431" t="s">
        <v>1111</v>
      </c>
      <c r="P16" s="431" t="s">
        <v>521</v>
      </c>
      <c r="Q16" s="278" t="str">
        <f t="shared" si="1"/>
        <v>LD101625</v>
      </c>
      <c r="R16" s="278" t="str">
        <f t="shared" si="4"/>
        <v>LD101525</v>
      </c>
      <c r="S16" s="278" t="str">
        <f>S15</f>
        <v>LD101025</v>
      </c>
      <c r="T16" s="278" t="str">
        <f t="shared" si="5"/>
        <v>LD101624</v>
      </c>
      <c r="W16" s="505" t="s">
        <v>1048</v>
      </c>
      <c r="X16" s="505">
        <f t="shared" si="3"/>
        <v>0</v>
      </c>
      <c r="Y16" t="s">
        <v>1111</v>
      </c>
      <c r="Z16" t="s">
        <v>521</v>
      </c>
    </row>
    <row r="17" spans="1:26">
      <c r="A17" s="429" t="s">
        <v>1049</v>
      </c>
      <c r="B17" s="430">
        <v>4</v>
      </c>
      <c r="C17" s="430">
        <v>10</v>
      </c>
      <c r="D17" s="430">
        <v>3</v>
      </c>
      <c r="E17" s="430">
        <v>5</v>
      </c>
      <c r="F17" t="s">
        <v>985</v>
      </c>
      <c r="G17" s="431" t="s">
        <v>437</v>
      </c>
      <c r="H17" s="431" t="s">
        <v>712</v>
      </c>
      <c r="I17" s="431" t="s">
        <v>437</v>
      </c>
      <c r="J17" s="431" t="s">
        <v>529</v>
      </c>
      <c r="K17" s="431" t="s">
        <v>530</v>
      </c>
      <c r="L17" s="435" t="str">
        <f t="shared" si="6"/>
        <v>109</v>
      </c>
      <c r="M17" s="429" t="str">
        <f t="shared" si="2"/>
        <v>2025-10-20</v>
      </c>
      <c r="N17" s="430">
        <v>9</v>
      </c>
      <c r="O17" s="431" t="s">
        <v>1112</v>
      </c>
      <c r="P17" s="431" t="s">
        <v>523</v>
      </c>
      <c r="Q17" s="278" t="str">
        <f t="shared" ref="Q17:Q68" si="7">F17</f>
        <v>LD101725</v>
      </c>
      <c r="R17" s="278" t="str">
        <f t="shared" si="4"/>
        <v>LD101625</v>
      </c>
      <c r="S17" s="278" t="str">
        <f>S16</f>
        <v>LD101025</v>
      </c>
      <c r="T17" s="278" t="str">
        <f>+O17</f>
        <v>LD101724</v>
      </c>
      <c r="W17" s="505" t="s">
        <v>1049</v>
      </c>
      <c r="X17" s="505">
        <f t="shared" si="3"/>
        <v>0</v>
      </c>
      <c r="Y17" t="s">
        <v>1112</v>
      </c>
      <c r="Z17" t="s">
        <v>523</v>
      </c>
    </row>
    <row r="18" spans="1:26">
      <c r="A18" s="429" t="s">
        <v>1050</v>
      </c>
      <c r="B18" s="430">
        <v>4</v>
      </c>
      <c r="C18" s="430">
        <v>10</v>
      </c>
      <c r="D18" s="430">
        <v>4</v>
      </c>
      <c r="E18" s="430">
        <v>1</v>
      </c>
      <c r="F18" t="s">
        <v>986</v>
      </c>
      <c r="G18" s="431" t="s">
        <v>438</v>
      </c>
      <c r="H18" s="431" t="s">
        <v>532</v>
      </c>
      <c r="I18" s="431" t="s">
        <v>438</v>
      </c>
      <c r="J18" s="431" t="s">
        <v>531</v>
      </c>
      <c r="K18" s="431" t="s">
        <v>532</v>
      </c>
      <c r="L18" s="435" t="str">
        <f t="shared" si="6"/>
        <v>108</v>
      </c>
      <c r="M18" s="429" t="str">
        <f t="shared" si="2"/>
        <v>2025-10-21</v>
      </c>
      <c r="N18" s="430">
        <v>8</v>
      </c>
      <c r="O18" s="431" t="s">
        <v>1113</v>
      </c>
      <c r="P18" s="431" t="s">
        <v>525</v>
      </c>
      <c r="Q18" s="278" t="str">
        <f t="shared" si="7"/>
        <v>LD102025</v>
      </c>
      <c r="R18" s="278" t="str">
        <f t="shared" ref="R18:R72" si="8">Q17</f>
        <v>LD101725</v>
      </c>
      <c r="S18" s="433" t="str">
        <f>Q17</f>
        <v>LD101725</v>
      </c>
      <c r="T18" s="278" t="str">
        <f t="shared" si="5"/>
        <v>LD101824</v>
      </c>
      <c r="W18" s="505" t="s">
        <v>1050</v>
      </c>
      <c r="X18" s="505">
        <f t="shared" si="3"/>
        <v>0</v>
      </c>
      <c r="Y18" t="s">
        <v>1113</v>
      </c>
      <c r="Z18" t="s">
        <v>525</v>
      </c>
    </row>
    <row r="19" spans="1:26">
      <c r="A19" s="429" t="s">
        <v>1051</v>
      </c>
      <c r="B19" s="430">
        <v>4</v>
      </c>
      <c r="C19" s="430">
        <v>10</v>
      </c>
      <c r="D19" s="430">
        <v>4</v>
      </c>
      <c r="E19" s="430">
        <v>2</v>
      </c>
      <c r="F19" t="s">
        <v>987</v>
      </c>
      <c r="G19" s="431" t="s">
        <v>439</v>
      </c>
      <c r="H19" s="431" t="s">
        <v>534</v>
      </c>
      <c r="I19" s="431" t="s">
        <v>439</v>
      </c>
      <c r="J19" s="431" t="s">
        <v>533</v>
      </c>
      <c r="K19" s="431" t="s">
        <v>534</v>
      </c>
      <c r="L19" s="435" t="str">
        <f t="shared" si="6"/>
        <v>107</v>
      </c>
      <c r="M19" s="429" t="str">
        <f t="shared" si="2"/>
        <v>2025-10-22</v>
      </c>
      <c r="N19" s="430">
        <v>7</v>
      </c>
      <c r="O19" s="431" t="s">
        <v>1114</v>
      </c>
      <c r="P19" s="431" t="s">
        <v>527</v>
      </c>
      <c r="Q19" s="278" t="str">
        <f t="shared" si="7"/>
        <v>LD102125</v>
      </c>
      <c r="R19" s="278" t="str">
        <f t="shared" si="8"/>
        <v>LD102025</v>
      </c>
      <c r="S19" s="278" t="str">
        <f>S18</f>
        <v>LD101725</v>
      </c>
      <c r="T19" s="278" t="str">
        <f t="shared" si="5"/>
        <v>LD102124</v>
      </c>
      <c r="W19" s="505" t="s">
        <v>1051</v>
      </c>
      <c r="X19" s="505">
        <f t="shared" si="3"/>
        <v>0</v>
      </c>
      <c r="Y19" t="s">
        <v>1114</v>
      </c>
      <c r="Z19" t="s">
        <v>527</v>
      </c>
    </row>
    <row r="20" spans="1:26">
      <c r="A20" s="429" t="s">
        <v>1052</v>
      </c>
      <c r="B20" s="430">
        <v>4</v>
      </c>
      <c r="C20" s="430">
        <v>10</v>
      </c>
      <c r="D20" s="430">
        <v>4</v>
      </c>
      <c r="E20" s="430">
        <v>3</v>
      </c>
      <c r="F20" t="s">
        <v>988</v>
      </c>
      <c r="G20" s="431" t="s">
        <v>440</v>
      </c>
      <c r="H20" s="431" t="s">
        <v>536</v>
      </c>
      <c r="I20" s="431" t="s">
        <v>440</v>
      </c>
      <c r="J20" s="431" t="s">
        <v>535</v>
      </c>
      <c r="K20" s="431" t="s">
        <v>536</v>
      </c>
      <c r="L20" s="435" t="str">
        <f t="shared" si="6"/>
        <v>106</v>
      </c>
      <c r="M20" s="429" t="str">
        <f t="shared" si="2"/>
        <v>2025-10-23</v>
      </c>
      <c r="N20" s="430">
        <v>6</v>
      </c>
      <c r="O20" s="431" t="s">
        <v>1115</v>
      </c>
      <c r="P20" s="431" t="s">
        <v>529</v>
      </c>
      <c r="Q20" s="278" t="str">
        <f t="shared" si="7"/>
        <v>LD102225</v>
      </c>
      <c r="R20" s="278" t="str">
        <f t="shared" si="8"/>
        <v>LD102125</v>
      </c>
      <c r="S20" s="278" t="str">
        <f>S19</f>
        <v>LD101725</v>
      </c>
      <c r="T20" s="278" t="str">
        <f t="shared" si="5"/>
        <v>LD102224</v>
      </c>
      <c r="W20" s="505" t="s">
        <v>1052</v>
      </c>
      <c r="X20" s="505">
        <f t="shared" si="3"/>
        <v>0</v>
      </c>
      <c r="Y20" t="s">
        <v>1115</v>
      </c>
      <c r="Z20" t="s">
        <v>529</v>
      </c>
    </row>
    <row r="21" spans="1:26">
      <c r="A21" s="429" t="s">
        <v>1053</v>
      </c>
      <c r="B21" s="430">
        <v>4</v>
      </c>
      <c r="C21" s="430">
        <v>10</v>
      </c>
      <c r="D21" s="430">
        <v>4</v>
      </c>
      <c r="E21" s="430">
        <v>4</v>
      </c>
      <c r="F21" t="s">
        <v>989</v>
      </c>
      <c r="G21" s="431" t="s">
        <v>441</v>
      </c>
      <c r="H21" s="431" t="s">
        <v>538</v>
      </c>
      <c r="I21" s="431" t="s">
        <v>441</v>
      </c>
      <c r="J21" s="431" t="s">
        <v>537</v>
      </c>
      <c r="K21" s="431" t="s">
        <v>538</v>
      </c>
      <c r="L21" s="435" t="str">
        <f t="shared" si="6"/>
        <v>105</v>
      </c>
      <c r="M21" s="429" t="str">
        <f t="shared" si="2"/>
        <v>2025-10-24</v>
      </c>
      <c r="N21" s="430">
        <v>5</v>
      </c>
      <c r="O21" s="431" t="s">
        <v>1116</v>
      </c>
      <c r="P21" s="431" t="s">
        <v>531</v>
      </c>
      <c r="Q21" s="278" t="str">
        <f t="shared" si="7"/>
        <v>LD102325</v>
      </c>
      <c r="R21" s="278" t="str">
        <f t="shared" si="8"/>
        <v>LD102225</v>
      </c>
      <c r="S21" s="278" t="str">
        <f>S20</f>
        <v>LD101725</v>
      </c>
      <c r="T21" s="278" t="str">
        <f t="shared" si="5"/>
        <v>LD102324</v>
      </c>
      <c r="W21" s="505" t="s">
        <v>1053</v>
      </c>
      <c r="X21" s="505">
        <f t="shared" si="3"/>
        <v>0</v>
      </c>
      <c r="Y21" t="s">
        <v>1116</v>
      </c>
      <c r="Z21" t="s">
        <v>531</v>
      </c>
    </row>
    <row r="22" spans="1:26">
      <c r="A22" s="429" t="s">
        <v>1054</v>
      </c>
      <c r="B22" s="430">
        <v>4</v>
      </c>
      <c r="C22" s="430">
        <v>10</v>
      </c>
      <c r="D22" s="430">
        <v>4</v>
      </c>
      <c r="E22" s="430">
        <v>5</v>
      </c>
      <c r="F22" t="s">
        <v>990</v>
      </c>
      <c r="G22" s="431" t="s">
        <v>442</v>
      </c>
      <c r="H22" s="431" t="s">
        <v>714</v>
      </c>
      <c r="I22" s="431" t="s">
        <v>442</v>
      </c>
      <c r="J22" s="431" t="s">
        <v>539</v>
      </c>
      <c r="K22" s="431" t="s">
        <v>540</v>
      </c>
      <c r="L22" s="435" t="str">
        <f t="shared" si="6"/>
        <v>104</v>
      </c>
      <c r="M22" s="429" t="str">
        <f t="shared" si="2"/>
        <v>2025-10-27</v>
      </c>
      <c r="N22" s="430">
        <v>4</v>
      </c>
      <c r="O22" s="431" t="s">
        <v>1117</v>
      </c>
      <c r="P22" s="431" t="s">
        <v>533</v>
      </c>
      <c r="Q22" s="278" t="str">
        <f>F22</f>
        <v>LD102425</v>
      </c>
      <c r="R22" s="278" t="str">
        <f t="shared" si="8"/>
        <v>LD102325</v>
      </c>
      <c r="S22" s="278" t="str">
        <f>S21</f>
        <v>LD101725</v>
      </c>
      <c r="T22" s="278" t="str">
        <f t="shared" si="5"/>
        <v>LD102424</v>
      </c>
      <c r="W22" s="505" t="s">
        <v>1054</v>
      </c>
      <c r="X22" s="505">
        <f t="shared" si="3"/>
        <v>0</v>
      </c>
      <c r="Y22" t="s">
        <v>1117</v>
      </c>
      <c r="Z22" t="s">
        <v>533</v>
      </c>
    </row>
    <row r="23" spans="1:26">
      <c r="A23" s="429" t="s">
        <v>1055</v>
      </c>
      <c r="B23" s="430">
        <v>4</v>
      </c>
      <c r="C23" s="430">
        <v>10</v>
      </c>
      <c r="D23" s="430">
        <v>5</v>
      </c>
      <c r="E23" s="430">
        <v>1</v>
      </c>
      <c r="F23" t="s">
        <v>991</v>
      </c>
      <c r="G23" s="431" t="s">
        <v>443</v>
      </c>
      <c r="H23" s="431" t="s">
        <v>540</v>
      </c>
      <c r="I23" s="431" t="s">
        <v>442</v>
      </c>
      <c r="J23" s="431" t="s">
        <v>539</v>
      </c>
      <c r="K23" s="431" t="s">
        <v>540</v>
      </c>
      <c r="L23" s="435" t="str">
        <f t="shared" si="6"/>
        <v>103</v>
      </c>
      <c r="M23" s="429" t="str">
        <f t="shared" si="2"/>
        <v>2025-10-28</v>
      </c>
      <c r="N23" s="430">
        <v>3</v>
      </c>
      <c r="O23" s="431" t="s">
        <v>1118</v>
      </c>
      <c r="P23" s="431" t="s">
        <v>535</v>
      </c>
      <c r="Q23" s="278" t="str">
        <f t="shared" si="7"/>
        <v>LD102725</v>
      </c>
      <c r="R23" s="278" t="str">
        <f t="shared" si="8"/>
        <v>LD102425</v>
      </c>
      <c r="S23" s="433" t="str">
        <f>Q22</f>
        <v>LD102425</v>
      </c>
      <c r="T23" s="278" t="str">
        <f t="shared" si="5"/>
        <v>LD102524</v>
      </c>
      <c r="W23" s="505" t="s">
        <v>1055</v>
      </c>
      <c r="X23" s="505">
        <f t="shared" si="3"/>
        <v>0</v>
      </c>
      <c r="Y23" t="s">
        <v>1118</v>
      </c>
      <c r="Z23" t="s">
        <v>535</v>
      </c>
    </row>
    <row r="24" spans="1:26">
      <c r="A24" s="429" t="s">
        <v>1056</v>
      </c>
      <c r="B24" s="430">
        <v>4</v>
      </c>
      <c r="C24" s="430">
        <v>10</v>
      </c>
      <c r="D24" s="430">
        <v>5</v>
      </c>
      <c r="E24" s="430">
        <v>2</v>
      </c>
      <c r="F24" t="s">
        <v>992</v>
      </c>
      <c r="G24" s="431" t="s">
        <v>444</v>
      </c>
      <c r="H24" s="431" t="s">
        <v>542</v>
      </c>
      <c r="I24" s="431" t="s">
        <v>443</v>
      </c>
      <c r="J24" s="431" t="s">
        <v>541</v>
      </c>
      <c r="K24" s="431" t="s">
        <v>542</v>
      </c>
      <c r="L24" s="435" t="str">
        <f t="shared" si="6"/>
        <v>102</v>
      </c>
      <c r="M24" s="429" t="str">
        <f t="shared" si="2"/>
        <v>2025-10-29</v>
      </c>
      <c r="N24" s="430">
        <v>2</v>
      </c>
      <c r="O24" s="431" t="s">
        <v>1119</v>
      </c>
      <c r="P24" s="431" t="s">
        <v>537</v>
      </c>
      <c r="Q24" s="278" t="str">
        <f t="shared" si="7"/>
        <v>LD102825</v>
      </c>
      <c r="R24" s="278" t="str">
        <f t="shared" si="8"/>
        <v>LD102725</v>
      </c>
      <c r="S24" s="278" t="str">
        <f>Q22</f>
        <v>LD102425</v>
      </c>
      <c r="T24" s="278" t="str">
        <f t="shared" si="5"/>
        <v>LD102824</v>
      </c>
      <c r="W24" s="505" t="s">
        <v>1056</v>
      </c>
      <c r="X24" s="505">
        <f t="shared" si="3"/>
        <v>0</v>
      </c>
      <c r="Y24" t="s">
        <v>1119</v>
      </c>
      <c r="Z24" t="s">
        <v>537</v>
      </c>
    </row>
    <row r="25" spans="1:26">
      <c r="A25" s="429" t="s">
        <v>1057</v>
      </c>
      <c r="B25" s="430">
        <v>4</v>
      </c>
      <c r="C25" s="430">
        <v>10</v>
      </c>
      <c r="D25" s="430">
        <v>5</v>
      </c>
      <c r="E25" s="430">
        <v>3</v>
      </c>
      <c r="F25" t="s">
        <v>993</v>
      </c>
      <c r="G25" s="431" t="s">
        <v>445</v>
      </c>
      <c r="H25" s="431" t="s">
        <v>544</v>
      </c>
      <c r="I25" s="431" t="s">
        <v>444</v>
      </c>
      <c r="J25" s="431" t="s">
        <v>543</v>
      </c>
      <c r="K25" s="431" t="s">
        <v>544</v>
      </c>
      <c r="L25" s="435" t="str">
        <f t="shared" si="6"/>
        <v>101</v>
      </c>
      <c r="M25" s="429" t="str">
        <f t="shared" si="2"/>
        <v>2025-10-30</v>
      </c>
      <c r="N25" s="430">
        <v>1</v>
      </c>
      <c r="O25" s="431" t="s">
        <v>1120</v>
      </c>
      <c r="P25" s="431" t="s">
        <v>539</v>
      </c>
      <c r="Q25" s="278" t="str">
        <f t="shared" si="7"/>
        <v>LD102925</v>
      </c>
      <c r="R25" s="278" t="str">
        <f t="shared" si="8"/>
        <v>LD102825</v>
      </c>
      <c r="S25" s="278" t="str">
        <f>S24</f>
        <v>LD102425</v>
      </c>
      <c r="T25" s="278" t="str">
        <f t="shared" si="5"/>
        <v>LD102924</v>
      </c>
      <c r="W25" s="505" t="s">
        <v>1057</v>
      </c>
      <c r="X25" s="505">
        <f t="shared" si="3"/>
        <v>0</v>
      </c>
      <c r="Y25" t="s">
        <v>1120</v>
      </c>
      <c r="Z25" t="s">
        <v>539</v>
      </c>
    </row>
    <row r="26" spans="1:26">
      <c r="A26" s="429" t="s">
        <v>1058</v>
      </c>
      <c r="B26" s="430">
        <v>4</v>
      </c>
      <c r="C26" s="430">
        <v>10</v>
      </c>
      <c r="D26" s="430">
        <v>5</v>
      </c>
      <c r="E26" s="430">
        <v>4</v>
      </c>
      <c r="F26" t="s">
        <v>994</v>
      </c>
      <c r="G26" s="431" t="s">
        <v>446</v>
      </c>
      <c r="H26" s="431" t="s">
        <v>546</v>
      </c>
      <c r="I26" s="431" t="s">
        <v>445</v>
      </c>
      <c r="J26" s="431" t="s">
        <v>545</v>
      </c>
      <c r="K26" s="431" t="s">
        <v>546</v>
      </c>
      <c r="L26" s="435" t="str">
        <f>C26&amp;N26</f>
        <v>100</v>
      </c>
      <c r="M26" s="429" t="str">
        <f t="shared" si="2"/>
        <v>2025-10-31</v>
      </c>
      <c r="N26" s="430">
        <v>0</v>
      </c>
      <c r="O26" s="431" t="s">
        <v>1121</v>
      </c>
      <c r="P26" s="431" t="s">
        <v>541</v>
      </c>
      <c r="Q26" s="278" t="str">
        <f t="shared" si="7"/>
        <v>LD103025</v>
      </c>
      <c r="R26" s="278" t="str">
        <f t="shared" si="8"/>
        <v>LD102925</v>
      </c>
      <c r="S26" s="278" t="str">
        <f>S25</f>
        <v>LD102425</v>
      </c>
      <c r="T26" s="278" t="str">
        <f t="shared" si="5"/>
        <v>LD103024</v>
      </c>
      <c r="W26" s="505" t="s">
        <v>1058</v>
      </c>
      <c r="X26" s="505">
        <f t="shared" si="3"/>
        <v>0</v>
      </c>
      <c r="Y26" t="s">
        <v>1121</v>
      </c>
      <c r="Z26" t="s">
        <v>541</v>
      </c>
    </row>
    <row r="27" spans="1:26">
      <c r="A27" s="429" t="s">
        <v>1059</v>
      </c>
      <c r="B27" s="430">
        <v>4</v>
      </c>
      <c r="C27" s="430">
        <v>10</v>
      </c>
      <c r="D27" s="430">
        <v>5</v>
      </c>
      <c r="E27" s="430">
        <v>5</v>
      </c>
      <c r="F27" t="s">
        <v>995</v>
      </c>
      <c r="G27" s="431" t="s">
        <v>447</v>
      </c>
      <c r="H27" s="431" t="s">
        <v>548</v>
      </c>
      <c r="I27" s="431" t="s">
        <v>446</v>
      </c>
      <c r="J27" s="431" t="s">
        <v>547</v>
      </c>
      <c r="K27" s="431" t="s">
        <v>548</v>
      </c>
      <c r="L27" s="435" t="str">
        <f t="shared" si="6"/>
        <v>1020</v>
      </c>
      <c r="M27" s="429" t="str">
        <f t="shared" si="2"/>
        <v>2025-11-03</v>
      </c>
      <c r="N27" s="430">
        <v>20</v>
      </c>
      <c r="O27" s="431" t="s">
        <v>1122</v>
      </c>
      <c r="P27" s="431" t="s">
        <v>543</v>
      </c>
      <c r="Q27" s="278" t="str">
        <f t="shared" si="7"/>
        <v>LD103125</v>
      </c>
      <c r="R27" s="278" t="str">
        <f>Q26</f>
        <v>LD103025</v>
      </c>
      <c r="S27" s="278" t="str">
        <f>S26</f>
        <v>LD102425</v>
      </c>
      <c r="T27" s="278" t="str">
        <f t="shared" si="5"/>
        <v>LD103124</v>
      </c>
      <c r="W27" s="505" t="s">
        <v>1059</v>
      </c>
      <c r="X27" s="505">
        <f t="shared" si="3"/>
        <v>0</v>
      </c>
      <c r="Y27" t="s">
        <v>1122</v>
      </c>
      <c r="Z27" t="s">
        <v>543</v>
      </c>
    </row>
    <row r="28" spans="1:26">
      <c r="A28" s="429" t="s">
        <v>1060</v>
      </c>
      <c r="B28" s="430">
        <v>4</v>
      </c>
      <c r="C28" s="430">
        <v>11</v>
      </c>
      <c r="D28" s="430">
        <v>6</v>
      </c>
      <c r="E28" s="430">
        <v>1</v>
      </c>
      <c r="F28" t="s">
        <v>996</v>
      </c>
      <c r="G28" s="431" t="s">
        <v>448</v>
      </c>
      <c r="H28" s="431" t="s">
        <v>550</v>
      </c>
      <c r="I28" s="431" t="s">
        <v>447</v>
      </c>
      <c r="J28" s="431" t="s">
        <v>549</v>
      </c>
      <c r="K28" s="431" t="s">
        <v>550</v>
      </c>
      <c r="L28" s="435" t="str">
        <f t="shared" si="6"/>
        <v>1119</v>
      </c>
      <c r="M28" s="429" t="str">
        <f t="shared" si="2"/>
        <v>2025-11-04</v>
      </c>
      <c r="N28" s="430">
        <v>19</v>
      </c>
      <c r="O28" s="431" t="s">
        <v>1123</v>
      </c>
      <c r="P28" s="431" t="s">
        <v>549</v>
      </c>
      <c r="Q28" s="278" t="str">
        <f t="shared" si="7"/>
        <v>LD110325</v>
      </c>
      <c r="R28" s="278" t="str">
        <f t="shared" si="8"/>
        <v>LD103125</v>
      </c>
      <c r="S28" s="433" t="str">
        <f>Q27</f>
        <v>LD103125</v>
      </c>
      <c r="T28" s="278" t="str">
        <f t="shared" si="5"/>
        <v>LD110424</v>
      </c>
      <c r="W28" s="505" t="s">
        <v>1060</v>
      </c>
      <c r="X28" s="505">
        <f t="shared" si="3"/>
        <v>0</v>
      </c>
      <c r="Y28" t="s">
        <v>1123</v>
      </c>
      <c r="Z28" t="s">
        <v>549</v>
      </c>
    </row>
    <row r="29" spans="1:26">
      <c r="A29" s="429" t="s">
        <v>1061</v>
      </c>
      <c r="B29" s="430">
        <v>4</v>
      </c>
      <c r="C29" s="430">
        <v>11</v>
      </c>
      <c r="D29" s="430">
        <v>6</v>
      </c>
      <c r="E29" s="430">
        <v>2</v>
      </c>
      <c r="F29" t="s">
        <v>997</v>
      </c>
      <c r="G29" s="431" t="s">
        <v>449</v>
      </c>
      <c r="H29" s="431" t="s">
        <v>552</v>
      </c>
      <c r="I29" s="431" t="s">
        <v>448</v>
      </c>
      <c r="J29" s="431" t="s">
        <v>551</v>
      </c>
      <c r="K29" s="431" t="s">
        <v>552</v>
      </c>
      <c r="L29" s="435" t="str">
        <f>C29&amp;N29</f>
        <v>1118</v>
      </c>
      <c r="M29" s="429" t="str">
        <f t="shared" si="2"/>
        <v>2025-11-05</v>
      </c>
      <c r="N29" s="430">
        <v>18</v>
      </c>
      <c r="O29" s="431" t="s">
        <v>1124</v>
      </c>
      <c r="P29" s="431" t="s">
        <v>551</v>
      </c>
      <c r="Q29" s="278" t="str">
        <f>F29</f>
        <v>LD110425</v>
      </c>
      <c r="R29" s="278" t="str">
        <f>Q28</f>
        <v>LD110325</v>
      </c>
      <c r="S29" s="278" t="str">
        <f>Q27</f>
        <v>LD103125</v>
      </c>
      <c r="T29" s="278" t="str">
        <f t="shared" si="5"/>
        <v>LD110524</v>
      </c>
      <c r="W29" s="505" t="s">
        <v>1061</v>
      </c>
      <c r="X29" s="505">
        <f t="shared" si="3"/>
        <v>0</v>
      </c>
      <c r="Y29" t="s">
        <v>1124</v>
      </c>
      <c r="Z29" t="s">
        <v>551</v>
      </c>
    </row>
    <row r="30" spans="1:26">
      <c r="A30" s="429" t="s">
        <v>1062</v>
      </c>
      <c r="B30" s="430">
        <v>4</v>
      </c>
      <c r="C30" s="430">
        <v>11</v>
      </c>
      <c r="D30" s="430">
        <v>6</v>
      </c>
      <c r="E30" s="430">
        <v>3</v>
      </c>
      <c r="F30" t="s">
        <v>998</v>
      </c>
      <c r="G30" s="431" t="s">
        <v>450</v>
      </c>
      <c r="H30" s="431" t="s">
        <v>554</v>
      </c>
      <c r="I30" s="431" t="s">
        <v>449</v>
      </c>
      <c r="J30" s="431" t="s">
        <v>553</v>
      </c>
      <c r="K30" s="431" t="s">
        <v>554</v>
      </c>
      <c r="L30" s="435" t="str">
        <f t="shared" si="6"/>
        <v>1117</v>
      </c>
      <c r="M30" s="429" t="str">
        <f t="shared" si="2"/>
        <v>2025-11-06</v>
      </c>
      <c r="N30" s="430">
        <v>17</v>
      </c>
      <c r="O30" s="431" t="s">
        <v>1125</v>
      </c>
      <c r="P30" s="431" t="s">
        <v>553</v>
      </c>
      <c r="Q30" s="278" t="str">
        <f t="shared" si="7"/>
        <v>LD110525</v>
      </c>
      <c r="R30" s="278" t="str">
        <f t="shared" si="8"/>
        <v>LD110425</v>
      </c>
      <c r="S30" s="278" t="str">
        <f>S29</f>
        <v>LD103125</v>
      </c>
      <c r="T30" s="278" t="str">
        <f t="shared" si="5"/>
        <v>LD110624</v>
      </c>
      <c r="W30" s="505" t="s">
        <v>1062</v>
      </c>
      <c r="X30" s="505">
        <f t="shared" si="3"/>
        <v>0</v>
      </c>
      <c r="Y30" t="s">
        <v>1125</v>
      </c>
      <c r="Z30" t="s">
        <v>553</v>
      </c>
    </row>
    <row r="31" spans="1:26">
      <c r="A31" s="429" t="s">
        <v>1063</v>
      </c>
      <c r="B31" s="430">
        <v>4</v>
      </c>
      <c r="C31" s="430">
        <v>11</v>
      </c>
      <c r="D31" s="430">
        <v>6</v>
      </c>
      <c r="E31" s="430">
        <v>4</v>
      </c>
      <c r="F31" t="s">
        <v>999</v>
      </c>
      <c r="G31" s="431" t="s">
        <v>451</v>
      </c>
      <c r="H31" s="431" t="s">
        <v>556</v>
      </c>
      <c r="I31" s="431" t="s">
        <v>450</v>
      </c>
      <c r="J31" s="431" t="s">
        <v>555</v>
      </c>
      <c r="K31" s="431" t="s">
        <v>556</v>
      </c>
      <c r="L31" s="435" t="str">
        <f t="shared" si="6"/>
        <v>1116</v>
      </c>
      <c r="M31" s="429" t="str">
        <f t="shared" si="2"/>
        <v>2025-11-07</v>
      </c>
      <c r="N31" s="430">
        <v>16</v>
      </c>
      <c r="O31" s="431" t="s">
        <v>1126</v>
      </c>
      <c r="P31" s="431" t="s">
        <v>555</v>
      </c>
      <c r="Q31" s="278" t="str">
        <f t="shared" si="7"/>
        <v>LD110625</v>
      </c>
      <c r="R31" s="278" t="str">
        <f t="shared" si="8"/>
        <v>LD110525</v>
      </c>
      <c r="S31" s="278" t="str">
        <f>S30</f>
        <v>LD103125</v>
      </c>
      <c r="T31" s="278" t="str">
        <f>+O31</f>
        <v>LD110724</v>
      </c>
      <c r="W31" s="505" t="s">
        <v>1063</v>
      </c>
      <c r="X31" s="505">
        <f t="shared" si="3"/>
        <v>0</v>
      </c>
      <c r="Y31" t="s">
        <v>1126</v>
      </c>
      <c r="Z31" t="s">
        <v>555</v>
      </c>
    </row>
    <row r="32" spans="1:26">
      <c r="A32" s="429" t="s">
        <v>1064</v>
      </c>
      <c r="B32" s="430">
        <v>4</v>
      </c>
      <c r="C32" s="430">
        <v>11</v>
      </c>
      <c r="D32" s="430">
        <v>6</v>
      </c>
      <c r="E32" s="430">
        <v>5</v>
      </c>
      <c r="F32" t="s">
        <v>1000</v>
      </c>
      <c r="G32" s="431" t="s">
        <v>452</v>
      </c>
      <c r="H32" s="431" t="s">
        <v>558</v>
      </c>
      <c r="I32" s="431" t="s">
        <v>451</v>
      </c>
      <c r="J32" s="431" t="s">
        <v>557</v>
      </c>
      <c r="K32" s="431" t="s">
        <v>558</v>
      </c>
      <c r="L32" s="435" t="str">
        <f t="shared" si="6"/>
        <v>1115</v>
      </c>
      <c r="M32" s="429" t="str">
        <f t="shared" si="2"/>
        <v>2025-11-10</v>
      </c>
      <c r="N32" s="430">
        <v>15</v>
      </c>
      <c r="O32" s="431" t="s">
        <v>1127</v>
      </c>
      <c r="P32" s="431" t="s">
        <v>557</v>
      </c>
      <c r="Q32" s="278" t="str">
        <f t="shared" si="7"/>
        <v>LD110725</v>
      </c>
      <c r="R32" s="278" t="str">
        <f t="shared" si="8"/>
        <v>LD110625</v>
      </c>
      <c r="S32" s="278" t="str">
        <f>S31</f>
        <v>LD103125</v>
      </c>
      <c r="T32" s="278" t="str">
        <f t="shared" si="5"/>
        <v>LD110824</v>
      </c>
      <c r="W32" s="505" t="s">
        <v>1064</v>
      </c>
      <c r="X32" s="505">
        <f t="shared" si="3"/>
        <v>0</v>
      </c>
      <c r="Y32" t="s">
        <v>1127</v>
      </c>
      <c r="Z32" t="s">
        <v>557</v>
      </c>
    </row>
    <row r="33" spans="1:26">
      <c r="A33" s="429" t="s">
        <v>1065</v>
      </c>
      <c r="B33" s="430">
        <v>4</v>
      </c>
      <c r="C33" s="430">
        <v>11</v>
      </c>
      <c r="D33" s="430">
        <v>7</v>
      </c>
      <c r="E33" s="430">
        <v>1</v>
      </c>
      <c r="F33" t="s">
        <v>1001</v>
      </c>
      <c r="G33" s="431" t="s">
        <v>453</v>
      </c>
      <c r="H33" s="431" t="s">
        <v>715</v>
      </c>
      <c r="I33" s="431" t="s">
        <v>452</v>
      </c>
      <c r="J33" s="431" t="s">
        <v>559</v>
      </c>
      <c r="K33" s="431" t="s">
        <v>560</v>
      </c>
      <c r="L33" s="435" t="str">
        <f t="shared" si="6"/>
        <v>1114</v>
      </c>
      <c r="M33" s="429" t="str">
        <f t="shared" si="2"/>
        <v>2025-11-11</v>
      </c>
      <c r="N33" s="430">
        <v>14</v>
      </c>
      <c r="O33" s="431" t="s">
        <v>1128</v>
      </c>
      <c r="P33" s="431" t="s">
        <v>559</v>
      </c>
      <c r="Q33" s="278" t="str">
        <f t="shared" si="7"/>
        <v>LD111025</v>
      </c>
      <c r="R33" s="278" t="str">
        <f t="shared" si="8"/>
        <v>LD110725</v>
      </c>
      <c r="S33" s="433" t="str">
        <f>Q32</f>
        <v>LD110725</v>
      </c>
      <c r="T33" s="278" t="str">
        <f t="shared" si="5"/>
        <v>LD111124</v>
      </c>
      <c r="W33" s="505" t="s">
        <v>1065</v>
      </c>
      <c r="X33" s="505">
        <f t="shared" si="3"/>
        <v>0</v>
      </c>
      <c r="Y33" t="s">
        <v>1128</v>
      </c>
      <c r="Z33" t="s">
        <v>559</v>
      </c>
    </row>
    <row r="34" spans="1:26">
      <c r="A34" s="429" t="s">
        <v>1066</v>
      </c>
      <c r="B34" s="430">
        <v>4</v>
      </c>
      <c r="C34" s="430">
        <v>11</v>
      </c>
      <c r="D34" s="430">
        <v>7</v>
      </c>
      <c r="E34" s="430">
        <v>2</v>
      </c>
      <c r="F34" t="s">
        <v>1002</v>
      </c>
      <c r="G34" s="431" t="s">
        <v>454</v>
      </c>
      <c r="H34" s="431" t="s">
        <v>562</v>
      </c>
      <c r="I34" s="431" t="s">
        <v>453</v>
      </c>
      <c r="J34" s="431" t="s">
        <v>561</v>
      </c>
      <c r="K34" s="431" t="s">
        <v>562</v>
      </c>
      <c r="L34" s="435" t="str">
        <f t="shared" si="6"/>
        <v>1113</v>
      </c>
      <c r="M34" s="429" t="str">
        <f t="shared" si="2"/>
        <v>2025-11-12</v>
      </c>
      <c r="N34" s="430">
        <v>13</v>
      </c>
      <c r="O34" s="431" t="s">
        <v>1129</v>
      </c>
      <c r="P34" s="431" t="s">
        <v>561</v>
      </c>
      <c r="Q34" s="278" t="str">
        <f t="shared" si="7"/>
        <v>LD111125</v>
      </c>
      <c r="R34" s="278" t="str">
        <f t="shared" si="8"/>
        <v>LD111025</v>
      </c>
      <c r="S34" s="278" t="str">
        <f>S33</f>
        <v>LD110725</v>
      </c>
      <c r="T34" s="278" t="str">
        <f t="shared" si="5"/>
        <v>LD111224</v>
      </c>
      <c r="W34" s="505" t="s">
        <v>1066</v>
      </c>
      <c r="X34" s="505">
        <f t="shared" si="3"/>
        <v>0</v>
      </c>
      <c r="Y34" t="s">
        <v>1129</v>
      </c>
      <c r="Z34" t="s">
        <v>561</v>
      </c>
    </row>
    <row r="35" spans="1:26">
      <c r="A35" s="429" t="s">
        <v>1067</v>
      </c>
      <c r="B35" s="430">
        <v>4</v>
      </c>
      <c r="C35" s="430">
        <v>11</v>
      </c>
      <c r="D35" s="430">
        <v>7</v>
      </c>
      <c r="E35" s="430">
        <v>3</v>
      </c>
      <c r="F35" t="s">
        <v>1003</v>
      </c>
      <c r="G35" s="431" t="s">
        <v>455</v>
      </c>
      <c r="H35" s="431" t="s">
        <v>564</v>
      </c>
      <c r="I35" s="431" t="s">
        <v>454</v>
      </c>
      <c r="J35" s="431" t="s">
        <v>563</v>
      </c>
      <c r="K35" s="431" t="s">
        <v>564</v>
      </c>
      <c r="L35" s="435" t="str">
        <f t="shared" si="6"/>
        <v>1112</v>
      </c>
      <c r="M35" s="429" t="str">
        <f t="shared" si="2"/>
        <v>2025-11-13</v>
      </c>
      <c r="N35" s="430">
        <v>12</v>
      </c>
      <c r="O35" s="431" t="s">
        <v>1130</v>
      </c>
      <c r="P35" s="431" t="s">
        <v>563</v>
      </c>
      <c r="Q35" s="278" t="str">
        <f t="shared" si="7"/>
        <v>LD111225</v>
      </c>
      <c r="R35" s="278" t="str">
        <f t="shared" si="8"/>
        <v>LD111125</v>
      </c>
      <c r="S35" s="278" t="str">
        <f>S34</f>
        <v>LD110725</v>
      </c>
      <c r="T35" s="278" t="str">
        <f t="shared" si="5"/>
        <v>LD111324</v>
      </c>
      <c r="W35" s="505" t="s">
        <v>1067</v>
      </c>
      <c r="X35" s="505">
        <f t="shared" si="3"/>
        <v>0</v>
      </c>
      <c r="Y35" t="s">
        <v>1130</v>
      </c>
      <c r="Z35" t="s">
        <v>563</v>
      </c>
    </row>
    <row r="36" spans="1:26">
      <c r="A36" s="429" t="s">
        <v>1068</v>
      </c>
      <c r="B36" s="430">
        <v>4</v>
      </c>
      <c r="C36" s="430">
        <v>11</v>
      </c>
      <c r="D36" s="430">
        <v>7</v>
      </c>
      <c r="E36" s="430">
        <v>4</v>
      </c>
      <c r="F36" t="s">
        <v>1004</v>
      </c>
      <c r="G36" s="431" t="s">
        <v>456</v>
      </c>
      <c r="H36" s="431" t="s">
        <v>566</v>
      </c>
      <c r="I36" s="431" t="s">
        <v>455</v>
      </c>
      <c r="J36" s="431" t="s">
        <v>565</v>
      </c>
      <c r="K36" s="431" t="s">
        <v>566</v>
      </c>
      <c r="L36" s="435" t="str">
        <f t="shared" si="6"/>
        <v>1111</v>
      </c>
      <c r="M36" s="429" t="str">
        <f t="shared" si="2"/>
        <v>2025-11-14</v>
      </c>
      <c r="N36" s="430">
        <v>11</v>
      </c>
      <c r="O36" s="431" t="s">
        <v>1131</v>
      </c>
      <c r="P36" s="431" t="s">
        <v>565</v>
      </c>
      <c r="Q36" s="278" t="str">
        <f t="shared" si="7"/>
        <v>LD111325</v>
      </c>
      <c r="R36" s="278" t="str">
        <f t="shared" si="8"/>
        <v>LD111225</v>
      </c>
      <c r="S36" s="278" t="str">
        <f>S35</f>
        <v>LD110725</v>
      </c>
      <c r="T36" s="278" t="str">
        <f t="shared" si="5"/>
        <v>LD111424</v>
      </c>
      <c r="W36" s="505" t="s">
        <v>1068</v>
      </c>
      <c r="X36" s="505">
        <f t="shared" si="3"/>
        <v>0</v>
      </c>
      <c r="Y36" t="s">
        <v>1131</v>
      </c>
      <c r="Z36" t="s">
        <v>565</v>
      </c>
    </row>
    <row r="37" spans="1:26">
      <c r="A37" s="429" t="s">
        <v>1069</v>
      </c>
      <c r="B37" s="430">
        <v>4</v>
      </c>
      <c r="C37" s="430">
        <v>11</v>
      </c>
      <c r="D37" s="430">
        <v>7</v>
      </c>
      <c r="E37" s="430">
        <v>5</v>
      </c>
      <c r="F37" t="s">
        <v>1005</v>
      </c>
      <c r="G37" s="431" t="s">
        <v>457</v>
      </c>
      <c r="H37" s="431" t="s">
        <v>568</v>
      </c>
      <c r="I37" s="431" t="s">
        <v>456</v>
      </c>
      <c r="J37" s="431" t="s">
        <v>567</v>
      </c>
      <c r="K37" s="431" t="s">
        <v>568</v>
      </c>
      <c r="L37" s="435" t="str">
        <f t="shared" si="6"/>
        <v>1110</v>
      </c>
      <c r="M37" s="429" t="str">
        <f t="shared" si="2"/>
        <v>2025-11-17</v>
      </c>
      <c r="N37" s="430">
        <v>10</v>
      </c>
      <c r="O37" s="431" t="s">
        <v>1132</v>
      </c>
      <c r="P37" s="431" t="s">
        <v>567</v>
      </c>
      <c r="Q37" s="278" t="str">
        <f>F37</f>
        <v>LD111425</v>
      </c>
      <c r="R37" s="278" t="str">
        <f t="shared" si="8"/>
        <v>LD111325</v>
      </c>
      <c r="S37" s="278" t="str">
        <f>S36</f>
        <v>LD110725</v>
      </c>
      <c r="T37" s="278" t="str">
        <f t="shared" si="5"/>
        <v>LD111524</v>
      </c>
      <c r="W37" s="505" t="s">
        <v>1069</v>
      </c>
      <c r="X37" s="505">
        <f t="shared" si="3"/>
        <v>0</v>
      </c>
      <c r="Y37" t="s">
        <v>1132</v>
      </c>
      <c r="Z37" t="s">
        <v>567</v>
      </c>
    </row>
    <row r="38" spans="1:26">
      <c r="A38" s="429" t="s">
        <v>1070</v>
      </c>
      <c r="B38" s="430">
        <v>4</v>
      </c>
      <c r="C38" s="430">
        <v>11</v>
      </c>
      <c r="D38" s="430">
        <v>8</v>
      </c>
      <c r="E38" s="430">
        <v>1</v>
      </c>
      <c r="F38" t="s">
        <v>1006</v>
      </c>
      <c r="G38" s="431" t="s">
        <v>458</v>
      </c>
      <c r="H38" s="431" t="s">
        <v>716</v>
      </c>
      <c r="I38" s="431" t="s">
        <v>457</v>
      </c>
      <c r="J38" s="431" t="s">
        <v>569</v>
      </c>
      <c r="K38" s="431" t="s">
        <v>570</v>
      </c>
      <c r="L38" s="435" t="str">
        <f t="shared" si="6"/>
        <v>119</v>
      </c>
      <c r="M38" s="429" t="str">
        <f t="shared" si="2"/>
        <v>2025-11-18</v>
      </c>
      <c r="N38" s="430">
        <v>9</v>
      </c>
      <c r="O38" s="431" t="s">
        <v>1133</v>
      </c>
      <c r="P38" s="431" t="s">
        <v>569</v>
      </c>
      <c r="Q38" s="278" t="str">
        <f t="shared" si="7"/>
        <v>LD111725</v>
      </c>
      <c r="R38" s="278" t="str">
        <f t="shared" si="8"/>
        <v>LD111425</v>
      </c>
      <c r="S38" s="433" t="str">
        <f>Q37</f>
        <v>LD111425</v>
      </c>
      <c r="T38" s="278" t="str">
        <f t="shared" si="5"/>
        <v>LD111824</v>
      </c>
      <c r="W38" s="505" t="s">
        <v>1070</v>
      </c>
      <c r="X38" s="505">
        <f t="shared" si="3"/>
        <v>0</v>
      </c>
      <c r="Y38" t="s">
        <v>1133</v>
      </c>
      <c r="Z38" t="s">
        <v>569</v>
      </c>
    </row>
    <row r="39" spans="1:26">
      <c r="A39" s="429" t="s">
        <v>1071</v>
      </c>
      <c r="B39" s="430">
        <v>4</v>
      </c>
      <c r="C39" s="430">
        <v>11</v>
      </c>
      <c r="D39" s="430">
        <v>8</v>
      </c>
      <c r="E39" s="430">
        <v>2</v>
      </c>
      <c r="F39" t="s">
        <v>1007</v>
      </c>
      <c r="G39" s="431" t="s">
        <v>459</v>
      </c>
      <c r="H39" s="431" t="s">
        <v>572</v>
      </c>
      <c r="I39" s="431" t="s">
        <v>458</v>
      </c>
      <c r="J39" s="431" t="s">
        <v>571</v>
      </c>
      <c r="K39" s="431" t="s">
        <v>572</v>
      </c>
      <c r="L39" s="435" t="str">
        <f t="shared" si="6"/>
        <v>118</v>
      </c>
      <c r="M39" s="429" t="str">
        <f t="shared" si="2"/>
        <v>2025-11-19</v>
      </c>
      <c r="N39" s="430">
        <v>8</v>
      </c>
      <c r="O39" s="431" t="s">
        <v>1134</v>
      </c>
      <c r="P39" s="431" t="s">
        <v>571</v>
      </c>
      <c r="Q39" s="278" t="str">
        <f t="shared" si="7"/>
        <v>LD111825</v>
      </c>
      <c r="R39" s="278" t="str">
        <f t="shared" si="8"/>
        <v>LD111725</v>
      </c>
      <c r="S39" s="278" t="str">
        <f>S38</f>
        <v>LD111425</v>
      </c>
      <c r="T39" s="278" t="str">
        <f t="shared" si="5"/>
        <v>LD111924</v>
      </c>
      <c r="W39" s="505" t="s">
        <v>1071</v>
      </c>
      <c r="X39" s="505">
        <f t="shared" si="3"/>
        <v>0</v>
      </c>
      <c r="Y39" t="s">
        <v>1134</v>
      </c>
      <c r="Z39" t="s">
        <v>571</v>
      </c>
    </row>
    <row r="40" spans="1:26">
      <c r="A40" s="429" t="s">
        <v>1072</v>
      </c>
      <c r="B40" s="430">
        <v>4</v>
      </c>
      <c r="C40" s="430">
        <v>11</v>
      </c>
      <c r="D40" s="430">
        <v>8</v>
      </c>
      <c r="E40" s="430">
        <v>3</v>
      </c>
      <c r="F40" t="s">
        <v>1008</v>
      </c>
      <c r="G40" s="431" t="s">
        <v>460</v>
      </c>
      <c r="H40" s="431" t="s">
        <v>574</v>
      </c>
      <c r="I40" s="431" t="s">
        <v>459</v>
      </c>
      <c r="J40" s="431" t="s">
        <v>573</v>
      </c>
      <c r="K40" s="431" t="s">
        <v>574</v>
      </c>
      <c r="L40" s="435" t="str">
        <f t="shared" si="6"/>
        <v>117</v>
      </c>
      <c r="M40" s="429" t="str">
        <f t="shared" si="2"/>
        <v>2025-11-20</v>
      </c>
      <c r="N40" s="430">
        <v>7</v>
      </c>
      <c r="O40" s="431" t="s">
        <v>1135</v>
      </c>
      <c r="P40" s="431" t="s">
        <v>573</v>
      </c>
      <c r="Q40" s="278" t="str">
        <f t="shared" si="7"/>
        <v>LD111925</v>
      </c>
      <c r="R40" s="278" t="str">
        <f t="shared" si="8"/>
        <v>LD111825</v>
      </c>
      <c r="S40" s="278" t="str">
        <f>S39</f>
        <v>LD111425</v>
      </c>
      <c r="T40" s="278" t="str">
        <f t="shared" si="5"/>
        <v>LD112024</v>
      </c>
      <c r="W40" s="505" t="s">
        <v>1072</v>
      </c>
      <c r="X40" s="505">
        <f t="shared" si="3"/>
        <v>0</v>
      </c>
      <c r="Y40" t="s">
        <v>1135</v>
      </c>
      <c r="Z40" t="s">
        <v>573</v>
      </c>
    </row>
    <row r="41" spans="1:26">
      <c r="A41" s="429" t="s">
        <v>1073</v>
      </c>
      <c r="B41" s="430">
        <v>4</v>
      </c>
      <c r="C41" s="430">
        <v>11</v>
      </c>
      <c r="D41" s="430">
        <v>8</v>
      </c>
      <c r="E41" s="430">
        <v>4</v>
      </c>
      <c r="F41" t="s">
        <v>1009</v>
      </c>
      <c r="G41" s="431" t="s">
        <v>461</v>
      </c>
      <c r="H41" s="431" t="s">
        <v>576</v>
      </c>
      <c r="I41" s="431" t="s">
        <v>460</v>
      </c>
      <c r="J41" s="431" t="s">
        <v>575</v>
      </c>
      <c r="K41" s="431" t="s">
        <v>576</v>
      </c>
      <c r="L41" s="435" t="str">
        <f t="shared" si="6"/>
        <v>116</v>
      </c>
      <c r="M41" s="429" t="str">
        <f t="shared" si="2"/>
        <v>2025-11-21</v>
      </c>
      <c r="N41" s="430">
        <v>6</v>
      </c>
      <c r="O41" s="431" t="s">
        <v>1136</v>
      </c>
      <c r="P41" s="431" t="s">
        <v>575</v>
      </c>
      <c r="Q41" s="278" t="str">
        <f t="shared" si="7"/>
        <v>LD112025</v>
      </c>
      <c r="R41" s="278" t="str">
        <f t="shared" si="8"/>
        <v>LD111925</v>
      </c>
      <c r="S41" s="278" t="str">
        <f>S40</f>
        <v>LD111425</v>
      </c>
      <c r="T41" s="278" t="str">
        <f t="shared" si="5"/>
        <v>LD112124</v>
      </c>
      <c r="W41" s="505" t="s">
        <v>1073</v>
      </c>
      <c r="X41" s="505">
        <f t="shared" si="3"/>
        <v>0</v>
      </c>
      <c r="Y41" t="s">
        <v>1136</v>
      </c>
      <c r="Z41" t="s">
        <v>575</v>
      </c>
    </row>
    <row r="42" spans="1:26">
      <c r="A42" s="429" t="s">
        <v>1074</v>
      </c>
      <c r="B42" s="430">
        <v>4</v>
      </c>
      <c r="C42" s="430">
        <v>11</v>
      </c>
      <c r="D42" s="430">
        <v>8</v>
      </c>
      <c r="E42" s="430">
        <v>5</v>
      </c>
      <c r="F42" t="s">
        <v>1010</v>
      </c>
      <c r="G42" s="431" t="s">
        <v>462</v>
      </c>
      <c r="H42" s="431" t="s">
        <v>578</v>
      </c>
      <c r="I42" s="431" t="s">
        <v>461</v>
      </c>
      <c r="J42" s="431" t="s">
        <v>577</v>
      </c>
      <c r="K42" s="431" t="s">
        <v>578</v>
      </c>
      <c r="L42" s="435" t="str">
        <f t="shared" si="6"/>
        <v>115</v>
      </c>
      <c r="M42" s="429" t="str">
        <f t="shared" si="2"/>
        <v>2025-11-24</v>
      </c>
      <c r="N42" s="430">
        <v>5</v>
      </c>
      <c r="O42" s="431" t="s">
        <v>1137</v>
      </c>
      <c r="P42" s="431" t="s">
        <v>577</v>
      </c>
      <c r="Q42" s="278" t="str">
        <f t="shared" si="7"/>
        <v>LD112125</v>
      </c>
      <c r="R42" s="278" t="str">
        <f t="shared" si="8"/>
        <v>LD112025</v>
      </c>
      <c r="S42" s="278" t="str">
        <f>S41</f>
        <v>LD111425</v>
      </c>
      <c r="T42" s="278" t="str">
        <f t="shared" si="5"/>
        <v>LD112224</v>
      </c>
      <c r="W42" s="505" t="s">
        <v>1074</v>
      </c>
      <c r="X42" s="505">
        <f t="shared" si="3"/>
        <v>0</v>
      </c>
      <c r="Y42" t="s">
        <v>1137</v>
      </c>
      <c r="Z42" t="s">
        <v>577</v>
      </c>
    </row>
    <row r="43" spans="1:26">
      <c r="A43" s="429" t="s">
        <v>1075</v>
      </c>
      <c r="B43" s="430">
        <v>4</v>
      </c>
      <c r="C43" s="430">
        <v>11</v>
      </c>
      <c r="D43" s="430">
        <v>9</v>
      </c>
      <c r="E43" s="430">
        <v>1</v>
      </c>
      <c r="F43" t="s">
        <v>1011</v>
      </c>
      <c r="G43" s="431" t="s">
        <v>463</v>
      </c>
      <c r="H43" s="431" t="s">
        <v>580</v>
      </c>
      <c r="I43" s="431" t="s">
        <v>462</v>
      </c>
      <c r="J43" s="431" t="s">
        <v>579</v>
      </c>
      <c r="K43" s="431" t="s">
        <v>580</v>
      </c>
      <c r="L43" s="435" t="str">
        <f t="shared" si="6"/>
        <v>114</v>
      </c>
      <c r="M43" s="429" t="str">
        <f t="shared" si="2"/>
        <v>2025-11-25</v>
      </c>
      <c r="N43" s="430">
        <v>4</v>
      </c>
      <c r="O43" s="431" t="s">
        <v>1138</v>
      </c>
      <c r="P43" s="431" t="s">
        <v>579</v>
      </c>
      <c r="Q43" s="278" t="str">
        <f t="shared" si="7"/>
        <v>LD112425</v>
      </c>
      <c r="R43" s="278" t="str">
        <f t="shared" si="8"/>
        <v>LD112125</v>
      </c>
      <c r="S43" s="433" t="str">
        <f>Q42</f>
        <v>LD112125</v>
      </c>
      <c r="T43" s="278" t="str">
        <f t="shared" ref="T43:T68" si="9">+O43</f>
        <v>LD112524</v>
      </c>
      <c r="W43" s="505" t="s">
        <v>1075</v>
      </c>
      <c r="X43" s="505">
        <f t="shared" si="3"/>
        <v>0</v>
      </c>
      <c r="Y43" t="s">
        <v>1138</v>
      </c>
      <c r="Z43" t="s">
        <v>579</v>
      </c>
    </row>
    <row r="44" spans="1:26">
      <c r="A44" s="429" t="s">
        <v>1076</v>
      </c>
      <c r="B44" s="430">
        <v>4</v>
      </c>
      <c r="C44" s="430">
        <v>11</v>
      </c>
      <c r="D44" s="430">
        <v>9</v>
      </c>
      <c r="E44" s="430">
        <v>2</v>
      </c>
      <c r="F44" t="s">
        <v>1012</v>
      </c>
      <c r="G44" s="431" t="s">
        <v>464</v>
      </c>
      <c r="H44" s="431" t="s">
        <v>580</v>
      </c>
      <c r="I44" s="431" t="s">
        <v>462</v>
      </c>
      <c r="J44" s="431" t="s">
        <v>579</v>
      </c>
      <c r="K44" s="431" t="s">
        <v>580</v>
      </c>
      <c r="L44" s="435" t="str">
        <f t="shared" si="6"/>
        <v>113</v>
      </c>
      <c r="M44" s="429" t="str">
        <f t="shared" si="2"/>
        <v>2025-11-26</v>
      </c>
      <c r="N44" s="430">
        <v>3</v>
      </c>
      <c r="O44" s="431" t="s">
        <v>1139</v>
      </c>
      <c r="P44" s="431" t="s">
        <v>581</v>
      </c>
      <c r="Q44" s="278" t="str">
        <f t="shared" si="7"/>
        <v>LD112525</v>
      </c>
      <c r="R44" s="278" t="str">
        <f t="shared" si="8"/>
        <v>LD112425</v>
      </c>
      <c r="S44" s="278" t="str">
        <f>S43</f>
        <v>LD112125</v>
      </c>
      <c r="T44" s="278" t="str">
        <f>+O44</f>
        <v>LD112624</v>
      </c>
      <c r="W44" s="505" t="s">
        <v>1076</v>
      </c>
      <c r="X44" s="505">
        <f t="shared" si="3"/>
        <v>0</v>
      </c>
      <c r="Y44" t="s">
        <v>1139</v>
      </c>
      <c r="Z44" t="s">
        <v>581</v>
      </c>
    </row>
    <row r="45" spans="1:26">
      <c r="A45" s="495" t="s">
        <v>1077</v>
      </c>
      <c r="B45" s="496">
        <v>4</v>
      </c>
      <c r="C45" s="496">
        <v>11</v>
      </c>
      <c r="D45" s="496">
        <v>9</v>
      </c>
      <c r="E45" s="496">
        <v>3</v>
      </c>
      <c r="F45" t="s">
        <v>1013</v>
      </c>
      <c r="G45" s="497" t="s">
        <v>465</v>
      </c>
      <c r="H45" s="497" t="s">
        <v>582</v>
      </c>
      <c r="I45" s="497" t="s">
        <v>463</v>
      </c>
      <c r="J45" s="497" t="s">
        <v>581</v>
      </c>
      <c r="K45" s="497" t="s">
        <v>582</v>
      </c>
      <c r="L45" s="498" t="str">
        <f t="shared" si="6"/>
        <v>112</v>
      </c>
      <c r="M45" s="495" t="str">
        <f t="shared" si="2"/>
        <v>2025-11-27</v>
      </c>
      <c r="N45" s="496">
        <v>2</v>
      </c>
      <c r="O45" s="497" t="s">
        <v>1140</v>
      </c>
      <c r="P45" s="497" t="s">
        <v>583</v>
      </c>
      <c r="Q45" s="499" t="str">
        <f t="shared" si="7"/>
        <v>LD112625</v>
      </c>
      <c r="R45" s="499" t="str">
        <f t="shared" si="8"/>
        <v>LD112525</v>
      </c>
      <c r="S45" s="499" t="str">
        <f>S44</f>
        <v>LD112125</v>
      </c>
      <c r="T45" s="499" t="str">
        <f t="shared" si="9"/>
        <v>LD112724</v>
      </c>
      <c r="W45" s="505" t="s">
        <v>1077</v>
      </c>
      <c r="X45" s="505">
        <f t="shared" si="3"/>
        <v>0</v>
      </c>
      <c r="Y45" t="s">
        <v>1140</v>
      </c>
      <c r="Z45" t="s">
        <v>583</v>
      </c>
    </row>
    <row r="46" spans="1:26">
      <c r="A46" s="429" t="s">
        <v>1078</v>
      </c>
      <c r="B46" s="430">
        <v>4</v>
      </c>
      <c r="C46" s="430">
        <v>11</v>
      </c>
      <c r="D46" s="430">
        <v>9</v>
      </c>
      <c r="E46" s="430">
        <v>4</v>
      </c>
      <c r="F46" s="504" t="s">
        <v>1014</v>
      </c>
      <c r="G46" s="431" t="s">
        <v>878</v>
      </c>
      <c r="H46" s="431" t="s">
        <v>584</v>
      </c>
      <c r="I46" s="431" t="s">
        <v>464</v>
      </c>
      <c r="J46" s="431" t="s">
        <v>583</v>
      </c>
      <c r="K46" s="431" t="s">
        <v>584</v>
      </c>
      <c r="L46" s="435" t="str">
        <f t="shared" si="6"/>
        <v>111</v>
      </c>
      <c r="M46" s="429" t="str">
        <f t="shared" si="2"/>
        <v>2025-11-28</v>
      </c>
      <c r="N46" s="430">
        <v>1</v>
      </c>
      <c r="O46" s="431" t="s">
        <v>1141</v>
      </c>
      <c r="P46" s="431" t="s">
        <v>585</v>
      </c>
      <c r="Q46" s="278" t="str">
        <f t="shared" si="7"/>
        <v>LD112725</v>
      </c>
      <c r="R46" s="278" t="str">
        <f t="shared" si="8"/>
        <v>LD112625</v>
      </c>
      <c r="S46" s="278" t="str">
        <f>S45</f>
        <v>LD112125</v>
      </c>
      <c r="T46" s="278" t="str">
        <f t="shared" si="9"/>
        <v>LD112824</v>
      </c>
      <c r="W46" s="505" t="s">
        <v>1078</v>
      </c>
      <c r="X46" s="505">
        <f t="shared" si="3"/>
        <v>0</v>
      </c>
      <c r="Y46" t="s">
        <v>1141</v>
      </c>
      <c r="Z46" t="s">
        <v>585</v>
      </c>
    </row>
    <row r="47" spans="1:26">
      <c r="A47" s="429" t="s">
        <v>1079</v>
      </c>
      <c r="B47" s="430">
        <v>4</v>
      </c>
      <c r="C47" s="430">
        <v>11</v>
      </c>
      <c r="D47" s="430">
        <v>9</v>
      </c>
      <c r="E47" s="430">
        <v>5</v>
      </c>
      <c r="F47" t="s">
        <v>1015</v>
      </c>
      <c r="G47" s="431" t="s">
        <v>466</v>
      </c>
      <c r="H47" s="431" t="s">
        <v>586</v>
      </c>
      <c r="I47" s="431" t="s">
        <v>465</v>
      </c>
      <c r="J47" s="431" t="s">
        <v>585</v>
      </c>
      <c r="K47" s="431" t="s">
        <v>586</v>
      </c>
      <c r="L47" s="435" t="str">
        <f t="shared" si="6"/>
        <v>110</v>
      </c>
      <c r="M47" s="429" t="str">
        <f t="shared" si="2"/>
        <v>2025-12-01</v>
      </c>
      <c r="N47" s="430">
        <v>0</v>
      </c>
      <c r="O47" s="431" t="s">
        <v>1142</v>
      </c>
      <c r="P47" s="431" t="s">
        <v>1165</v>
      </c>
      <c r="Q47" s="278" t="str">
        <f t="shared" si="7"/>
        <v>LD112825</v>
      </c>
      <c r="R47" s="278" t="str">
        <f t="shared" si="8"/>
        <v>LD112725</v>
      </c>
      <c r="S47" s="278" t="str">
        <f>S46</f>
        <v>LD112125</v>
      </c>
      <c r="T47" s="278" t="str">
        <f t="shared" si="9"/>
        <v>LD112924</v>
      </c>
      <c r="W47" s="505" t="s">
        <v>1079</v>
      </c>
      <c r="X47" s="505">
        <f t="shared" si="3"/>
        <v>0</v>
      </c>
      <c r="Y47" t="s">
        <v>1142</v>
      </c>
      <c r="Z47" t="s">
        <v>1165</v>
      </c>
    </row>
    <row r="48" spans="1:26">
      <c r="A48" s="429" t="s">
        <v>1080</v>
      </c>
      <c r="B48" s="430">
        <v>4</v>
      </c>
      <c r="C48" s="430">
        <v>12</v>
      </c>
      <c r="D48" s="430">
        <v>10</v>
      </c>
      <c r="E48" s="430">
        <v>1</v>
      </c>
      <c r="F48" t="s">
        <v>1016</v>
      </c>
      <c r="G48" s="431" t="s">
        <v>467</v>
      </c>
      <c r="H48" s="431" t="s">
        <v>588</v>
      </c>
      <c r="I48" s="431" t="s">
        <v>466</v>
      </c>
      <c r="J48" s="431" t="s">
        <v>587</v>
      </c>
      <c r="K48" s="431" t="s">
        <v>588</v>
      </c>
      <c r="L48" s="435" t="str">
        <f t="shared" si="6"/>
        <v>1221</v>
      </c>
      <c r="M48" s="429" t="str">
        <f t="shared" si="2"/>
        <v>2025-12-02</v>
      </c>
      <c r="N48" s="430">
        <v>21</v>
      </c>
      <c r="O48" s="431" t="s">
        <v>1169</v>
      </c>
      <c r="P48" s="431" t="s">
        <v>587</v>
      </c>
      <c r="Q48" s="278" t="str">
        <f t="shared" si="7"/>
        <v>LD120125</v>
      </c>
      <c r="R48" s="278" t="str">
        <f>Q47</f>
        <v>LD112825</v>
      </c>
      <c r="S48" s="433" t="str">
        <f>Q47</f>
        <v>LD112825</v>
      </c>
      <c r="T48" s="278" t="str">
        <f t="shared" si="9"/>
        <v>LD120124</v>
      </c>
      <c r="W48" s="505" t="s">
        <v>1080</v>
      </c>
      <c r="X48" s="505">
        <f t="shared" si="3"/>
        <v>0</v>
      </c>
      <c r="Y48" t="s">
        <v>1169</v>
      </c>
      <c r="Z48" t="s">
        <v>587</v>
      </c>
    </row>
    <row r="49" spans="1:26">
      <c r="A49" s="429" t="s">
        <v>1081</v>
      </c>
      <c r="B49" s="430">
        <v>4</v>
      </c>
      <c r="C49" s="430">
        <v>12</v>
      </c>
      <c r="D49" s="430">
        <v>10</v>
      </c>
      <c r="E49" s="430">
        <v>2</v>
      </c>
      <c r="F49" t="s">
        <v>1017</v>
      </c>
      <c r="G49" s="431" t="s">
        <v>468</v>
      </c>
      <c r="H49" s="431" t="s">
        <v>588</v>
      </c>
      <c r="I49" s="431" t="s">
        <v>466</v>
      </c>
      <c r="J49" s="431" t="s">
        <v>587</v>
      </c>
      <c r="K49" s="431" t="s">
        <v>588</v>
      </c>
      <c r="L49" s="435" t="str">
        <f t="shared" si="6"/>
        <v>1220</v>
      </c>
      <c r="M49" s="429" t="str">
        <f t="shared" si="2"/>
        <v>2025-12-03</v>
      </c>
      <c r="N49" s="430">
        <v>20</v>
      </c>
      <c r="O49" s="431" t="s">
        <v>1170</v>
      </c>
      <c r="P49" s="431" t="s">
        <v>1171</v>
      </c>
      <c r="Q49" s="278" t="str">
        <f>F47</f>
        <v>LD112825</v>
      </c>
      <c r="R49" s="278" t="str">
        <f t="shared" si="8"/>
        <v>LD120125</v>
      </c>
      <c r="S49" s="278" t="str">
        <f>S48</f>
        <v>LD112825</v>
      </c>
      <c r="T49" s="278" t="str">
        <f t="shared" si="9"/>
        <v>LD120224</v>
      </c>
      <c r="W49" s="505" t="s">
        <v>1081</v>
      </c>
      <c r="X49" s="505">
        <f t="shared" si="3"/>
        <v>0</v>
      </c>
      <c r="Y49" t="s">
        <v>1170</v>
      </c>
      <c r="Z49" t="s">
        <v>1171</v>
      </c>
    </row>
    <row r="50" spans="1:26">
      <c r="A50" s="429" t="s">
        <v>1082</v>
      </c>
      <c r="B50" s="430">
        <v>4</v>
      </c>
      <c r="C50" s="430">
        <v>12</v>
      </c>
      <c r="D50" s="430">
        <v>10</v>
      </c>
      <c r="E50" s="430">
        <v>3</v>
      </c>
      <c r="F50" t="s">
        <v>1018</v>
      </c>
      <c r="G50" s="431" t="s">
        <v>469</v>
      </c>
      <c r="H50" s="431" t="s">
        <v>590</v>
      </c>
      <c r="I50" s="431" t="s">
        <v>467</v>
      </c>
      <c r="J50" s="431" t="s">
        <v>589</v>
      </c>
      <c r="K50" s="431" t="s">
        <v>590</v>
      </c>
      <c r="L50" s="435" t="str">
        <f t="shared" si="6"/>
        <v>1219</v>
      </c>
      <c r="M50" s="429" t="str">
        <f t="shared" si="2"/>
        <v>2025-12-04</v>
      </c>
      <c r="N50" s="430">
        <v>19</v>
      </c>
      <c r="O50" s="431" t="s">
        <v>1168</v>
      </c>
      <c r="P50" s="431" t="s">
        <v>1172</v>
      </c>
      <c r="Q50" s="278" t="str">
        <f t="shared" si="7"/>
        <v>LD120325</v>
      </c>
      <c r="R50" s="278" t="str">
        <f t="shared" si="8"/>
        <v>LD112825</v>
      </c>
      <c r="S50" s="278" t="str">
        <f>Q49</f>
        <v>LD112825</v>
      </c>
      <c r="T50" s="278" t="str">
        <f t="shared" si="9"/>
        <v>LD120324</v>
      </c>
      <c r="W50" s="505" t="s">
        <v>1082</v>
      </c>
      <c r="X50" s="505">
        <f t="shared" si="3"/>
        <v>0</v>
      </c>
      <c r="Y50" t="s">
        <v>1168</v>
      </c>
      <c r="Z50" t="s">
        <v>1172</v>
      </c>
    </row>
    <row r="51" spans="1:26">
      <c r="A51" s="429" t="s">
        <v>1083</v>
      </c>
      <c r="B51" s="430">
        <v>4</v>
      </c>
      <c r="C51" s="430">
        <v>12</v>
      </c>
      <c r="D51" s="430">
        <v>10</v>
      </c>
      <c r="E51" s="430">
        <v>4</v>
      </c>
      <c r="F51" t="s">
        <v>1019</v>
      </c>
      <c r="G51" s="431" t="s">
        <v>470</v>
      </c>
      <c r="H51" s="431" t="s">
        <v>592</v>
      </c>
      <c r="I51" s="431" t="s">
        <v>468</v>
      </c>
      <c r="J51" s="431" t="s">
        <v>591</v>
      </c>
      <c r="K51" s="431" t="s">
        <v>592</v>
      </c>
      <c r="L51" s="435" t="str">
        <f t="shared" si="6"/>
        <v>1218</v>
      </c>
      <c r="M51" s="429" t="str">
        <f t="shared" si="2"/>
        <v>2025-12-05</v>
      </c>
      <c r="N51" s="430">
        <v>18</v>
      </c>
      <c r="O51" s="431" t="s">
        <v>1143</v>
      </c>
      <c r="P51" s="431" t="s">
        <v>589</v>
      </c>
      <c r="Q51" s="278" t="str">
        <f t="shared" si="7"/>
        <v>LD120425</v>
      </c>
      <c r="R51" s="278" t="str">
        <f t="shared" si="8"/>
        <v>LD120325</v>
      </c>
      <c r="S51" s="278" t="str">
        <f>S50</f>
        <v>LD112825</v>
      </c>
      <c r="T51" s="278" t="str">
        <f t="shared" si="9"/>
        <v>LD120424</v>
      </c>
      <c r="W51" s="505" t="s">
        <v>1083</v>
      </c>
      <c r="X51" s="505">
        <f t="shared" si="3"/>
        <v>0</v>
      </c>
      <c r="Y51" t="s">
        <v>1143</v>
      </c>
      <c r="Z51" t="s">
        <v>589</v>
      </c>
    </row>
    <row r="52" spans="1:26">
      <c r="A52" s="429" t="s">
        <v>1084</v>
      </c>
      <c r="B52" s="430">
        <v>4</v>
      </c>
      <c r="C52" s="430">
        <v>12</v>
      </c>
      <c r="D52" s="430">
        <v>10</v>
      </c>
      <c r="E52" s="430">
        <v>5</v>
      </c>
      <c r="F52" t="s">
        <v>1020</v>
      </c>
      <c r="G52" s="431" t="s">
        <v>471</v>
      </c>
      <c r="H52" s="431" t="s">
        <v>594</v>
      </c>
      <c r="I52" s="431" t="s">
        <v>469</v>
      </c>
      <c r="J52" s="431" t="s">
        <v>593</v>
      </c>
      <c r="K52" s="431" t="s">
        <v>594</v>
      </c>
      <c r="L52" s="435" t="str">
        <f t="shared" si="6"/>
        <v>1217</v>
      </c>
      <c r="M52" s="429" t="str">
        <f t="shared" si="2"/>
        <v>2025-12-08</v>
      </c>
      <c r="N52" s="430">
        <v>17</v>
      </c>
      <c r="O52" s="431" t="s">
        <v>1144</v>
      </c>
      <c r="P52" s="431" t="s">
        <v>591</v>
      </c>
      <c r="Q52" s="278" t="str">
        <f t="shared" si="7"/>
        <v>LD120525</v>
      </c>
      <c r="R52" s="278" t="str">
        <f t="shared" si="8"/>
        <v>LD120425</v>
      </c>
      <c r="S52" s="278" t="str">
        <f>S51</f>
        <v>LD112825</v>
      </c>
      <c r="T52" s="278" t="str">
        <f t="shared" si="9"/>
        <v>LD120524</v>
      </c>
      <c r="W52" s="505" t="s">
        <v>1084</v>
      </c>
      <c r="X52" s="505">
        <f t="shared" si="3"/>
        <v>0</v>
      </c>
      <c r="Y52" t="s">
        <v>1144</v>
      </c>
      <c r="Z52" t="s">
        <v>591</v>
      </c>
    </row>
    <row r="53" spans="1:26">
      <c r="A53" s="429" t="s">
        <v>1085</v>
      </c>
      <c r="B53" s="430">
        <v>4</v>
      </c>
      <c r="C53" s="430">
        <v>12</v>
      </c>
      <c r="D53" s="430">
        <v>11</v>
      </c>
      <c r="E53" s="430">
        <v>1</v>
      </c>
      <c r="F53" t="s">
        <v>1021</v>
      </c>
      <c r="G53" s="431" t="s">
        <v>472</v>
      </c>
      <c r="H53" s="431" t="s">
        <v>596</v>
      </c>
      <c r="I53" s="431" t="s">
        <v>470</v>
      </c>
      <c r="J53" s="431" t="s">
        <v>595</v>
      </c>
      <c r="K53" s="431" t="s">
        <v>596</v>
      </c>
      <c r="L53" s="435" t="str">
        <f t="shared" si="6"/>
        <v>1216</v>
      </c>
      <c r="M53" s="429" t="str">
        <f t="shared" si="2"/>
        <v>2025-12-09</v>
      </c>
      <c r="N53" s="430">
        <v>16</v>
      </c>
      <c r="O53" s="431" t="s">
        <v>1145</v>
      </c>
      <c r="P53" s="431" t="s">
        <v>593</v>
      </c>
      <c r="Q53" s="278" t="str">
        <f t="shared" si="7"/>
        <v>LD120825</v>
      </c>
      <c r="R53" s="278" t="str">
        <f t="shared" si="8"/>
        <v>LD120525</v>
      </c>
      <c r="S53" s="433" t="str">
        <f>Q52</f>
        <v>LD120525</v>
      </c>
      <c r="T53" s="278" t="str">
        <f t="shared" si="9"/>
        <v>LD120624</v>
      </c>
      <c r="W53" s="505" t="s">
        <v>1085</v>
      </c>
      <c r="X53" s="505">
        <f t="shared" si="3"/>
        <v>0</v>
      </c>
      <c r="Y53" t="s">
        <v>1145</v>
      </c>
      <c r="Z53" t="s">
        <v>593</v>
      </c>
    </row>
    <row r="54" spans="1:26">
      <c r="A54" s="429" t="s">
        <v>1086</v>
      </c>
      <c r="B54" s="430">
        <v>4</v>
      </c>
      <c r="C54" s="430">
        <v>12</v>
      </c>
      <c r="D54" s="430">
        <v>11</v>
      </c>
      <c r="E54" s="430">
        <v>2</v>
      </c>
      <c r="F54" t="s">
        <v>1022</v>
      </c>
      <c r="G54" s="431" t="s">
        <v>473</v>
      </c>
      <c r="H54" s="431" t="s">
        <v>598</v>
      </c>
      <c r="I54" s="431" t="s">
        <v>471</v>
      </c>
      <c r="J54" s="431" t="s">
        <v>597</v>
      </c>
      <c r="K54" s="431" t="s">
        <v>598</v>
      </c>
      <c r="L54" s="435" t="str">
        <f t="shared" si="6"/>
        <v>1215</v>
      </c>
      <c r="M54" s="429" t="str">
        <f t="shared" si="2"/>
        <v>2025-12-10</v>
      </c>
      <c r="N54" s="430">
        <v>15</v>
      </c>
      <c r="O54" s="431" t="s">
        <v>1146</v>
      </c>
      <c r="P54" s="431" t="s">
        <v>595</v>
      </c>
      <c r="Q54" s="278" t="str">
        <f t="shared" si="7"/>
        <v>LD120925</v>
      </c>
      <c r="R54" s="278" t="str">
        <f t="shared" si="8"/>
        <v>LD120825</v>
      </c>
      <c r="S54" s="278" t="str">
        <f>S53</f>
        <v>LD120525</v>
      </c>
      <c r="T54" s="278" t="str">
        <f t="shared" si="9"/>
        <v>LD120924</v>
      </c>
      <c r="W54" s="505" t="s">
        <v>1086</v>
      </c>
      <c r="X54" s="505">
        <f t="shared" si="3"/>
        <v>0</v>
      </c>
      <c r="Y54" t="s">
        <v>1146</v>
      </c>
      <c r="Z54" t="s">
        <v>595</v>
      </c>
    </row>
    <row r="55" spans="1:26">
      <c r="A55" s="429" t="s">
        <v>1087</v>
      </c>
      <c r="B55" s="430">
        <v>4</v>
      </c>
      <c r="C55" s="430">
        <v>12</v>
      </c>
      <c r="D55" s="430">
        <v>11</v>
      </c>
      <c r="E55" s="430">
        <v>3</v>
      </c>
      <c r="F55" t="s">
        <v>1023</v>
      </c>
      <c r="G55" s="431" t="s">
        <v>474</v>
      </c>
      <c r="H55" s="431" t="s">
        <v>600</v>
      </c>
      <c r="I55" s="431" t="s">
        <v>472</v>
      </c>
      <c r="J55" s="431" t="s">
        <v>599</v>
      </c>
      <c r="K55" s="431" t="s">
        <v>600</v>
      </c>
      <c r="L55" s="435" t="str">
        <f t="shared" si="6"/>
        <v>1214</v>
      </c>
      <c r="M55" s="429" t="str">
        <f t="shared" si="2"/>
        <v>2025-12-11</v>
      </c>
      <c r="N55" s="430">
        <v>14</v>
      </c>
      <c r="O55" s="431" t="s">
        <v>1147</v>
      </c>
      <c r="P55" s="431" t="s">
        <v>597</v>
      </c>
      <c r="Q55" s="278" t="str">
        <f t="shared" si="7"/>
        <v>LD121025</v>
      </c>
      <c r="R55" s="278" t="str">
        <f t="shared" si="8"/>
        <v>LD120925</v>
      </c>
      <c r="S55" s="278" t="str">
        <f>S54</f>
        <v>LD120525</v>
      </c>
      <c r="T55" s="278" t="str">
        <f t="shared" si="9"/>
        <v>LD121024</v>
      </c>
      <c r="W55" s="505" t="s">
        <v>1087</v>
      </c>
      <c r="X55" s="505">
        <f t="shared" si="3"/>
        <v>0</v>
      </c>
      <c r="Y55" t="s">
        <v>1147</v>
      </c>
      <c r="Z55" t="s">
        <v>597</v>
      </c>
    </row>
    <row r="56" spans="1:26">
      <c r="A56" s="429" t="s">
        <v>1088</v>
      </c>
      <c r="B56" s="430">
        <v>4</v>
      </c>
      <c r="C56" s="430">
        <v>12</v>
      </c>
      <c r="D56" s="430">
        <v>11</v>
      </c>
      <c r="E56" s="430">
        <v>4</v>
      </c>
      <c r="F56" t="s">
        <v>1024</v>
      </c>
      <c r="G56" s="431" t="s">
        <v>475</v>
      </c>
      <c r="H56" s="431" t="s">
        <v>602</v>
      </c>
      <c r="I56" s="431" t="s">
        <v>473</v>
      </c>
      <c r="J56" s="431" t="s">
        <v>601</v>
      </c>
      <c r="K56" s="431" t="s">
        <v>602</v>
      </c>
      <c r="L56" s="435" t="str">
        <f t="shared" si="6"/>
        <v>1213</v>
      </c>
      <c r="M56" s="429" t="str">
        <f t="shared" si="2"/>
        <v>2025-12-12</v>
      </c>
      <c r="N56" s="430">
        <v>13</v>
      </c>
      <c r="O56" s="431" t="s">
        <v>1148</v>
      </c>
      <c r="P56" s="431" t="s">
        <v>599</v>
      </c>
      <c r="Q56" s="278" t="str">
        <f t="shared" si="7"/>
        <v>LD121125</v>
      </c>
      <c r="R56" s="278" t="str">
        <f t="shared" si="8"/>
        <v>LD121025</v>
      </c>
      <c r="S56" s="278" t="str">
        <f>S55</f>
        <v>LD120525</v>
      </c>
      <c r="T56" s="278" t="str">
        <f>+O56</f>
        <v>LD121124</v>
      </c>
      <c r="W56" s="505" t="s">
        <v>1088</v>
      </c>
      <c r="X56" s="505">
        <f t="shared" si="3"/>
        <v>0</v>
      </c>
      <c r="Y56" t="s">
        <v>1148</v>
      </c>
      <c r="Z56" t="s">
        <v>599</v>
      </c>
    </row>
    <row r="57" spans="1:26">
      <c r="A57" s="429" t="s">
        <v>1089</v>
      </c>
      <c r="B57" s="430">
        <v>4</v>
      </c>
      <c r="C57" s="430">
        <v>12</v>
      </c>
      <c r="D57" s="430">
        <v>11</v>
      </c>
      <c r="E57" s="430">
        <v>5</v>
      </c>
      <c r="F57" t="s">
        <v>1025</v>
      </c>
      <c r="G57" s="431" t="s">
        <v>476</v>
      </c>
      <c r="H57" s="431" t="s">
        <v>604</v>
      </c>
      <c r="I57" s="431" t="s">
        <v>474</v>
      </c>
      <c r="J57" s="431" t="s">
        <v>603</v>
      </c>
      <c r="K57" s="431" t="s">
        <v>604</v>
      </c>
      <c r="L57" s="435" t="str">
        <f t="shared" si="6"/>
        <v>1212</v>
      </c>
      <c r="M57" s="429" t="str">
        <f t="shared" si="2"/>
        <v>2025-12-15</v>
      </c>
      <c r="N57" s="430">
        <v>12</v>
      </c>
      <c r="O57" s="431" t="s">
        <v>1149</v>
      </c>
      <c r="P57" s="431" t="s">
        <v>601</v>
      </c>
      <c r="Q57" s="278" t="str">
        <f t="shared" si="7"/>
        <v>LD121225</v>
      </c>
      <c r="R57" s="278" t="str">
        <f t="shared" si="8"/>
        <v>LD121125</v>
      </c>
      <c r="S57" s="278" t="str">
        <f>S56</f>
        <v>LD120525</v>
      </c>
      <c r="T57" s="278" t="str">
        <f t="shared" si="9"/>
        <v>LD121224</v>
      </c>
      <c r="W57" s="505" t="s">
        <v>1089</v>
      </c>
      <c r="X57" s="505">
        <f t="shared" si="3"/>
        <v>0</v>
      </c>
      <c r="Y57" t="s">
        <v>1149</v>
      </c>
      <c r="Z57" t="s">
        <v>601</v>
      </c>
    </row>
    <row r="58" spans="1:26">
      <c r="A58" s="429" t="s">
        <v>1090</v>
      </c>
      <c r="B58" s="430">
        <v>4</v>
      </c>
      <c r="C58" s="430">
        <v>12</v>
      </c>
      <c r="D58" s="430">
        <v>12</v>
      </c>
      <c r="E58" s="430">
        <v>1</v>
      </c>
      <c r="F58" t="s">
        <v>1026</v>
      </c>
      <c r="G58" s="431" t="s">
        <v>477</v>
      </c>
      <c r="H58" s="431" t="s">
        <v>606</v>
      </c>
      <c r="I58" s="431" t="s">
        <v>475</v>
      </c>
      <c r="J58" s="431" t="s">
        <v>605</v>
      </c>
      <c r="K58" s="431" t="s">
        <v>606</v>
      </c>
      <c r="L58" s="435" t="str">
        <f t="shared" si="6"/>
        <v>1211</v>
      </c>
      <c r="M58" s="429" t="str">
        <f t="shared" si="2"/>
        <v>2025-12-16</v>
      </c>
      <c r="N58" s="430">
        <v>11</v>
      </c>
      <c r="O58" s="431" t="s">
        <v>1150</v>
      </c>
      <c r="P58" s="431" t="s">
        <v>603</v>
      </c>
      <c r="Q58" s="278" t="str">
        <f t="shared" si="7"/>
        <v>LD121525</v>
      </c>
      <c r="R58" s="278" t="str">
        <f t="shared" si="8"/>
        <v>LD121225</v>
      </c>
      <c r="S58" s="433" t="str">
        <f>Q57</f>
        <v>LD121225</v>
      </c>
      <c r="T58" s="278" t="str">
        <f t="shared" si="9"/>
        <v>LD121324</v>
      </c>
      <c r="W58" s="505" t="s">
        <v>1090</v>
      </c>
      <c r="X58" s="505">
        <f t="shared" si="3"/>
        <v>0</v>
      </c>
      <c r="Y58" t="s">
        <v>1150</v>
      </c>
      <c r="Z58" t="s">
        <v>603</v>
      </c>
    </row>
    <row r="59" spans="1:26">
      <c r="A59" s="429" t="s">
        <v>1091</v>
      </c>
      <c r="B59" s="430">
        <v>4</v>
      </c>
      <c r="C59" s="430">
        <v>12</v>
      </c>
      <c r="D59" s="430">
        <v>12</v>
      </c>
      <c r="E59" s="430">
        <v>2</v>
      </c>
      <c r="F59" t="s">
        <v>1027</v>
      </c>
      <c r="G59" s="431" t="s">
        <v>478</v>
      </c>
      <c r="H59" s="431" t="s">
        <v>608</v>
      </c>
      <c r="I59" s="431" t="s">
        <v>476</v>
      </c>
      <c r="J59" s="431" t="s">
        <v>607</v>
      </c>
      <c r="K59" s="431" t="s">
        <v>608</v>
      </c>
      <c r="L59" s="435" t="str">
        <f t="shared" si="6"/>
        <v>1210</v>
      </c>
      <c r="M59" s="429" t="str">
        <f t="shared" si="2"/>
        <v>2025-12-17</v>
      </c>
      <c r="N59" s="430">
        <v>10</v>
      </c>
      <c r="O59" s="431" t="s">
        <v>1151</v>
      </c>
      <c r="P59" s="431" t="s">
        <v>605</v>
      </c>
      <c r="Q59" s="278" t="str">
        <f t="shared" si="7"/>
        <v>LD121625</v>
      </c>
      <c r="R59" s="278" t="str">
        <f t="shared" si="8"/>
        <v>LD121525</v>
      </c>
      <c r="S59" s="278" t="str">
        <f>S58</f>
        <v>LD121225</v>
      </c>
      <c r="T59" s="278" t="str">
        <f t="shared" si="9"/>
        <v>LD121624</v>
      </c>
      <c r="W59" s="505" t="s">
        <v>1091</v>
      </c>
      <c r="X59" s="505">
        <f t="shared" si="3"/>
        <v>0</v>
      </c>
      <c r="Y59" t="s">
        <v>1151</v>
      </c>
      <c r="Z59" t="s">
        <v>605</v>
      </c>
    </row>
    <row r="60" spans="1:26">
      <c r="A60" s="429" t="s">
        <v>1092</v>
      </c>
      <c r="B60" s="430">
        <v>4</v>
      </c>
      <c r="C60" s="430">
        <v>12</v>
      </c>
      <c r="D60" s="430">
        <v>12</v>
      </c>
      <c r="E60" s="430">
        <v>3</v>
      </c>
      <c r="F60" t="s">
        <v>1028</v>
      </c>
      <c r="G60" s="431" t="s">
        <v>479</v>
      </c>
      <c r="H60" s="431" t="s">
        <v>610</v>
      </c>
      <c r="I60" s="431" t="s">
        <v>477</v>
      </c>
      <c r="J60" s="431" t="s">
        <v>609</v>
      </c>
      <c r="K60" s="431" t="s">
        <v>610</v>
      </c>
      <c r="L60" s="435" t="str">
        <f t="shared" si="6"/>
        <v>129</v>
      </c>
      <c r="M60" s="429" t="str">
        <f t="shared" si="2"/>
        <v>2025-12-18</v>
      </c>
      <c r="N60" s="430">
        <v>9</v>
      </c>
      <c r="O60" s="431" t="s">
        <v>1152</v>
      </c>
      <c r="P60" s="431" t="s">
        <v>607</v>
      </c>
      <c r="Q60" s="278" t="str">
        <f t="shared" si="7"/>
        <v>LD121725</v>
      </c>
      <c r="R60" s="278" t="str">
        <f t="shared" si="8"/>
        <v>LD121625</v>
      </c>
      <c r="S60" s="278" t="str">
        <f>S59</f>
        <v>LD121225</v>
      </c>
      <c r="T60" s="278" t="str">
        <f t="shared" si="9"/>
        <v>LD121724</v>
      </c>
      <c r="W60" s="505" t="s">
        <v>1092</v>
      </c>
      <c r="X60" s="505">
        <f t="shared" si="3"/>
        <v>0</v>
      </c>
      <c r="Y60" t="s">
        <v>1152</v>
      </c>
      <c r="Z60" t="s">
        <v>607</v>
      </c>
    </row>
    <row r="61" spans="1:26">
      <c r="A61" s="429" t="s">
        <v>1093</v>
      </c>
      <c r="B61" s="430">
        <v>4</v>
      </c>
      <c r="C61" s="430">
        <v>12</v>
      </c>
      <c r="D61" s="430">
        <v>12</v>
      </c>
      <c r="E61" s="430">
        <v>4</v>
      </c>
      <c r="F61" t="s">
        <v>1029</v>
      </c>
      <c r="G61" s="431" t="s">
        <v>480</v>
      </c>
      <c r="H61" s="431" t="s">
        <v>612</v>
      </c>
      <c r="I61" s="431" t="s">
        <v>478</v>
      </c>
      <c r="J61" s="431" t="s">
        <v>611</v>
      </c>
      <c r="K61" s="431" t="s">
        <v>612</v>
      </c>
      <c r="L61" s="435" t="str">
        <f t="shared" si="6"/>
        <v>128</v>
      </c>
      <c r="M61" s="429" t="str">
        <f t="shared" si="2"/>
        <v>2025-12-19</v>
      </c>
      <c r="N61" s="430">
        <v>8</v>
      </c>
      <c r="O61" s="431" t="s">
        <v>1153</v>
      </c>
      <c r="P61" s="431" t="s">
        <v>609</v>
      </c>
      <c r="Q61" s="278" t="str">
        <f t="shared" si="7"/>
        <v>LD121825</v>
      </c>
      <c r="R61" s="278" t="str">
        <f t="shared" si="8"/>
        <v>LD121725</v>
      </c>
      <c r="S61" s="278" t="str">
        <f>S60</f>
        <v>LD121225</v>
      </c>
      <c r="T61" s="278" t="str">
        <f t="shared" si="9"/>
        <v>LD121824</v>
      </c>
      <c r="W61" s="505" t="s">
        <v>1093</v>
      </c>
      <c r="X61" s="505">
        <f t="shared" si="3"/>
        <v>0</v>
      </c>
      <c r="Y61" t="s">
        <v>1153</v>
      </c>
      <c r="Z61" t="s">
        <v>609</v>
      </c>
    </row>
    <row r="62" spans="1:26">
      <c r="A62" s="495" t="s">
        <v>1094</v>
      </c>
      <c r="B62" s="496">
        <v>4</v>
      </c>
      <c r="C62" s="496">
        <v>12</v>
      </c>
      <c r="D62" s="496">
        <v>12</v>
      </c>
      <c r="E62" s="496">
        <v>5</v>
      </c>
      <c r="F62" t="s">
        <v>1030</v>
      </c>
      <c r="G62" s="497" t="s">
        <v>481</v>
      </c>
      <c r="H62" s="497" t="s">
        <v>614</v>
      </c>
      <c r="I62" s="497" t="s">
        <v>479</v>
      </c>
      <c r="J62" s="497" t="s">
        <v>613</v>
      </c>
      <c r="K62" s="497" t="s">
        <v>614</v>
      </c>
      <c r="L62" s="498" t="str">
        <f>C62&amp;N62</f>
        <v>127</v>
      </c>
      <c r="M62" s="495" t="str">
        <f>A62</f>
        <v>2025-12-22</v>
      </c>
      <c r="N62" s="496">
        <v>7</v>
      </c>
      <c r="O62" s="497" t="s">
        <v>1154</v>
      </c>
      <c r="P62" s="497" t="s">
        <v>611</v>
      </c>
      <c r="Q62" s="499" t="str">
        <f>F62</f>
        <v>LD121925</v>
      </c>
      <c r="R62" s="499" t="str">
        <f>Q60</f>
        <v>LD121725</v>
      </c>
      <c r="S62" s="499" t="str">
        <f>S60</f>
        <v>LD121225</v>
      </c>
      <c r="T62" s="499" t="str">
        <f>+O62</f>
        <v>LD121924</v>
      </c>
      <c r="U62" t="s">
        <v>887</v>
      </c>
      <c r="W62" s="505" t="s">
        <v>1094</v>
      </c>
      <c r="X62" s="505">
        <f t="shared" si="3"/>
        <v>0</v>
      </c>
      <c r="Y62" t="s">
        <v>1154</v>
      </c>
      <c r="Z62" t="s">
        <v>611</v>
      </c>
    </row>
    <row r="63" spans="1:26">
      <c r="A63" s="429" t="s">
        <v>1095</v>
      </c>
      <c r="B63" s="430">
        <v>4</v>
      </c>
      <c r="C63" s="430">
        <v>12</v>
      </c>
      <c r="D63" s="430">
        <v>13</v>
      </c>
      <c r="E63" s="430">
        <v>1</v>
      </c>
      <c r="F63" t="s">
        <v>1031</v>
      </c>
      <c r="G63" s="431" t="s">
        <v>481</v>
      </c>
      <c r="H63" s="431" t="s">
        <v>614</v>
      </c>
      <c r="I63" s="431" t="s">
        <v>479</v>
      </c>
      <c r="J63" s="431" t="s">
        <v>613</v>
      </c>
      <c r="K63" s="431" t="s">
        <v>614</v>
      </c>
      <c r="L63" s="435" t="str">
        <f>C63&amp;N63</f>
        <v>127</v>
      </c>
      <c r="M63" s="429" t="str">
        <f t="shared" si="2"/>
        <v>2025-12-23</v>
      </c>
      <c r="N63" s="430">
        <v>7</v>
      </c>
      <c r="O63" s="431" t="s">
        <v>1155</v>
      </c>
      <c r="P63" s="431" t="s">
        <v>613</v>
      </c>
      <c r="Q63" s="278" t="str">
        <f t="shared" si="7"/>
        <v>LD122225</v>
      </c>
      <c r="R63" s="278" t="str">
        <f>Q61</f>
        <v>LD121825</v>
      </c>
      <c r="S63" s="278" t="str">
        <f>S61</f>
        <v>LD121225</v>
      </c>
      <c r="T63" s="278" t="str">
        <f t="shared" si="9"/>
        <v>LD122024</v>
      </c>
      <c r="W63" s="505" t="s">
        <v>1095</v>
      </c>
      <c r="X63" s="505">
        <f t="shared" si="3"/>
        <v>0</v>
      </c>
      <c r="Y63" t="s">
        <v>1155</v>
      </c>
      <c r="Z63" t="s">
        <v>613</v>
      </c>
    </row>
    <row r="64" spans="1:26">
      <c r="A64" s="429" t="s">
        <v>1096</v>
      </c>
      <c r="B64" s="430">
        <v>4</v>
      </c>
      <c r="C64" s="430">
        <v>12</v>
      </c>
      <c r="D64" s="430">
        <v>13</v>
      </c>
      <c r="E64" s="430">
        <v>2</v>
      </c>
      <c r="F64" t="s">
        <v>1032</v>
      </c>
      <c r="G64" s="431" t="s">
        <v>482</v>
      </c>
      <c r="H64" s="431" t="s">
        <v>616</v>
      </c>
      <c r="I64" s="431" t="s">
        <v>480</v>
      </c>
      <c r="J64" s="431" t="s">
        <v>615</v>
      </c>
      <c r="K64" s="431" t="s">
        <v>616</v>
      </c>
      <c r="L64" s="435" t="str">
        <f t="shared" si="6"/>
        <v>126</v>
      </c>
      <c r="M64" s="429" t="str">
        <f t="shared" si="2"/>
        <v>2025-12-24</v>
      </c>
      <c r="N64" s="430">
        <v>6</v>
      </c>
      <c r="O64" s="431" t="s">
        <v>1156</v>
      </c>
      <c r="P64" s="431" t="s">
        <v>615</v>
      </c>
      <c r="Q64" s="278" t="str">
        <f t="shared" si="7"/>
        <v>LD122325</v>
      </c>
      <c r="R64" s="278" t="str">
        <f t="shared" si="8"/>
        <v>LD122225</v>
      </c>
      <c r="S64" s="433" t="str">
        <f>Q63</f>
        <v>LD122225</v>
      </c>
      <c r="T64" s="278" t="str">
        <f t="shared" si="9"/>
        <v>LD122324</v>
      </c>
      <c r="W64" s="505" t="s">
        <v>1096</v>
      </c>
      <c r="X64" s="505">
        <f t="shared" si="3"/>
        <v>0</v>
      </c>
      <c r="Y64" t="s">
        <v>1156</v>
      </c>
      <c r="Z64" t="s">
        <v>615</v>
      </c>
    </row>
    <row r="65" spans="1:26">
      <c r="A65" s="429" t="s">
        <v>1097</v>
      </c>
      <c r="B65" s="430">
        <v>4</v>
      </c>
      <c r="C65" s="430">
        <v>12</v>
      </c>
      <c r="D65" s="430">
        <v>13</v>
      </c>
      <c r="E65" s="430">
        <v>3</v>
      </c>
      <c r="F65" s="504" t="s">
        <v>1033</v>
      </c>
      <c r="G65" s="431" t="s">
        <v>879</v>
      </c>
      <c r="H65" s="431" t="s">
        <v>618</v>
      </c>
      <c r="I65" s="431" t="s">
        <v>481</v>
      </c>
      <c r="J65" s="431" t="s">
        <v>617</v>
      </c>
      <c r="K65" s="431" t="s">
        <v>618</v>
      </c>
      <c r="L65" s="435" t="str">
        <f t="shared" si="6"/>
        <v>125</v>
      </c>
      <c r="M65" s="429" t="str">
        <f t="shared" si="2"/>
        <v>2025-12-25</v>
      </c>
      <c r="N65" s="430">
        <v>5</v>
      </c>
      <c r="O65" s="431" t="s">
        <v>1157</v>
      </c>
      <c r="P65" s="431" t="s">
        <v>617</v>
      </c>
      <c r="Q65" s="278" t="str">
        <f t="shared" si="7"/>
        <v>LD122425</v>
      </c>
      <c r="R65" s="278" t="str">
        <f t="shared" si="8"/>
        <v>LD122325</v>
      </c>
      <c r="S65" s="278" t="str">
        <f>S64</f>
        <v>LD122225</v>
      </c>
      <c r="T65" s="278" t="str">
        <f t="shared" si="9"/>
        <v>LD122424</v>
      </c>
      <c r="W65" s="505" t="s">
        <v>1097</v>
      </c>
      <c r="X65" s="505">
        <f t="shared" si="3"/>
        <v>0</v>
      </c>
      <c r="Y65" t="s">
        <v>1157</v>
      </c>
      <c r="Z65" t="s">
        <v>617</v>
      </c>
    </row>
    <row r="66" spans="1:26">
      <c r="A66" s="429" t="s">
        <v>1098</v>
      </c>
      <c r="B66" s="430">
        <v>4</v>
      </c>
      <c r="C66" s="430">
        <v>12</v>
      </c>
      <c r="D66" s="430">
        <v>13</v>
      </c>
      <c r="E66" s="430">
        <v>4</v>
      </c>
      <c r="F66" t="s">
        <v>1034</v>
      </c>
      <c r="G66" s="431" t="s">
        <v>483</v>
      </c>
      <c r="H66" s="431" t="s">
        <v>620</v>
      </c>
      <c r="I66" s="431" t="s">
        <v>482</v>
      </c>
      <c r="J66" s="431" t="s">
        <v>619</v>
      </c>
      <c r="K66" s="431" t="s">
        <v>620</v>
      </c>
      <c r="L66" s="435" t="str">
        <f t="shared" si="6"/>
        <v>124</v>
      </c>
      <c r="M66" s="429" t="str">
        <f t="shared" si="2"/>
        <v>2025-12-26</v>
      </c>
      <c r="N66" s="430">
        <v>4</v>
      </c>
      <c r="O66" s="431" t="s">
        <v>1158</v>
      </c>
      <c r="P66" s="431" t="s">
        <v>619</v>
      </c>
      <c r="Q66" s="278" t="str">
        <f t="shared" si="7"/>
        <v>LD122525</v>
      </c>
      <c r="R66" s="278" t="str">
        <f t="shared" si="8"/>
        <v>LD122425</v>
      </c>
      <c r="S66" s="278" t="str">
        <f>S65</f>
        <v>LD122225</v>
      </c>
      <c r="T66" s="278" t="str">
        <f t="shared" si="9"/>
        <v>LD122524</v>
      </c>
      <c r="W66" s="505" t="s">
        <v>1098</v>
      </c>
      <c r="X66" s="505">
        <f t="shared" si="3"/>
        <v>0</v>
      </c>
      <c r="Y66" t="s">
        <v>1158</v>
      </c>
      <c r="Z66" t="s">
        <v>619</v>
      </c>
    </row>
    <row r="67" spans="1:26">
      <c r="A67" s="429" t="s">
        <v>1099</v>
      </c>
      <c r="B67" s="430">
        <v>4</v>
      </c>
      <c r="C67" s="430">
        <v>12</v>
      </c>
      <c r="D67" s="430">
        <v>13</v>
      </c>
      <c r="E67" s="430">
        <v>5</v>
      </c>
      <c r="F67" t="s">
        <v>1035</v>
      </c>
      <c r="G67" s="431" t="s">
        <v>484</v>
      </c>
      <c r="H67" s="431" t="s">
        <v>622</v>
      </c>
      <c r="I67" s="431" t="s">
        <v>483</v>
      </c>
      <c r="J67" s="431" t="s">
        <v>621</v>
      </c>
      <c r="K67" s="431" t="s">
        <v>622</v>
      </c>
      <c r="L67" s="435" t="str">
        <f>C67&amp;N67</f>
        <v>123</v>
      </c>
      <c r="M67" s="429" t="str">
        <f t="shared" si="2"/>
        <v>2025-12-29</v>
      </c>
      <c r="N67" s="430">
        <v>3</v>
      </c>
      <c r="O67" s="431" t="s">
        <v>1159</v>
      </c>
      <c r="P67" s="431" t="s">
        <v>1166</v>
      </c>
      <c r="Q67" s="278" t="str">
        <f t="shared" si="7"/>
        <v>LD122625</v>
      </c>
      <c r="R67" s="278" t="str">
        <f>Q66</f>
        <v>LD122525</v>
      </c>
      <c r="S67" s="278" t="str">
        <f>S66</f>
        <v>LD122225</v>
      </c>
      <c r="T67" s="278" t="str">
        <f t="shared" si="9"/>
        <v>LD122624</v>
      </c>
      <c r="W67" s="505" t="s">
        <v>1099</v>
      </c>
      <c r="X67" s="505">
        <f t="shared" si="3"/>
        <v>0</v>
      </c>
      <c r="Y67" t="s">
        <v>1159</v>
      </c>
      <c r="Z67" t="s">
        <v>1166</v>
      </c>
    </row>
    <row r="68" spans="1:26">
      <c r="A68" s="429" t="s">
        <v>1100</v>
      </c>
      <c r="B68" s="430">
        <v>4</v>
      </c>
      <c r="C68" s="430">
        <v>12</v>
      </c>
      <c r="D68" s="430">
        <v>13</v>
      </c>
      <c r="E68" s="430">
        <v>6</v>
      </c>
      <c r="F68" t="s">
        <v>1036</v>
      </c>
      <c r="G68" s="431" t="s">
        <v>484</v>
      </c>
      <c r="H68" s="431" t="s">
        <v>622</v>
      </c>
      <c r="I68" s="431" t="s">
        <v>483</v>
      </c>
      <c r="J68" s="431" t="s">
        <v>621</v>
      </c>
      <c r="K68" s="431" t="s">
        <v>622</v>
      </c>
      <c r="L68" s="435" t="str">
        <f t="shared" si="6"/>
        <v>122</v>
      </c>
      <c r="M68" s="429" t="str">
        <f t="shared" si="2"/>
        <v>2025-12-30</v>
      </c>
      <c r="N68" s="430">
        <v>2</v>
      </c>
      <c r="O68" s="431" t="s">
        <v>1160</v>
      </c>
      <c r="P68" s="431" t="s">
        <v>621</v>
      </c>
      <c r="Q68" s="278" t="str">
        <f t="shared" si="7"/>
        <v>LD122925</v>
      </c>
      <c r="R68" s="278" t="str">
        <f>Q65</f>
        <v>LD122425</v>
      </c>
      <c r="S68" s="278" t="str">
        <f>S65</f>
        <v>LD122225</v>
      </c>
      <c r="T68" s="278" t="str">
        <f t="shared" si="9"/>
        <v>LD122724</v>
      </c>
      <c r="W68" s="505" t="s">
        <v>1100</v>
      </c>
      <c r="X68" s="505">
        <f t="shared" si="3"/>
        <v>0</v>
      </c>
      <c r="Y68" t="s">
        <v>1160</v>
      </c>
      <c r="Z68" t="s">
        <v>621</v>
      </c>
    </row>
    <row r="69" spans="1:26">
      <c r="A69" s="495" t="s">
        <v>1101</v>
      </c>
      <c r="B69" s="496">
        <v>4</v>
      </c>
      <c r="C69" s="496">
        <v>12</v>
      </c>
      <c r="D69" s="496">
        <v>13</v>
      </c>
      <c r="E69" s="496">
        <v>7</v>
      </c>
      <c r="F69" t="s">
        <v>1037</v>
      </c>
      <c r="G69" s="497" t="s">
        <v>484</v>
      </c>
      <c r="H69" s="497" t="s">
        <v>622</v>
      </c>
      <c r="I69" s="497" t="s">
        <v>483</v>
      </c>
      <c r="J69" s="497" t="s">
        <v>621</v>
      </c>
      <c r="K69" s="497" t="s">
        <v>622</v>
      </c>
      <c r="L69" s="498" t="str">
        <f t="shared" si="6"/>
        <v>122</v>
      </c>
      <c r="M69" s="495" t="str">
        <f t="shared" si="2"/>
        <v>2025-12-31</v>
      </c>
      <c r="N69" s="496">
        <v>2</v>
      </c>
      <c r="O69" s="497" t="s">
        <v>1161</v>
      </c>
      <c r="P69" s="497" t="s">
        <v>623</v>
      </c>
      <c r="Q69" s="499" t="str">
        <f>F69</f>
        <v>LD123025</v>
      </c>
      <c r="R69" s="499" t="str">
        <f>Q66</f>
        <v>LD122525</v>
      </c>
      <c r="S69" s="499" t="str">
        <f>S66</f>
        <v>LD122225</v>
      </c>
      <c r="T69" s="499" t="str">
        <f>+O69</f>
        <v>LD123024</v>
      </c>
      <c r="U69" t="s">
        <v>887</v>
      </c>
      <c r="W69" s="505" t="s">
        <v>1101</v>
      </c>
      <c r="X69" s="505">
        <f t="shared" si="3"/>
        <v>0</v>
      </c>
      <c r="Y69" t="s">
        <v>1161</v>
      </c>
      <c r="Z69" t="s">
        <v>623</v>
      </c>
    </row>
    <row r="70" spans="1:26">
      <c r="A70" s="495"/>
      <c r="B70" s="496">
        <v>4</v>
      </c>
      <c r="C70" s="496">
        <v>12</v>
      </c>
      <c r="D70" s="496">
        <v>13</v>
      </c>
      <c r="E70" s="496">
        <v>8</v>
      </c>
      <c r="F70" t="s">
        <v>1038</v>
      </c>
      <c r="G70" s="497" t="s">
        <v>485</v>
      </c>
      <c r="H70" s="497" t="s">
        <v>624</v>
      </c>
      <c r="I70" s="497" t="s">
        <v>484</v>
      </c>
      <c r="J70" s="497" t="s">
        <v>623</v>
      </c>
      <c r="K70" s="497" t="s">
        <v>624</v>
      </c>
      <c r="L70" s="498" t="str">
        <f t="shared" si="6"/>
        <v>122</v>
      </c>
      <c r="M70" s="495">
        <f t="shared" si="2"/>
        <v>0</v>
      </c>
      <c r="N70" s="496">
        <v>2</v>
      </c>
      <c r="O70" s="497" t="s">
        <v>934</v>
      </c>
      <c r="P70" s="497" t="s">
        <v>1167</v>
      </c>
      <c r="Q70" s="499" t="str">
        <f>F70</f>
        <v>LD123125</v>
      </c>
      <c r="R70" s="499" t="str">
        <f>Q67</f>
        <v>LD122625</v>
      </c>
      <c r="S70" s="499" t="str">
        <f>S67</f>
        <v>LD122225</v>
      </c>
      <c r="T70" s="499" t="str">
        <f>+O70</f>
        <v>LD4Q24FINAL</v>
      </c>
      <c r="U70" t="s">
        <v>888</v>
      </c>
      <c r="W70" s="505" t="s">
        <v>1102</v>
      </c>
      <c r="X70" s="505">
        <f t="shared" si="3"/>
        <v>46024</v>
      </c>
      <c r="Y70" t="s">
        <v>934</v>
      </c>
      <c r="Z70" t="s">
        <v>1167</v>
      </c>
    </row>
    <row r="71" spans="1:26">
      <c r="A71" s="429" t="s">
        <v>1102</v>
      </c>
      <c r="B71" s="430">
        <v>4</v>
      </c>
      <c r="C71" s="430">
        <v>12</v>
      </c>
      <c r="D71" s="430">
        <v>13</v>
      </c>
      <c r="E71" s="430">
        <v>8</v>
      </c>
      <c r="F71" t="s">
        <v>1039</v>
      </c>
      <c r="G71" s="431" t="s">
        <v>880</v>
      </c>
      <c r="H71" s="431" t="s">
        <v>624</v>
      </c>
      <c r="I71" s="431" t="s">
        <v>484</v>
      </c>
      <c r="J71" s="431" t="s">
        <v>623</v>
      </c>
      <c r="K71" s="431" t="s">
        <v>624</v>
      </c>
      <c r="L71" s="435" t="str">
        <f>C71&amp;N71</f>
        <v>121</v>
      </c>
      <c r="M71" s="429" t="str">
        <f t="shared" si="2"/>
        <v>2026-01-02</v>
      </c>
      <c r="N71" s="430">
        <v>1</v>
      </c>
      <c r="O71" s="431" t="s">
        <v>709</v>
      </c>
      <c r="P71" s="431" t="s">
        <v>865</v>
      </c>
      <c r="Q71" s="278" t="str">
        <f>F71</f>
        <v>LD4Q25FINAL</v>
      </c>
      <c r="R71" s="278" t="str">
        <f>Q67</f>
        <v>LD122625</v>
      </c>
      <c r="S71" s="433" t="str">
        <f>Q67</f>
        <v>LD122625</v>
      </c>
      <c r="T71" s="278" t="str">
        <f>+O71</f>
        <v>Ld092724</v>
      </c>
    </row>
    <row r="72" spans="1:26">
      <c r="A72" s="429" t="s">
        <v>877</v>
      </c>
      <c r="B72" s="430">
        <v>4</v>
      </c>
      <c r="C72" s="430">
        <v>9</v>
      </c>
      <c r="D72" s="430">
        <v>13</v>
      </c>
      <c r="E72" s="430">
        <v>7</v>
      </c>
      <c r="F72" s="431" t="s">
        <v>892</v>
      </c>
      <c r="G72" s="431" t="s">
        <v>486</v>
      </c>
      <c r="H72" s="431" t="s">
        <v>626</v>
      </c>
      <c r="I72" s="431" t="s">
        <v>485</v>
      </c>
      <c r="J72" s="431" t="s">
        <v>625</v>
      </c>
      <c r="K72" s="431" t="s">
        <v>626</v>
      </c>
      <c r="L72" s="435" t="str">
        <f>C72&amp;N72</f>
        <v>90</v>
      </c>
      <c r="M72" s="429" t="str">
        <f t="shared" si="2"/>
        <v>2025-10-01</v>
      </c>
      <c r="N72" s="430">
        <v>0</v>
      </c>
      <c r="O72" s="431" t="s">
        <v>892</v>
      </c>
      <c r="P72" s="431" t="s">
        <v>867</v>
      </c>
      <c r="Q72" s="278" t="str">
        <f>F72</f>
        <v>LD100925</v>
      </c>
      <c r="R72" s="278" t="str">
        <f t="shared" si="8"/>
        <v>LD4Q25FINAL</v>
      </c>
      <c r="S72" s="278" t="str">
        <f>S71</f>
        <v>LD122625</v>
      </c>
      <c r="T72" s="278" t="str">
        <f>+O72</f>
        <v>LD100925</v>
      </c>
    </row>
    <row r="73" spans="1:26">
      <c r="A73" s="429" t="s">
        <v>877</v>
      </c>
      <c r="B73" s="430">
        <v>4</v>
      </c>
      <c r="C73" s="430">
        <v>9</v>
      </c>
      <c r="D73" s="430">
        <v>13</v>
      </c>
      <c r="E73" s="430">
        <v>7</v>
      </c>
      <c r="F73" s="431" t="s">
        <v>881</v>
      </c>
      <c r="G73" s="431" t="s">
        <v>486</v>
      </c>
      <c r="H73" s="431"/>
      <c r="I73" s="431"/>
      <c r="J73" s="431"/>
      <c r="K73" s="431"/>
      <c r="L73" s="435"/>
      <c r="M73" s="429"/>
      <c r="N73" s="430"/>
      <c r="O73" s="431"/>
      <c r="P73" s="431"/>
      <c r="Q73" s="278"/>
      <c r="R73" s="278"/>
      <c r="S73" s="278"/>
      <c r="T73" s="278"/>
    </row>
  </sheetData>
  <mergeCells count="3">
    <mergeCell ref="L5:T5"/>
    <mergeCell ref="F6:K6"/>
    <mergeCell ref="A5:K5"/>
  </mergeCells>
  <phoneticPr fontId="4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27B0-BE64-4963-82CA-E3ADAA5B99CB}">
  <sheetPr>
    <tabColor rgb="FFFFFF00"/>
  </sheetPr>
  <dimension ref="A1:AI63"/>
  <sheetViews>
    <sheetView zoomScale="80" zoomScaleNormal="80" workbookViewId="0">
      <selection activeCell="B3" sqref="B3"/>
    </sheetView>
  </sheetViews>
  <sheetFormatPr defaultRowHeight="14.4"/>
  <cols>
    <col min="1" max="1" width="18.88671875" customWidth="1"/>
    <col min="5" max="5" width="15.33203125" customWidth="1"/>
    <col min="8" max="8" width="2" style="2" customWidth="1"/>
    <col min="9" max="9" width="14.33203125" customWidth="1"/>
    <col min="15" max="15" width="2.33203125" style="2" customWidth="1"/>
  </cols>
  <sheetData>
    <row r="1" spans="1:35">
      <c r="A1" s="108" t="s">
        <v>367</v>
      </c>
      <c r="B1" s="112">
        <v>25</v>
      </c>
      <c r="C1" s="108"/>
      <c r="D1" s="108" t="s">
        <v>392</v>
      </c>
      <c r="E1" s="415">
        <f ca="1">TODAY()</f>
        <v>45975</v>
      </c>
      <c r="F1" s="108"/>
      <c r="G1" s="108"/>
      <c r="H1" s="109"/>
      <c r="I1" s="108"/>
      <c r="J1" s="108"/>
      <c r="K1" s="108"/>
      <c r="S1" s="572"/>
      <c r="T1" s="572"/>
      <c r="U1" s="572"/>
    </row>
    <row r="2" spans="1:35">
      <c r="A2" s="108" t="s">
        <v>348</v>
      </c>
      <c r="B2" s="112" t="s">
        <v>347</v>
      </c>
      <c r="D2" s="108" t="s">
        <v>112</v>
      </c>
      <c r="E2" s="112" t="str">
        <f>VLOOKUP($B$5&amp;$G$6,Ref!$L$7:$T$72,6,0)</f>
        <v>LD111325</v>
      </c>
      <c r="G2" s="108" t="s">
        <v>144</v>
      </c>
      <c r="H2" s="109"/>
      <c r="I2" s="108" t="s">
        <v>219</v>
      </c>
      <c r="J2" s="112" t="s">
        <v>412</v>
      </c>
      <c r="K2" s="108" t="s">
        <v>145</v>
      </c>
      <c r="L2" s="112" t="s">
        <v>725</v>
      </c>
      <c r="P2" s="108" t="s">
        <v>222</v>
      </c>
      <c r="Q2" s="111" t="s">
        <v>153</v>
      </c>
      <c r="R2" s="210"/>
      <c r="S2" s="573"/>
      <c r="T2" s="573"/>
      <c r="U2" s="572"/>
      <c r="AH2" s="355" t="s">
        <v>111</v>
      </c>
      <c r="AI2" s="355" t="s">
        <v>60</v>
      </c>
    </row>
    <row r="3" spans="1:35">
      <c r="A3" t="s">
        <v>893</v>
      </c>
      <c r="B3" s="112" t="s">
        <v>60</v>
      </c>
      <c r="D3" s="108" t="s">
        <v>113</v>
      </c>
      <c r="E3" s="112" t="str">
        <f>VLOOKUP($B$5&amp;$G$6,Ref!$L$7:$T$72,7,0)</f>
        <v>LD111225</v>
      </c>
      <c r="G3" s="112" t="s">
        <v>1173</v>
      </c>
      <c r="H3" s="107"/>
      <c r="I3" s="173" t="s">
        <v>220</v>
      </c>
      <c r="J3" s="112" t="s">
        <v>410</v>
      </c>
      <c r="K3" s="108" t="s">
        <v>146</v>
      </c>
      <c r="L3" s="112" t="s">
        <v>386</v>
      </c>
      <c r="P3" s="108" t="s">
        <v>221</v>
      </c>
      <c r="Q3" s="111" t="s">
        <v>152</v>
      </c>
      <c r="R3" s="108"/>
      <c r="S3" s="573"/>
      <c r="T3" s="573"/>
      <c r="U3" s="572"/>
      <c r="W3" t="s">
        <v>13</v>
      </c>
      <c r="Y3" t="s">
        <v>13</v>
      </c>
      <c r="Z3" s="356" t="s">
        <v>73</v>
      </c>
      <c r="AA3" t="s">
        <v>13</v>
      </c>
      <c r="AH3" s="355" t="s">
        <v>123</v>
      </c>
      <c r="AI3" s="355" t="s">
        <v>312</v>
      </c>
    </row>
    <row r="4" spans="1:35">
      <c r="A4" s="108" t="s">
        <v>349</v>
      </c>
      <c r="B4" s="112" t="s">
        <v>195</v>
      </c>
      <c r="C4" s="112" t="s">
        <v>717</v>
      </c>
      <c r="D4" s="108" t="s">
        <v>114</v>
      </c>
      <c r="E4" s="112" t="str">
        <f>VLOOKUP($B$5&amp;$G$6,Ref!$L$7:$T$72,8,0)</f>
        <v>LD110725</v>
      </c>
      <c r="F4" s="108"/>
      <c r="G4" s="108"/>
      <c r="H4" s="109"/>
      <c r="I4" s="108"/>
      <c r="J4" s="108"/>
      <c r="K4" s="108"/>
      <c r="S4" s="573"/>
      <c r="T4" s="573"/>
      <c r="U4" s="572"/>
      <c r="W4" t="s">
        <v>58</v>
      </c>
      <c r="Y4" t="s">
        <v>58</v>
      </c>
      <c r="Z4" s="356" t="s">
        <v>16</v>
      </c>
      <c r="AA4" t="s">
        <v>58</v>
      </c>
      <c r="AH4" s="355" t="s">
        <v>122</v>
      </c>
      <c r="AI4" s="355" t="s">
        <v>346</v>
      </c>
    </row>
    <row r="5" spans="1:35">
      <c r="A5" s="108" t="s">
        <v>349</v>
      </c>
      <c r="B5" s="112">
        <v>11</v>
      </c>
      <c r="C5" s="108"/>
      <c r="D5" s="108" t="s">
        <v>46</v>
      </c>
      <c r="E5" s="112" t="str">
        <f>VLOOKUP($B$5&amp;$G$6,Ref!$L$7:$T$72,9,0)</f>
        <v>LD111424</v>
      </c>
      <c r="H5" s="107"/>
      <c r="I5" s="107"/>
      <c r="J5" s="107"/>
      <c r="K5" s="107"/>
      <c r="L5" s="1"/>
      <c r="M5" s="1"/>
      <c r="S5" s="573"/>
      <c r="T5" s="573"/>
      <c r="U5" s="572"/>
      <c r="W5" t="s">
        <v>26</v>
      </c>
      <c r="Y5" t="s">
        <v>192</v>
      </c>
      <c r="Z5" s="356" t="s">
        <v>82</v>
      </c>
      <c r="AA5" t="s">
        <v>26</v>
      </c>
      <c r="AH5" s="355" t="s">
        <v>121</v>
      </c>
      <c r="AI5" s="355" t="s">
        <v>347</v>
      </c>
    </row>
    <row r="6" spans="1:35" ht="15" thickBot="1">
      <c r="E6" s="107" t="s">
        <v>115</v>
      </c>
      <c r="F6" s="107" t="s">
        <v>116</v>
      </c>
      <c r="G6" s="110">
        <v>11</v>
      </c>
      <c r="H6" s="107"/>
      <c r="I6" s="108"/>
      <c r="J6" s="108"/>
      <c r="K6" s="108"/>
      <c r="L6" s="108"/>
      <c r="M6" s="108"/>
      <c r="N6" s="108"/>
      <c r="S6" s="573"/>
      <c r="T6" s="572"/>
      <c r="U6" s="572"/>
      <c r="W6" t="s">
        <v>59</v>
      </c>
      <c r="Y6" t="s">
        <v>59</v>
      </c>
      <c r="Z6" s="356" t="s">
        <v>90</v>
      </c>
      <c r="AA6" t="s">
        <v>59</v>
      </c>
      <c r="AH6" s="355" t="s">
        <v>345</v>
      </c>
    </row>
    <row r="7" spans="1:35" ht="15" thickBot="1">
      <c r="D7" s="107"/>
      <c r="E7" s="520" t="s">
        <v>724</v>
      </c>
      <c r="F7" s="521"/>
      <c r="G7" s="522"/>
      <c r="I7" s="108"/>
      <c r="K7" s="469"/>
      <c r="L7" s="470" t="s">
        <v>187</v>
      </c>
      <c r="M7" s="470" t="s">
        <v>487</v>
      </c>
      <c r="N7" s="471" t="s">
        <v>143</v>
      </c>
      <c r="S7" s="573"/>
      <c r="T7" s="572"/>
      <c r="U7" s="572"/>
      <c r="W7" t="s">
        <v>34</v>
      </c>
      <c r="Y7" t="s">
        <v>193</v>
      </c>
      <c r="Z7" s="356" t="s">
        <v>91</v>
      </c>
      <c r="AA7" t="s">
        <v>34</v>
      </c>
      <c r="AH7" s="355" t="s">
        <v>197</v>
      </c>
    </row>
    <row r="8" spans="1:35">
      <c r="D8" s="107"/>
      <c r="E8" s="113" t="s">
        <v>117</v>
      </c>
      <c r="F8" s="111" t="str">
        <f>VLOOKUP(G6,INPUT!A20:U41,2,FALSE)</f>
        <v>Ld101624</v>
      </c>
      <c r="G8" s="114"/>
      <c r="I8" s="108" t="s">
        <v>373</v>
      </c>
      <c r="K8" s="115" t="s">
        <v>117</v>
      </c>
      <c r="L8" s="210">
        <v>2</v>
      </c>
      <c r="M8" s="210">
        <v>9</v>
      </c>
      <c r="N8" s="466">
        <v>16</v>
      </c>
      <c r="AH8" s="355" t="s">
        <v>196</v>
      </c>
    </row>
    <row r="9" spans="1:35">
      <c r="D9" s="107"/>
      <c r="E9" s="115" t="s">
        <v>126</v>
      </c>
      <c r="F9" s="111" t="str">
        <f>VLOOKUP(0,INPUT!A20:U41,2,FALSE)</f>
        <v>Ld103124</v>
      </c>
      <c r="G9" s="116"/>
      <c r="I9" s="108" t="s">
        <v>373</v>
      </c>
      <c r="K9" s="115" t="s">
        <v>126</v>
      </c>
      <c r="L9" s="210">
        <v>2</v>
      </c>
      <c r="M9" s="210">
        <v>9</v>
      </c>
      <c r="N9" s="466">
        <v>16</v>
      </c>
      <c r="AH9" s="355" t="s">
        <v>195</v>
      </c>
    </row>
    <row r="10" spans="1:35">
      <c r="D10" s="107"/>
      <c r="E10" s="115" t="s">
        <v>125</v>
      </c>
      <c r="F10" s="111" t="str">
        <f>VLOOKUP(0,INPUT!A20:U41,16,FALSE)</f>
        <v>Ld3Q24Final</v>
      </c>
      <c r="G10" s="117" t="str">
        <f>RIGHT(LEFT(F10,4),2)</f>
        <v>3Q</v>
      </c>
      <c r="I10" s="108"/>
      <c r="K10" s="115" t="s">
        <v>125</v>
      </c>
      <c r="L10" s="210">
        <v>16</v>
      </c>
      <c r="M10" s="210">
        <v>16</v>
      </c>
      <c r="N10" s="466">
        <v>16</v>
      </c>
    </row>
    <row r="11" spans="1:35">
      <c r="D11" s="107"/>
      <c r="E11" s="115" t="s">
        <v>118</v>
      </c>
      <c r="F11" s="111" t="str">
        <f>VLOOKUP(G6,INPUT!A20:U41,17,FALSE)</f>
        <v>Ld091423</v>
      </c>
      <c r="G11" s="116"/>
      <c r="I11" s="108" t="s">
        <v>373</v>
      </c>
      <c r="K11" s="115" t="s">
        <v>118</v>
      </c>
      <c r="L11" s="210">
        <v>3</v>
      </c>
      <c r="M11" s="210">
        <v>10</v>
      </c>
      <c r="N11" s="466">
        <v>17</v>
      </c>
    </row>
    <row r="12" spans="1:35">
      <c r="D12" s="107"/>
      <c r="E12" s="115" t="s">
        <v>319</v>
      </c>
      <c r="F12" s="111" t="str">
        <f>VLOOKUP(0,INPUT!A20:U41,17,FALSE)</f>
        <v>Ld3Q23Final</v>
      </c>
      <c r="G12" s="116"/>
      <c r="I12" s="108" t="s">
        <v>373</v>
      </c>
      <c r="K12" s="115" t="s">
        <v>319</v>
      </c>
      <c r="L12" s="210">
        <v>3</v>
      </c>
      <c r="M12" s="210">
        <v>10</v>
      </c>
      <c r="N12" s="466">
        <v>17</v>
      </c>
    </row>
    <row r="13" spans="1:35" ht="15" thickBot="1">
      <c r="E13" s="118" t="s">
        <v>388</v>
      </c>
      <c r="F13" s="119" t="str">
        <f>VLOOKUP(0,INPUT!A20:U41,17,FALSE)</f>
        <v>Ld3Q23Final</v>
      </c>
      <c r="G13" s="120" t="str">
        <f>RIGHT(LEFT(F13,4),2)</f>
        <v>3Q</v>
      </c>
      <c r="K13" s="118" t="s">
        <v>388</v>
      </c>
      <c r="L13" s="467">
        <v>17</v>
      </c>
      <c r="M13" s="467">
        <v>17</v>
      </c>
      <c r="N13" s="468">
        <v>17</v>
      </c>
    </row>
    <row r="14" spans="1:35">
      <c r="A14" s="304">
        <f>COLUMN()</f>
        <v>1</v>
      </c>
      <c r="B14" s="304">
        <f>COLUMN()</f>
        <v>2</v>
      </c>
      <c r="C14" s="304">
        <f>COLUMN()</f>
        <v>3</v>
      </c>
      <c r="D14" s="304">
        <f>COLUMN()</f>
        <v>4</v>
      </c>
      <c r="E14" s="304">
        <f>COLUMN()</f>
        <v>5</v>
      </c>
      <c r="F14" s="304">
        <f>COLUMN()</f>
        <v>6</v>
      </c>
      <c r="G14" s="304">
        <f>COLUMN()</f>
        <v>7</v>
      </c>
      <c r="H14" s="304">
        <f>COLUMN()</f>
        <v>8</v>
      </c>
      <c r="I14" s="304">
        <f>COLUMN()</f>
        <v>9</v>
      </c>
      <c r="J14" s="304">
        <f>COLUMN()</f>
        <v>10</v>
      </c>
      <c r="K14" s="304">
        <f>COLUMN()</f>
        <v>11</v>
      </c>
      <c r="L14" s="304">
        <f>COLUMN()</f>
        <v>12</v>
      </c>
      <c r="M14" s="304">
        <f>COLUMN()</f>
        <v>13</v>
      </c>
      <c r="N14" s="304">
        <f>COLUMN()</f>
        <v>14</v>
      </c>
      <c r="O14" s="304">
        <f>COLUMN()</f>
        <v>15</v>
      </c>
      <c r="P14" s="304">
        <f>COLUMN()</f>
        <v>16</v>
      </c>
      <c r="Q14" s="304">
        <f>COLUMN()</f>
        <v>17</v>
      </c>
      <c r="R14" s="304">
        <f>COLUMN()</f>
        <v>18</v>
      </c>
      <c r="S14" s="304">
        <f>COLUMN()</f>
        <v>19</v>
      </c>
      <c r="T14" s="304">
        <f>COLUMN()</f>
        <v>20</v>
      </c>
      <c r="U14" s="304">
        <f>COLUMN()</f>
        <v>21</v>
      </c>
    </row>
    <row r="15" spans="1:35">
      <c r="A15" t="s">
        <v>387</v>
      </c>
    </row>
    <row r="16" spans="1:35" s="2" customFormat="1" ht="28.95" customHeight="1">
      <c r="A16" s="95"/>
      <c r="B16" s="523" t="s">
        <v>41</v>
      </c>
      <c r="C16" s="523"/>
      <c r="D16" s="523"/>
      <c r="E16" s="523"/>
      <c r="F16" s="523"/>
      <c r="G16" s="523"/>
      <c r="H16" s="95"/>
      <c r="I16" s="523" t="s">
        <v>42</v>
      </c>
      <c r="J16" s="523"/>
      <c r="K16" s="523"/>
      <c r="L16" s="523"/>
      <c r="M16" s="523"/>
      <c r="N16" s="523"/>
      <c r="O16" s="99"/>
      <c r="P16" s="523" t="s">
        <v>43</v>
      </c>
      <c r="Q16" s="523"/>
      <c r="R16" s="523"/>
      <c r="S16" s="523"/>
      <c r="T16" s="523"/>
      <c r="U16" s="523"/>
      <c r="V16" s="99"/>
    </row>
    <row r="17" spans="1:24" s="2" customFormat="1">
      <c r="A17" s="95"/>
      <c r="B17" s="525" t="s">
        <v>44</v>
      </c>
      <c r="C17" s="525"/>
      <c r="D17" s="524" t="s">
        <v>45</v>
      </c>
      <c r="E17" s="524"/>
      <c r="F17" s="524"/>
      <c r="G17" s="524"/>
      <c r="H17" s="95"/>
      <c r="I17" s="525" t="s">
        <v>44</v>
      </c>
      <c r="J17" s="525"/>
      <c r="K17" s="524" t="s">
        <v>45</v>
      </c>
      <c r="L17" s="524"/>
      <c r="M17" s="524"/>
      <c r="N17" s="524"/>
      <c r="O17" s="95"/>
      <c r="P17" s="525" t="s">
        <v>44</v>
      </c>
      <c r="Q17" s="525"/>
      <c r="R17" s="524" t="s">
        <v>45</v>
      </c>
      <c r="S17" s="524"/>
      <c r="T17" s="524"/>
      <c r="U17" s="524"/>
      <c r="V17" s="95"/>
    </row>
    <row r="18" spans="1:24">
      <c r="A18" s="26"/>
      <c r="B18" s="27" t="s">
        <v>46</v>
      </c>
      <c r="C18" s="27" t="s">
        <v>371</v>
      </c>
      <c r="D18" s="28" t="s">
        <v>47</v>
      </c>
      <c r="E18" s="27" t="s">
        <v>48</v>
      </c>
      <c r="F18" s="27" t="s">
        <v>49</v>
      </c>
      <c r="G18" s="27" t="s">
        <v>50</v>
      </c>
      <c r="H18" s="95"/>
      <c r="I18" s="27" t="s">
        <v>46</v>
      </c>
      <c r="J18" s="27" t="s">
        <v>371</v>
      </c>
      <c r="K18" s="28" t="s">
        <v>47</v>
      </c>
      <c r="L18" s="27" t="s">
        <v>48</v>
      </c>
      <c r="M18" s="27" t="s">
        <v>49</v>
      </c>
      <c r="N18" s="27" t="s">
        <v>50</v>
      </c>
      <c r="O18" s="95"/>
      <c r="P18" s="27" t="s">
        <v>46</v>
      </c>
      <c r="Q18" s="27" t="s">
        <v>371</v>
      </c>
      <c r="R18" s="28" t="s">
        <v>47</v>
      </c>
      <c r="S18" s="27" t="s">
        <v>48</v>
      </c>
      <c r="T18" s="27" t="s">
        <v>49</v>
      </c>
      <c r="U18" s="27" t="s">
        <v>50</v>
      </c>
      <c r="V18" s="26"/>
    </row>
    <row r="19" spans="1:24">
      <c r="A19" s="29" t="s">
        <v>51</v>
      </c>
      <c r="B19" s="121" t="s">
        <v>627</v>
      </c>
      <c r="C19" s="121" t="s">
        <v>894</v>
      </c>
      <c r="D19" s="121" t="s">
        <v>889</v>
      </c>
      <c r="E19" s="121" t="s">
        <v>895</v>
      </c>
      <c r="F19" s="121" t="s">
        <v>713</v>
      </c>
      <c r="G19" s="121" t="s">
        <v>627</v>
      </c>
      <c r="H19" s="96"/>
      <c r="I19" s="121" t="s">
        <v>627</v>
      </c>
      <c r="J19" s="121" t="s">
        <v>894</v>
      </c>
      <c r="K19" s="121" t="s">
        <v>889</v>
      </c>
      <c r="L19" s="121" t="s">
        <v>895</v>
      </c>
      <c r="M19" s="121" t="s">
        <v>713</v>
      </c>
      <c r="N19" s="121" t="s">
        <v>627</v>
      </c>
      <c r="O19" s="95"/>
      <c r="P19" s="121" t="s">
        <v>627</v>
      </c>
      <c r="Q19" s="121" t="s">
        <v>894</v>
      </c>
      <c r="R19" s="121" t="s">
        <v>889</v>
      </c>
      <c r="S19" s="121" t="s">
        <v>895</v>
      </c>
      <c r="T19" s="121" t="s">
        <v>713</v>
      </c>
      <c r="U19" s="121" t="s">
        <v>627</v>
      </c>
      <c r="V19" s="29"/>
      <c r="W19" s="122"/>
      <c r="X19" s="30"/>
    </row>
    <row r="20" spans="1:24">
      <c r="A20" s="31">
        <v>21</v>
      </c>
      <c r="B20" s="32" t="s">
        <v>869</v>
      </c>
      <c r="C20" s="33" t="s">
        <v>871</v>
      </c>
      <c r="D20" s="34" t="s">
        <v>873</v>
      </c>
      <c r="E20" s="35"/>
      <c r="F20" s="36"/>
      <c r="G20" s="37"/>
      <c r="H20" s="97"/>
      <c r="I20" s="32" t="s">
        <v>785</v>
      </c>
      <c r="J20" s="33"/>
      <c r="K20" s="34"/>
      <c r="L20" s="35"/>
      <c r="M20" s="36"/>
      <c r="N20" s="37"/>
      <c r="O20" s="97"/>
      <c r="P20" s="38" t="s">
        <v>786</v>
      </c>
      <c r="Q20" s="33" t="s">
        <v>885</v>
      </c>
      <c r="R20" s="34"/>
      <c r="S20" s="35"/>
      <c r="T20" s="36"/>
      <c r="U20" s="37"/>
      <c r="V20" s="31"/>
      <c r="W20" s="38"/>
      <c r="X20" s="32"/>
    </row>
    <row r="21" spans="1:24">
      <c r="A21" s="31">
        <v>20</v>
      </c>
      <c r="B21" s="32" t="s">
        <v>870</v>
      </c>
      <c r="C21" s="33" t="s">
        <v>872</v>
      </c>
      <c r="D21" s="34" t="s">
        <v>874</v>
      </c>
      <c r="E21" s="35"/>
      <c r="F21" s="36"/>
      <c r="G21" s="37"/>
      <c r="H21" s="97"/>
      <c r="I21" s="32" t="s">
        <v>784</v>
      </c>
      <c r="J21" s="33" t="s">
        <v>875</v>
      </c>
      <c r="K21" s="34" t="s">
        <v>876</v>
      </c>
      <c r="L21" s="35" t="s">
        <v>826</v>
      </c>
      <c r="M21" s="36" t="s">
        <v>827</v>
      </c>
      <c r="N21" s="37" t="s">
        <v>875</v>
      </c>
      <c r="O21" s="97"/>
      <c r="P21" s="38" t="s">
        <v>676</v>
      </c>
      <c r="Q21" s="33" t="s">
        <v>886</v>
      </c>
      <c r="R21" s="34"/>
      <c r="S21" s="35"/>
      <c r="T21" s="36"/>
      <c r="U21" s="37"/>
      <c r="V21" s="31"/>
      <c r="W21" s="38"/>
      <c r="X21" s="32"/>
    </row>
    <row r="22" spans="1:24">
      <c r="A22" s="31">
        <v>19</v>
      </c>
      <c r="B22" s="32" t="s">
        <v>628</v>
      </c>
      <c r="C22" s="33" t="s">
        <v>896</v>
      </c>
      <c r="D22" s="34" t="s">
        <v>897</v>
      </c>
      <c r="E22" s="35" t="s">
        <v>828</v>
      </c>
      <c r="F22" s="36" t="s">
        <v>726</v>
      </c>
      <c r="G22" s="37" t="s">
        <v>896</v>
      </c>
      <c r="H22" s="97"/>
      <c r="I22" s="32" t="s">
        <v>658</v>
      </c>
      <c r="J22" s="33" t="s">
        <v>936</v>
      </c>
      <c r="K22" s="34" t="s">
        <v>937</v>
      </c>
      <c r="L22" s="35" t="s">
        <v>805</v>
      </c>
      <c r="M22" s="36" t="s">
        <v>727</v>
      </c>
      <c r="N22" s="37" t="s">
        <v>936</v>
      </c>
      <c r="O22" s="97"/>
      <c r="P22" s="38" t="s">
        <v>675</v>
      </c>
      <c r="Q22" s="33" t="s">
        <v>829</v>
      </c>
      <c r="R22" s="34" t="s">
        <v>830</v>
      </c>
      <c r="S22" s="35" t="s">
        <v>728</v>
      </c>
      <c r="T22" s="36" t="s">
        <v>674</v>
      </c>
      <c r="U22" s="37" t="s">
        <v>829</v>
      </c>
      <c r="V22" s="31"/>
      <c r="W22" s="38"/>
      <c r="X22" s="32"/>
    </row>
    <row r="23" spans="1:24">
      <c r="A23" s="31">
        <v>18</v>
      </c>
      <c r="B23" s="32" t="s">
        <v>643</v>
      </c>
      <c r="C23" s="33" t="s">
        <v>898</v>
      </c>
      <c r="D23" s="34" t="s">
        <v>899</v>
      </c>
      <c r="E23" s="35" t="s">
        <v>825</v>
      </c>
      <c r="F23" s="36" t="s">
        <v>729</v>
      </c>
      <c r="G23" s="37" t="s">
        <v>898</v>
      </c>
      <c r="H23" s="97"/>
      <c r="I23" s="32" t="s">
        <v>659</v>
      </c>
      <c r="J23" s="33" t="s">
        <v>938</v>
      </c>
      <c r="K23" s="34" t="s">
        <v>939</v>
      </c>
      <c r="L23" s="35" t="s">
        <v>806</v>
      </c>
      <c r="M23" s="36" t="s">
        <v>730</v>
      </c>
      <c r="N23" s="37" t="s">
        <v>938</v>
      </c>
      <c r="O23" s="97"/>
      <c r="P23" s="38" t="s">
        <v>678</v>
      </c>
      <c r="Q23" s="33" t="s">
        <v>831</v>
      </c>
      <c r="R23" s="34" t="s">
        <v>832</v>
      </c>
      <c r="S23" s="35" t="s">
        <v>731</v>
      </c>
      <c r="T23" s="36" t="s">
        <v>677</v>
      </c>
      <c r="U23" s="37" t="s">
        <v>831</v>
      </c>
      <c r="V23" s="31"/>
      <c r="W23" s="38"/>
      <c r="X23" s="32"/>
    </row>
    <row r="24" spans="1:24">
      <c r="A24" s="31">
        <v>17</v>
      </c>
      <c r="B24" s="32" t="s">
        <v>644</v>
      </c>
      <c r="C24" s="33" t="s">
        <v>900</v>
      </c>
      <c r="D24" s="34" t="s">
        <v>901</v>
      </c>
      <c r="E24" s="35" t="s">
        <v>787</v>
      </c>
      <c r="F24" s="36" t="s">
        <v>732</v>
      </c>
      <c r="G24" s="37" t="s">
        <v>900</v>
      </c>
      <c r="H24" s="97"/>
      <c r="I24" s="32" t="s">
        <v>660</v>
      </c>
      <c r="J24" s="33" t="s">
        <v>940</v>
      </c>
      <c r="K24" s="34" t="s">
        <v>941</v>
      </c>
      <c r="L24" s="35" t="s">
        <v>807</v>
      </c>
      <c r="M24" s="36" t="s">
        <v>733</v>
      </c>
      <c r="N24" s="37" t="s">
        <v>940</v>
      </c>
      <c r="O24" s="97"/>
      <c r="P24" s="38" t="s">
        <v>679</v>
      </c>
      <c r="Q24" s="33" t="s">
        <v>833</v>
      </c>
      <c r="R24" s="34" t="s">
        <v>834</v>
      </c>
      <c r="S24" s="35" t="s">
        <v>734</v>
      </c>
      <c r="T24" s="36" t="s">
        <v>637</v>
      </c>
      <c r="U24" s="37" t="s">
        <v>833</v>
      </c>
      <c r="V24" s="31"/>
      <c r="W24" s="38"/>
      <c r="X24" s="32"/>
    </row>
    <row r="25" spans="1:24">
      <c r="A25" s="31">
        <v>16</v>
      </c>
      <c r="B25" s="32" t="s">
        <v>645</v>
      </c>
      <c r="C25" s="33" t="s">
        <v>902</v>
      </c>
      <c r="D25" s="34" t="s">
        <v>903</v>
      </c>
      <c r="E25" s="35" t="s">
        <v>788</v>
      </c>
      <c r="F25" s="36" t="s">
        <v>735</v>
      </c>
      <c r="G25" s="37" t="s">
        <v>902</v>
      </c>
      <c r="H25" s="98"/>
      <c r="I25" s="32" t="s">
        <v>661</v>
      </c>
      <c r="J25" s="33" t="s">
        <v>942</v>
      </c>
      <c r="K25" s="34" t="s">
        <v>943</v>
      </c>
      <c r="L25" s="35" t="s">
        <v>808</v>
      </c>
      <c r="M25" s="36" t="s">
        <v>736</v>
      </c>
      <c r="N25" s="37" t="s">
        <v>942</v>
      </c>
      <c r="O25" s="97"/>
      <c r="P25" s="38" t="s">
        <v>681</v>
      </c>
      <c r="Q25" s="33" t="s">
        <v>835</v>
      </c>
      <c r="R25" s="34" t="s">
        <v>836</v>
      </c>
      <c r="S25" s="35" t="s">
        <v>737</v>
      </c>
      <c r="T25" s="36" t="s">
        <v>680</v>
      </c>
      <c r="U25" s="37" t="s">
        <v>835</v>
      </c>
      <c r="V25" s="31"/>
      <c r="W25" s="38"/>
      <c r="X25" s="32"/>
    </row>
    <row r="26" spans="1:24">
      <c r="A26" s="31">
        <v>15</v>
      </c>
      <c r="B26" s="32" t="s">
        <v>646</v>
      </c>
      <c r="C26" s="33" t="s">
        <v>904</v>
      </c>
      <c r="D26" s="34" t="s">
        <v>905</v>
      </c>
      <c r="E26" s="35" t="s">
        <v>789</v>
      </c>
      <c r="F26" s="36" t="s">
        <v>738</v>
      </c>
      <c r="G26" s="37" t="s">
        <v>904</v>
      </c>
      <c r="H26" s="98"/>
      <c r="I26" s="32" t="s">
        <v>633</v>
      </c>
      <c r="J26" s="33" t="s">
        <v>944</v>
      </c>
      <c r="K26" s="34" t="s">
        <v>945</v>
      </c>
      <c r="L26" s="35" t="s">
        <v>809</v>
      </c>
      <c r="M26" s="36" t="s">
        <v>739</v>
      </c>
      <c r="N26" s="37" t="s">
        <v>944</v>
      </c>
      <c r="O26" s="97"/>
      <c r="P26" s="38" t="s">
        <v>683</v>
      </c>
      <c r="Q26" s="33" t="s">
        <v>837</v>
      </c>
      <c r="R26" s="34" t="s">
        <v>838</v>
      </c>
      <c r="S26" s="35" t="s">
        <v>740</v>
      </c>
      <c r="T26" s="36" t="s">
        <v>682</v>
      </c>
      <c r="U26" s="37" t="s">
        <v>837</v>
      </c>
      <c r="V26" s="31"/>
      <c r="W26" s="38"/>
      <c r="X26" s="32"/>
    </row>
    <row r="27" spans="1:24">
      <c r="A27" s="31">
        <v>14</v>
      </c>
      <c r="B27" s="32" t="s">
        <v>629</v>
      </c>
      <c r="C27" s="33" t="s">
        <v>906</v>
      </c>
      <c r="D27" s="34" t="s">
        <v>907</v>
      </c>
      <c r="E27" s="35" t="s">
        <v>790</v>
      </c>
      <c r="F27" s="36" t="s">
        <v>741</v>
      </c>
      <c r="G27" s="37" t="s">
        <v>906</v>
      </c>
      <c r="H27" s="98"/>
      <c r="I27" s="32" t="s">
        <v>662</v>
      </c>
      <c r="J27" s="33" t="s">
        <v>946</v>
      </c>
      <c r="K27" s="34" t="s">
        <v>947</v>
      </c>
      <c r="L27" s="35" t="s">
        <v>810</v>
      </c>
      <c r="M27" s="36" t="s">
        <v>742</v>
      </c>
      <c r="N27" s="37" t="s">
        <v>946</v>
      </c>
      <c r="O27" s="97"/>
      <c r="P27" s="38" t="s">
        <v>685</v>
      </c>
      <c r="Q27" s="33" t="s">
        <v>839</v>
      </c>
      <c r="R27" s="34" t="s">
        <v>840</v>
      </c>
      <c r="S27" s="35" t="s">
        <v>743</v>
      </c>
      <c r="T27" s="36" t="s">
        <v>684</v>
      </c>
      <c r="U27" s="37" t="s">
        <v>839</v>
      </c>
      <c r="V27" s="31"/>
      <c r="W27" s="38"/>
      <c r="X27" s="32"/>
    </row>
    <row r="28" spans="1:24">
      <c r="A28" s="31">
        <v>13</v>
      </c>
      <c r="B28" s="32" t="s">
        <v>647</v>
      </c>
      <c r="C28" s="33" t="s">
        <v>908</v>
      </c>
      <c r="D28" s="34" t="s">
        <v>909</v>
      </c>
      <c r="E28" s="35" t="s">
        <v>791</v>
      </c>
      <c r="F28" s="36" t="s">
        <v>744</v>
      </c>
      <c r="G28" s="37" t="s">
        <v>908</v>
      </c>
      <c r="H28" s="98"/>
      <c r="I28" s="32" t="s">
        <v>663</v>
      </c>
      <c r="J28" s="33" t="s">
        <v>948</v>
      </c>
      <c r="K28" s="34" t="s">
        <v>949</v>
      </c>
      <c r="L28" s="35" t="s">
        <v>811</v>
      </c>
      <c r="M28" s="36" t="s">
        <v>745</v>
      </c>
      <c r="N28" s="37" t="s">
        <v>948</v>
      </c>
      <c r="O28" s="97"/>
      <c r="P28" s="38" t="s">
        <v>687</v>
      </c>
      <c r="Q28" s="33" t="s">
        <v>841</v>
      </c>
      <c r="R28" s="34" t="s">
        <v>842</v>
      </c>
      <c r="S28" s="35" t="s">
        <v>746</v>
      </c>
      <c r="T28" s="36" t="s">
        <v>686</v>
      </c>
      <c r="U28" s="37" t="s">
        <v>841</v>
      </c>
      <c r="V28" s="31"/>
      <c r="W28" s="38"/>
      <c r="X28" s="32"/>
    </row>
    <row r="29" spans="1:24">
      <c r="A29" s="31">
        <v>12</v>
      </c>
      <c r="B29" s="32" t="s">
        <v>648</v>
      </c>
      <c r="C29" s="33" t="s">
        <v>910</v>
      </c>
      <c r="D29" s="34" t="s">
        <v>911</v>
      </c>
      <c r="E29" s="35" t="s">
        <v>792</v>
      </c>
      <c r="F29" s="36" t="s">
        <v>747</v>
      </c>
      <c r="G29" s="37" t="s">
        <v>910</v>
      </c>
      <c r="H29" s="98"/>
      <c r="I29" s="32" t="s">
        <v>664</v>
      </c>
      <c r="J29" s="33" t="s">
        <v>950</v>
      </c>
      <c r="K29" s="34" t="s">
        <v>951</v>
      </c>
      <c r="L29" s="35" t="s">
        <v>812</v>
      </c>
      <c r="M29" s="36" t="s">
        <v>748</v>
      </c>
      <c r="N29" s="37" t="s">
        <v>950</v>
      </c>
      <c r="O29" s="97"/>
      <c r="P29" s="38" t="s">
        <v>688</v>
      </c>
      <c r="Q29" s="33" t="s">
        <v>843</v>
      </c>
      <c r="R29" s="34" t="s">
        <v>844</v>
      </c>
      <c r="S29" s="35" t="s">
        <v>749</v>
      </c>
      <c r="T29" s="36" t="s">
        <v>638</v>
      </c>
      <c r="U29" s="37" t="s">
        <v>843</v>
      </c>
      <c r="V29" s="31"/>
      <c r="W29" s="38"/>
      <c r="X29" s="32"/>
    </row>
    <row r="30" spans="1:24">
      <c r="A30" s="31">
        <v>11</v>
      </c>
      <c r="B30" s="32" t="s">
        <v>649</v>
      </c>
      <c r="C30" s="33" t="s">
        <v>912</v>
      </c>
      <c r="D30" s="34" t="s">
        <v>913</v>
      </c>
      <c r="E30" s="35" t="s">
        <v>793</v>
      </c>
      <c r="F30" s="36" t="s">
        <v>750</v>
      </c>
      <c r="G30" s="37" t="s">
        <v>912</v>
      </c>
      <c r="H30" s="98"/>
      <c r="I30" s="32" t="s">
        <v>665</v>
      </c>
      <c r="J30" s="33" t="s">
        <v>952</v>
      </c>
      <c r="K30" s="34" t="s">
        <v>953</v>
      </c>
      <c r="L30" s="35" t="s">
        <v>813</v>
      </c>
      <c r="M30" s="36" t="s">
        <v>751</v>
      </c>
      <c r="N30" s="37" t="s">
        <v>952</v>
      </c>
      <c r="O30" s="97"/>
      <c r="P30" s="38" t="s">
        <v>690</v>
      </c>
      <c r="Q30" s="33" t="s">
        <v>845</v>
      </c>
      <c r="R30" s="34" t="s">
        <v>846</v>
      </c>
      <c r="S30" s="35" t="s">
        <v>752</v>
      </c>
      <c r="T30" s="36" t="s">
        <v>689</v>
      </c>
      <c r="U30" s="37" t="s">
        <v>845</v>
      </c>
      <c r="V30" s="31"/>
      <c r="W30" s="38"/>
      <c r="X30" s="32"/>
    </row>
    <row r="31" spans="1:24">
      <c r="A31" s="31">
        <v>10</v>
      </c>
      <c r="B31" s="32" t="s">
        <v>650</v>
      </c>
      <c r="C31" s="33" t="s">
        <v>914</v>
      </c>
      <c r="D31" s="34" t="s">
        <v>915</v>
      </c>
      <c r="E31" s="35" t="s">
        <v>794</v>
      </c>
      <c r="F31" s="36" t="s">
        <v>753</v>
      </c>
      <c r="G31" s="37" t="s">
        <v>914</v>
      </c>
      <c r="H31" s="98"/>
      <c r="I31" s="32" t="s">
        <v>634</v>
      </c>
      <c r="J31" s="33" t="s">
        <v>954</v>
      </c>
      <c r="K31" s="34" t="s">
        <v>955</v>
      </c>
      <c r="L31" s="35" t="s">
        <v>814</v>
      </c>
      <c r="M31" s="36" t="s">
        <v>754</v>
      </c>
      <c r="N31" s="37" t="s">
        <v>954</v>
      </c>
      <c r="O31" s="97"/>
      <c r="P31" s="38" t="s">
        <v>692</v>
      </c>
      <c r="Q31" s="33" t="s">
        <v>847</v>
      </c>
      <c r="R31" s="34" t="s">
        <v>848</v>
      </c>
      <c r="S31" s="35" t="s">
        <v>755</v>
      </c>
      <c r="T31" s="36" t="s">
        <v>691</v>
      </c>
      <c r="U31" s="37" t="s">
        <v>847</v>
      </c>
      <c r="V31" s="31"/>
      <c r="W31" s="38"/>
      <c r="X31" s="32"/>
    </row>
    <row r="32" spans="1:24">
      <c r="A32" s="31">
        <v>9</v>
      </c>
      <c r="B32" s="32" t="s">
        <v>630</v>
      </c>
      <c r="C32" s="33" t="s">
        <v>916</v>
      </c>
      <c r="D32" s="34" t="s">
        <v>917</v>
      </c>
      <c r="E32" s="35" t="s">
        <v>795</v>
      </c>
      <c r="F32" s="36" t="s">
        <v>756</v>
      </c>
      <c r="G32" s="37" t="s">
        <v>916</v>
      </c>
      <c r="H32" s="98"/>
      <c r="I32" s="398" t="s">
        <v>666</v>
      </c>
      <c r="J32" s="33" t="s">
        <v>956</v>
      </c>
      <c r="K32" s="34" t="s">
        <v>957</v>
      </c>
      <c r="L32" s="35" t="s">
        <v>815</v>
      </c>
      <c r="M32" s="36" t="s">
        <v>757</v>
      </c>
      <c r="N32" s="37" t="s">
        <v>956</v>
      </c>
      <c r="O32" s="97"/>
      <c r="P32" s="38" t="s">
        <v>694</v>
      </c>
      <c r="Q32" s="33" t="s">
        <v>849</v>
      </c>
      <c r="R32" s="34" t="s">
        <v>850</v>
      </c>
      <c r="S32" s="35" t="s">
        <v>758</v>
      </c>
      <c r="T32" s="36" t="s">
        <v>693</v>
      </c>
      <c r="U32" s="37" t="s">
        <v>849</v>
      </c>
      <c r="V32" s="31"/>
      <c r="W32" s="38"/>
      <c r="X32" s="32"/>
    </row>
    <row r="33" spans="1:24">
      <c r="A33" s="31">
        <v>8</v>
      </c>
      <c r="B33" s="32" t="s">
        <v>651</v>
      </c>
      <c r="C33" s="33" t="s">
        <v>918</v>
      </c>
      <c r="D33" s="34" t="s">
        <v>919</v>
      </c>
      <c r="E33" s="35" t="s">
        <v>796</v>
      </c>
      <c r="F33" s="36" t="s">
        <v>759</v>
      </c>
      <c r="G33" s="37" t="s">
        <v>918</v>
      </c>
      <c r="H33" s="98"/>
      <c r="I33" s="32" t="s">
        <v>667</v>
      </c>
      <c r="J33" s="33" t="s">
        <v>958</v>
      </c>
      <c r="K33" s="34" t="s">
        <v>959</v>
      </c>
      <c r="L33" s="35" t="s">
        <v>816</v>
      </c>
      <c r="M33" s="36" t="s">
        <v>760</v>
      </c>
      <c r="N33" s="37" t="s">
        <v>958</v>
      </c>
      <c r="O33" s="97"/>
      <c r="P33" s="38" t="s">
        <v>696</v>
      </c>
      <c r="Q33" s="33" t="s">
        <v>851</v>
      </c>
      <c r="R33" s="34" t="s">
        <v>852</v>
      </c>
      <c r="S33" s="35" t="s">
        <v>761</v>
      </c>
      <c r="T33" s="36" t="s">
        <v>695</v>
      </c>
      <c r="U33" s="37" t="s">
        <v>851</v>
      </c>
      <c r="V33" s="31"/>
      <c r="W33" s="38"/>
      <c r="X33" s="32"/>
    </row>
    <row r="34" spans="1:24">
      <c r="A34" s="31">
        <v>7</v>
      </c>
      <c r="B34" s="32" t="s">
        <v>652</v>
      </c>
      <c r="C34" s="33" t="s">
        <v>920</v>
      </c>
      <c r="D34" s="34" t="s">
        <v>921</v>
      </c>
      <c r="E34" s="35" t="s">
        <v>797</v>
      </c>
      <c r="F34" s="36" t="s">
        <v>762</v>
      </c>
      <c r="G34" s="37" t="s">
        <v>920</v>
      </c>
      <c r="H34" s="98"/>
      <c r="I34" s="32" t="s">
        <v>668</v>
      </c>
      <c r="J34" s="33" t="s">
        <v>960</v>
      </c>
      <c r="K34" s="34" t="s">
        <v>961</v>
      </c>
      <c r="L34" s="35" t="s">
        <v>817</v>
      </c>
      <c r="M34" s="36" t="s">
        <v>763</v>
      </c>
      <c r="N34" s="37" t="s">
        <v>960</v>
      </c>
      <c r="O34" s="97"/>
      <c r="P34" s="38" t="s">
        <v>697</v>
      </c>
      <c r="Q34" s="33" t="s">
        <v>853</v>
      </c>
      <c r="R34" s="34" t="s">
        <v>854</v>
      </c>
      <c r="S34" s="35" t="s">
        <v>764</v>
      </c>
      <c r="T34" s="36" t="s">
        <v>639</v>
      </c>
      <c r="U34" s="37" t="s">
        <v>853</v>
      </c>
      <c r="V34" s="31"/>
      <c r="W34" s="38"/>
      <c r="X34" s="32"/>
    </row>
    <row r="35" spans="1:24">
      <c r="A35" s="31">
        <v>6</v>
      </c>
      <c r="B35" s="32" t="s">
        <v>653</v>
      </c>
      <c r="C35" s="33" t="s">
        <v>922</v>
      </c>
      <c r="D35" s="34" t="s">
        <v>923</v>
      </c>
      <c r="E35" s="35" t="s">
        <v>798</v>
      </c>
      <c r="F35" s="36" t="s">
        <v>765</v>
      </c>
      <c r="G35" s="37" t="s">
        <v>922</v>
      </c>
      <c r="H35" s="98"/>
      <c r="I35" s="32" t="s">
        <v>669</v>
      </c>
      <c r="J35" s="33" t="s">
        <v>962</v>
      </c>
      <c r="K35" s="34" t="s">
        <v>963</v>
      </c>
      <c r="L35" s="35" t="s">
        <v>818</v>
      </c>
      <c r="M35" s="36" t="s">
        <v>766</v>
      </c>
      <c r="N35" s="37" t="s">
        <v>962</v>
      </c>
      <c r="O35" s="97"/>
      <c r="P35" s="38" t="s">
        <v>699</v>
      </c>
      <c r="Q35" s="33" t="s">
        <v>855</v>
      </c>
      <c r="R35" s="34" t="s">
        <v>856</v>
      </c>
      <c r="S35" s="35" t="s">
        <v>767</v>
      </c>
      <c r="T35" s="36" t="s">
        <v>698</v>
      </c>
      <c r="U35" s="37" t="s">
        <v>855</v>
      </c>
      <c r="V35" s="31"/>
      <c r="W35" s="38"/>
      <c r="X35" s="32"/>
    </row>
    <row r="36" spans="1:24">
      <c r="A36" s="31">
        <v>5</v>
      </c>
      <c r="B36" s="32" t="s">
        <v>654</v>
      </c>
      <c r="C36" s="33" t="s">
        <v>924</v>
      </c>
      <c r="D36" s="34" t="s">
        <v>925</v>
      </c>
      <c r="E36" s="35" t="s">
        <v>799</v>
      </c>
      <c r="F36" s="36" t="s">
        <v>768</v>
      </c>
      <c r="G36" s="37" t="s">
        <v>924</v>
      </c>
      <c r="H36" s="98"/>
      <c r="I36" s="32" t="s">
        <v>635</v>
      </c>
      <c r="J36" s="33" t="s">
        <v>964</v>
      </c>
      <c r="K36" s="34" t="s">
        <v>965</v>
      </c>
      <c r="L36" s="35" t="s">
        <v>819</v>
      </c>
      <c r="M36" s="36" t="s">
        <v>769</v>
      </c>
      <c r="N36" s="37" t="s">
        <v>964</v>
      </c>
      <c r="O36" s="97"/>
      <c r="P36" s="38" t="s">
        <v>701</v>
      </c>
      <c r="Q36" s="33" t="s">
        <v>857</v>
      </c>
      <c r="R36" s="34" t="s">
        <v>858</v>
      </c>
      <c r="S36" s="35" t="s">
        <v>770</v>
      </c>
      <c r="T36" s="36" t="s">
        <v>700</v>
      </c>
      <c r="U36" s="37" t="s">
        <v>857</v>
      </c>
      <c r="V36" s="31"/>
      <c r="W36" s="38"/>
      <c r="X36" s="32"/>
    </row>
    <row r="37" spans="1:24">
      <c r="A37" s="31">
        <v>4</v>
      </c>
      <c r="B37" s="32" t="s">
        <v>631</v>
      </c>
      <c r="C37" s="33" t="s">
        <v>926</v>
      </c>
      <c r="D37" s="34" t="s">
        <v>927</v>
      </c>
      <c r="E37" s="35" t="s">
        <v>800</v>
      </c>
      <c r="F37" s="36" t="s">
        <v>771</v>
      </c>
      <c r="G37" s="37" t="s">
        <v>926</v>
      </c>
      <c r="H37" s="98"/>
      <c r="I37" s="32" t="s">
        <v>670</v>
      </c>
      <c r="J37" s="33" t="s">
        <v>966</v>
      </c>
      <c r="K37" s="34" t="s">
        <v>967</v>
      </c>
      <c r="L37" s="35" t="s">
        <v>820</v>
      </c>
      <c r="M37" s="36" t="s">
        <v>772</v>
      </c>
      <c r="N37" s="37" t="s">
        <v>966</v>
      </c>
      <c r="O37" s="97"/>
      <c r="P37" s="38" t="s">
        <v>703</v>
      </c>
      <c r="Q37" s="33" t="s">
        <v>859</v>
      </c>
      <c r="R37" s="34" t="s">
        <v>860</v>
      </c>
      <c r="S37" s="35" t="s">
        <v>773</v>
      </c>
      <c r="T37" s="36" t="s">
        <v>702</v>
      </c>
      <c r="U37" s="37" t="s">
        <v>859</v>
      </c>
      <c r="V37" s="31"/>
      <c r="W37" s="38"/>
      <c r="X37" s="32"/>
    </row>
    <row r="38" spans="1:24">
      <c r="A38" s="31">
        <v>3</v>
      </c>
      <c r="B38" s="32" t="s">
        <v>655</v>
      </c>
      <c r="C38" s="33" t="s">
        <v>928</v>
      </c>
      <c r="D38" s="34" t="s">
        <v>929</v>
      </c>
      <c r="E38" s="35" t="s">
        <v>801</v>
      </c>
      <c r="F38" s="36" t="s">
        <v>774</v>
      </c>
      <c r="G38" s="37" t="s">
        <v>928</v>
      </c>
      <c r="H38" s="98"/>
      <c r="I38" s="32" t="s">
        <v>671</v>
      </c>
      <c r="J38" s="33" t="s">
        <v>968</v>
      </c>
      <c r="K38" s="34" t="s">
        <v>969</v>
      </c>
      <c r="L38" s="35" t="s">
        <v>821</v>
      </c>
      <c r="M38" s="36" t="s">
        <v>766</v>
      </c>
      <c r="N38" s="37" t="s">
        <v>968</v>
      </c>
      <c r="O38" s="97"/>
      <c r="P38" s="38" t="s">
        <v>705</v>
      </c>
      <c r="Q38" s="33" t="s">
        <v>861</v>
      </c>
      <c r="R38" s="34" t="s">
        <v>862</v>
      </c>
      <c r="S38" s="35" t="s">
        <v>775</v>
      </c>
      <c r="T38" s="36" t="s">
        <v>704</v>
      </c>
      <c r="U38" s="37" t="s">
        <v>861</v>
      </c>
      <c r="V38" s="31"/>
      <c r="W38" s="38"/>
      <c r="X38" s="32"/>
    </row>
    <row r="39" spans="1:24">
      <c r="A39" s="31">
        <v>2</v>
      </c>
      <c r="B39" s="32" t="s">
        <v>656</v>
      </c>
      <c r="C39" s="33" t="s">
        <v>930</v>
      </c>
      <c r="D39" s="34" t="s">
        <v>931</v>
      </c>
      <c r="E39" s="35" t="s">
        <v>802</v>
      </c>
      <c r="F39" s="36" t="s">
        <v>776</v>
      </c>
      <c r="G39" s="37" t="s">
        <v>930</v>
      </c>
      <c r="H39" s="98"/>
      <c r="I39" s="32" t="s">
        <v>672</v>
      </c>
      <c r="J39" s="33" t="s">
        <v>970</v>
      </c>
      <c r="K39" s="34" t="s">
        <v>971</v>
      </c>
      <c r="L39" s="35" t="s">
        <v>822</v>
      </c>
      <c r="M39" s="36" t="s">
        <v>777</v>
      </c>
      <c r="N39" s="37" t="s">
        <v>970</v>
      </c>
      <c r="O39" s="97"/>
      <c r="P39" s="38" t="s">
        <v>707</v>
      </c>
      <c r="Q39" s="33" t="s">
        <v>863</v>
      </c>
      <c r="R39" s="34" t="s">
        <v>864</v>
      </c>
      <c r="S39" s="35" t="s">
        <v>778</v>
      </c>
      <c r="T39" s="36" t="s">
        <v>706</v>
      </c>
      <c r="U39" s="37" t="s">
        <v>863</v>
      </c>
      <c r="V39" s="31"/>
      <c r="W39" s="38"/>
      <c r="X39" s="32"/>
    </row>
    <row r="40" spans="1:24">
      <c r="A40" s="31">
        <v>1</v>
      </c>
      <c r="B40" s="32" t="s">
        <v>657</v>
      </c>
      <c r="C40" s="33" t="s">
        <v>932</v>
      </c>
      <c r="D40" s="34" t="s">
        <v>933</v>
      </c>
      <c r="E40" s="35" t="s">
        <v>803</v>
      </c>
      <c r="F40" s="36" t="s">
        <v>779</v>
      </c>
      <c r="G40" s="37" t="s">
        <v>932</v>
      </c>
      <c r="H40" s="98"/>
      <c r="I40" s="32" t="s">
        <v>673</v>
      </c>
      <c r="J40" s="33" t="s">
        <v>972</v>
      </c>
      <c r="K40" s="34" t="s">
        <v>973</v>
      </c>
      <c r="L40" s="35" t="s">
        <v>823</v>
      </c>
      <c r="M40" s="36" t="s">
        <v>780</v>
      </c>
      <c r="N40" s="37" t="s">
        <v>972</v>
      </c>
      <c r="O40" s="97"/>
      <c r="P40" s="38" t="s">
        <v>709</v>
      </c>
      <c r="Q40" s="33" t="s">
        <v>865</v>
      </c>
      <c r="R40" s="34" t="s">
        <v>866</v>
      </c>
      <c r="S40" s="35" t="s">
        <v>781</v>
      </c>
      <c r="T40" s="36" t="s">
        <v>708</v>
      </c>
      <c r="U40" s="37" t="s">
        <v>865</v>
      </c>
      <c r="V40" s="31"/>
      <c r="W40" s="38"/>
      <c r="X40" s="32"/>
    </row>
    <row r="41" spans="1:24">
      <c r="A41" s="39">
        <v>0</v>
      </c>
      <c r="B41" s="32" t="s">
        <v>884</v>
      </c>
      <c r="C41" s="33" t="s">
        <v>935</v>
      </c>
      <c r="D41" s="34" t="s">
        <v>976</v>
      </c>
      <c r="E41" s="35" t="s">
        <v>804</v>
      </c>
      <c r="F41" s="36" t="s">
        <v>883</v>
      </c>
      <c r="G41" s="37" t="s">
        <v>884</v>
      </c>
      <c r="H41" s="98"/>
      <c r="I41" s="32" t="s">
        <v>636</v>
      </c>
      <c r="J41" s="33" t="s">
        <v>974</v>
      </c>
      <c r="K41" s="34" t="s">
        <v>975</v>
      </c>
      <c r="L41" s="35" t="s">
        <v>824</v>
      </c>
      <c r="M41" s="36" t="s">
        <v>782</v>
      </c>
      <c r="N41" s="37" t="s">
        <v>974</v>
      </c>
      <c r="O41" s="97"/>
      <c r="P41" s="38" t="s">
        <v>710</v>
      </c>
      <c r="Q41" s="33" t="s">
        <v>867</v>
      </c>
      <c r="R41" s="34" t="s">
        <v>868</v>
      </c>
      <c r="S41" s="35" t="s">
        <v>783</v>
      </c>
      <c r="T41" s="36" t="s">
        <v>640</v>
      </c>
      <c r="U41" s="37" t="s">
        <v>867</v>
      </c>
      <c r="V41" s="39"/>
      <c r="W41" s="38"/>
      <c r="X41" s="32"/>
    </row>
    <row r="43" spans="1:24">
      <c r="P43" s="122"/>
      <c r="Q43" s="122"/>
    </row>
    <row r="44" spans="1:24">
      <c r="P44" s="33"/>
      <c r="Q44" s="38"/>
    </row>
    <row r="45" spans="1:24">
      <c r="P45" s="33"/>
      <c r="Q45" s="38"/>
    </row>
    <row r="46" spans="1:24">
      <c r="P46" s="33"/>
      <c r="Q46" s="38"/>
    </row>
    <row r="47" spans="1:24">
      <c r="P47" s="33"/>
      <c r="Q47" s="38"/>
    </row>
    <row r="48" spans="1:24">
      <c r="P48" s="33"/>
      <c r="Q48" s="38"/>
    </row>
    <row r="49" spans="16:17">
      <c r="P49" s="33"/>
      <c r="Q49" s="38"/>
    </row>
    <row r="50" spans="16:17">
      <c r="P50" s="33"/>
      <c r="Q50" s="38"/>
    </row>
    <row r="51" spans="16:17">
      <c r="P51" s="33"/>
      <c r="Q51" s="38"/>
    </row>
    <row r="52" spans="16:17">
      <c r="P52" s="33"/>
      <c r="Q52" s="38"/>
    </row>
    <row r="53" spans="16:17">
      <c r="P53" s="33"/>
      <c r="Q53" s="38"/>
    </row>
    <row r="54" spans="16:17">
      <c r="P54" s="33"/>
      <c r="Q54" s="38"/>
    </row>
    <row r="55" spans="16:17">
      <c r="P55" s="33"/>
      <c r="Q55" s="38"/>
    </row>
    <row r="56" spans="16:17">
      <c r="P56" s="33"/>
      <c r="Q56" s="38"/>
    </row>
    <row r="57" spans="16:17">
      <c r="P57" s="33"/>
      <c r="Q57" s="38"/>
    </row>
    <row r="58" spans="16:17">
      <c r="P58" s="33"/>
      <c r="Q58" s="38"/>
    </row>
    <row r="59" spans="16:17">
      <c r="P59" s="33"/>
      <c r="Q59" s="38"/>
    </row>
    <row r="60" spans="16:17">
      <c r="P60" s="33"/>
      <c r="Q60" s="38"/>
    </row>
    <row r="61" spans="16:17">
      <c r="P61" s="33"/>
      <c r="Q61" s="38"/>
    </row>
    <row r="62" spans="16:17">
      <c r="P62" s="33"/>
      <c r="Q62" s="38"/>
    </row>
    <row r="63" spans="16:17">
      <c r="P63" s="33"/>
      <c r="Q63" s="38"/>
    </row>
  </sheetData>
  <mergeCells count="10">
    <mergeCell ref="E7:G7"/>
    <mergeCell ref="B16:G16"/>
    <mergeCell ref="I16:N16"/>
    <mergeCell ref="P16:U16"/>
    <mergeCell ref="R17:U17"/>
    <mergeCell ref="B17:C17"/>
    <mergeCell ref="D17:G17"/>
    <mergeCell ref="I17:J17"/>
    <mergeCell ref="K17:N17"/>
    <mergeCell ref="P17:Q17"/>
  </mergeCells>
  <dataValidations count="2">
    <dataValidation type="list" allowBlank="1" showInputMessage="1" showErrorMessage="1" sqref="B4" xr:uid="{2F65EFC1-52D1-4F83-83B5-862BC7B1B332}">
      <formula1>$AH$2:$AH$9</formula1>
    </dataValidation>
    <dataValidation type="list" allowBlank="1" showInputMessage="1" showErrorMessage="1" sqref="B2" xr:uid="{A2FE7521-CB91-4556-9AFA-97DA5F3F267B}">
      <formula1>$AI$2:$AI$5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33D47-C532-47D5-A383-3E60D09E4CAF}">
  <sheetPr>
    <tabColor rgb="FFFF0000"/>
  </sheetPr>
  <dimension ref="A1:DD72"/>
  <sheetViews>
    <sheetView showGridLines="0" tabSelected="1" topLeftCell="B1" zoomScale="70" zoomScaleNormal="70" workbookViewId="0">
      <selection activeCell="D13" sqref="D13"/>
    </sheetView>
  </sheetViews>
  <sheetFormatPr defaultRowHeight="14.4" outlineLevelRow="1" outlineLevelCol="1"/>
  <cols>
    <col min="1" max="1" width="16.44140625" style="381" hidden="1" customWidth="1" outlineLevel="1"/>
    <col min="2" max="2" width="7" style="381" customWidth="1" collapsed="1"/>
    <col min="3" max="3" width="24.44140625" customWidth="1"/>
    <col min="4" max="4" width="10.5546875" customWidth="1"/>
    <col min="5" max="5" width="9.109375" hidden="1" customWidth="1" outlineLevel="1"/>
    <col min="6" max="6" width="9.109375" customWidth="1" collapsed="1"/>
    <col min="7" max="7" width="1.33203125" customWidth="1"/>
    <col min="8" max="9" width="8.5546875" customWidth="1"/>
    <col min="10" max="10" width="8.5546875" hidden="1" customWidth="1" outlineLevel="1"/>
    <col min="11" max="11" width="9.33203125" customWidth="1" collapsed="1"/>
    <col min="12" max="13" width="9.109375" hidden="1" customWidth="1" outlineLevel="1"/>
    <col min="14" max="14" width="8.88671875" customWidth="1" collapsed="1"/>
    <col min="15" max="15" width="9.33203125" customWidth="1"/>
    <col min="16" max="16" width="8.88671875" customWidth="1" outlineLevel="1"/>
    <col min="17" max="17" width="9.88671875" customWidth="1"/>
    <col min="18" max="18" width="9.109375" customWidth="1" outlineLevel="1"/>
    <col min="19" max="19" width="9.33203125" customWidth="1"/>
    <col min="20" max="20" width="9.109375" hidden="1" customWidth="1" outlineLevel="1"/>
    <col min="21" max="21" width="9.5546875" customWidth="1" collapsed="1"/>
    <col min="22" max="22" width="1.6640625" customWidth="1"/>
    <col min="23" max="25" width="8.88671875" customWidth="1"/>
    <col min="26" max="26" width="10.6640625" customWidth="1"/>
    <col min="27" max="27" width="8.88671875" hidden="1" customWidth="1" outlineLevel="1"/>
    <col min="28" max="28" width="9.109375" customWidth="1" collapsed="1"/>
    <col min="29" max="29" width="1.33203125" customWidth="1"/>
    <col min="30" max="32" width="9.109375" customWidth="1"/>
    <col min="33" max="33" width="2.88671875" customWidth="1"/>
    <col min="34" max="34" width="3" customWidth="1"/>
  </cols>
  <sheetData>
    <row r="1" spans="1:34"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4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34">
        <f>D9-H9</f>
        <v>2837.7678884704201</v>
      </c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4">
      <c r="C3" s="2"/>
      <c r="D3" s="284" t="s">
        <v>284</v>
      </c>
      <c r="E3" s="284" t="s">
        <v>284</v>
      </c>
      <c r="F3" s="284"/>
      <c r="G3" s="284"/>
      <c r="H3" s="284" t="s">
        <v>62</v>
      </c>
      <c r="I3" s="284"/>
      <c r="J3" s="284"/>
      <c r="K3" s="284" t="s">
        <v>62</v>
      </c>
      <c r="L3" s="284" t="s">
        <v>62</v>
      </c>
      <c r="M3" s="284" t="s">
        <v>62</v>
      </c>
      <c r="N3" s="284" t="s">
        <v>62</v>
      </c>
      <c r="O3" s="284" t="s">
        <v>62</v>
      </c>
      <c r="P3" s="284" t="s">
        <v>284</v>
      </c>
      <c r="Q3" s="284"/>
      <c r="R3" s="284" t="s">
        <v>222</v>
      </c>
      <c r="S3" s="284"/>
      <c r="T3" s="284" t="s">
        <v>285</v>
      </c>
      <c r="U3" s="284"/>
      <c r="V3" s="284"/>
      <c r="W3" s="284" t="s">
        <v>232</v>
      </c>
      <c r="X3" s="284"/>
      <c r="Y3" s="284" t="s">
        <v>288</v>
      </c>
      <c r="Z3" s="2"/>
      <c r="AA3" s="2"/>
      <c r="AB3" s="2"/>
      <c r="AC3" s="2"/>
      <c r="AD3" s="2"/>
      <c r="AE3" s="2"/>
      <c r="AF3" s="2"/>
      <c r="AG3" s="2"/>
    </row>
    <row r="4" spans="1:34">
      <c r="C4" s="2"/>
      <c r="D4" s="284" t="s">
        <v>278</v>
      </c>
      <c r="E4" s="284" t="s">
        <v>277</v>
      </c>
      <c r="F4" s="284"/>
      <c r="G4" s="284"/>
      <c r="H4" s="284" t="s">
        <v>276</v>
      </c>
      <c r="I4" s="284"/>
      <c r="J4" s="284"/>
      <c r="K4" s="285" t="s">
        <v>277</v>
      </c>
      <c r="L4" s="285" t="s">
        <v>278</v>
      </c>
      <c r="M4" s="285" t="s">
        <v>283</v>
      </c>
      <c r="N4" s="2"/>
      <c r="O4" s="2"/>
      <c r="P4" s="284" t="s">
        <v>283</v>
      </c>
      <c r="Q4" s="284"/>
      <c r="R4" s="284" t="s">
        <v>276</v>
      </c>
      <c r="S4" s="284"/>
      <c r="T4" s="284" t="s">
        <v>283</v>
      </c>
      <c r="U4" s="284"/>
      <c r="V4" s="284"/>
      <c r="W4" s="284" t="s">
        <v>278</v>
      </c>
      <c r="X4" s="284"/>
      <c r="Y4" s="284" t="s">
        <v>276</v>
      </c>
      <c r="Z4" s="2"/>
      <c r="AA4" s="2"/>
      <c r="AB4" s="2"/>
      <c r="AC4" s="2"/>
      <c r="AD4" s="2"/>
      <c r="AE4" s="2"/>
      <c r="AF4" s="2"/>
      <c r="AG4" s="2"/>
    </row>
    <row r="5" spans="1:34">
      <c r="C5" s="284" t="s">
        <v>254</v>
      </c>
      <c r="D5" s="284" t="s">
        <v>256</v>
      </c>
      <c r="E5" s="284" t="s">
        <v>257</v>
      </c>
      <c r="F5" s="284"/>
      <c r="G5" s="284"/>
      <c r="H5" s="286" t="s">
        <v>279</v>
      </c>
      <c r="I5" s="286"/>
      <c r="J5" s="286" t="s">
        <v>280</v>
      </c>
      <c r="K5" s="284"/>
      <c r="L5" s="284" t="s">
        <v>281</v>
      </c>
      <c r="M5" s="284" t="s">
        <v>282</v>
      </c>
      <c r="N5" s="2"/>
      <c r="O5" s="2"/>
      <c r="P5" s="286"/>
      <c r="Q5" s="284"/>
      <c r="R5" s="284"/>
      <c r="S5" s="284"/>
      <c r="T5" s="284"/>
      <c r="U5" s="284"/>
      <c r="V5" s="284"/>
      <c r="W5" s="284" t="s">
        <v>286</v>
      </c>
      <c r="X5" s="284"/>
      <c r="Y5" s="284"/>
      <c r="Z5" s="2"/>
      <c r="AA5" s="2"/>
      <c r="AB5" s="2"/>
      <c r="AC5" s="2"/>
      <c r="AD5" s="2"/>
      <c r="AE5" s="2"/>
      <c r="AF5" s="2"/>
      <c r="AG5" s="2"/>
    </row>
    <row r="6" spans="1:34" ht="30" customHeight="1">
      <c r="C6" s="595" t="s">
        <v>13</v>
      </c>
      <c r="D6" s="530" t="s">
        <v>52</v>
      </c>
      <c r="E6" s="530"/>
      <c r="F6" s="530"/>
      <c r="G6" s="2"/>
      <c r="H6" s="530" t="s">
        <v>61</v>
      </c>
      <c r="I6" s="530"/>
      <c r="J6" s="530"/>
      <c r="K6" s="530"/>
      <c r="L6" s="530"/>
      <c r="M6" s="530"/>
      <c r="N6" s="530"/>
      <c r="O6" s="530"/>
      <c r="P6" s="530"/>
      <c r="Q6" s="530"/>
      <c r="R6" s="530"/>
      <c r="S6" s="530"/>
      <c r="T6" s="530"/>
      <c r="U6" s="530"/>
      <c r="V6" s="2"/>
      <c r="W6" s="531" t="s">
        <v>65</v>
      </c>
      <c r="X6" s="532"/>
      <c r="Y6" s="532"/>
      <c r="Z6" s="532"/>
      <c r="AA6" s="532"/>
      <c r="AB6" s="533"/>
      <c r="AC6" s="2"/>
      <c r="AD6" s="534" t="s">
        <v>324</v>
      </c>
      <c r="AE6" s="535"/>
      <c r="AF6" s="536"/>
      <c r="AG6" s="2"/>
    </row>
    <row r="7" spans="1:34" ht="53.4" customHeight="1">
      <c r="C7" s="574" t="s">
        <v>99</v>
      </c>
      <c r="D7" s="529" t="str">
        <f>INPUT!$B$2</f>
        <v>4Q</v>
      </c>
      <c r="E7" s="529"/>
      <c r="F7" s="529" t="s">
        <v>53</v>
      </c>
      <c r="G7" s="161"/>
      <c r="H7" s="442" t="s">
        <v>62</v>
      </c>
      <c r="I7" s="442" t="s">
        <v>418</v>
      </c>
      <c r="J7" s="442" t="s">
        <v>46</v>
      </c>
      <c r="K7" s="442" t="s">
        <v>53</v>
      </c>
      <c r="L7" s="442" t="s">
        <v>113</v>
      </c>
      <c r="M7" s="442" t="s">
        <v>114</v>
      </c>
      <c r="N7" s="442" t="s">
        <v>5</v>
      </c>
      <c r="O7" s="442" t="s">
        <v>215</v>
      </c>
      <c r="P7" s="442" t="s">
        <v>229</v>
      </c>
      <c r="Q7" s="442" t="s">
        <v>216</v>
      </c>
      <c r="R7" s="442" t="str">
        <f>CONCATENATE("Track ", +'Tracks Pull'!E12)</f>
        <v>Track WK7</v>
      </c>
      <c r="S7" s="442" t="s">
        <v>201</v>
      </c>
      <c r="T7" s="442" t="str">
        <f xml:space="preserve"> +'Tracks Pull'!G12</f>
        <v>WtW</v>
      </c>
      <c r="U7" s="442" t="s">
        <v>63</v>
      </c>
      <c r="V7" s="161"/>
      <c r="W7" s="442" t="s">
        <v>1176</v>
      </c>
      <c r="X7" s="442" t="s">
        <v>1177</v>
      </c>
      <c r="Y7" s="442" t="s">
        <v>223</v>
      </c>
      <c r="Z7" s="442" t="s">
        <v>225</v>
      </c>
      <c r="AA7" s="442" t="s">
        <v>244</v>
      </c>
      <c r="AB7" s="442" t="s">
        <v>66</v>
      </c>
      <c r="AC7" s="161"/>
      <c r="AD7" s="441" t="s">
        <v>1178</v>
      </c>
      <c r="AE7" s="441" t="s">
        <v>53</v>
      </c>
      <c r="AF7" s="441" t="s">
        <v>216</v>
      </c>
      <c r="AG7" s="161"/>
    </row>
    <row r="8" spans="1:34" hidden="1">
      <c r="C8" s="41"/>
      <c r="D8" s="42"/>
      <c r="E8" s="42"/>
      <c r="F8" s="43"/>
      <c r="G8" s="2"/>
      <c r="H8" s="47"/>
      <c r="I8" s="47"/>
      <c r="J8" s="47"/>
      <c r="K8" s="43"/>
      <c r="L8" s="43"/>
      <c r="M8" s="43"/>
      <c r="N8" s="47"/>
      <c r="O8" s="47"/>
      <c r="P8" s="215"/>
      <c r="Q8" s="47"/>
      <c r="R8" s="47"/>
      <c r="S8" s="47"/>
      <c r="T8" s="47"/>
      <c r="U8" s="47"/>
      <c r="V8" s="2"/>
      <c r="W8" s="47"/>
      <c r="X8" s="47"/>
      <c r="Y8" s="47"/>
      <c r="Z8" s="47"/>
      <c r="AA8" s="215"/>
      <c r="AB8" s="47"/>
      <c r="AC8" s="2"/>
      <c r="AD8" s="47"/>
      <c r="AF8" s="47"/>
      <c r="AG8" s="2"/>
    </row>
    <row r="9" spans="1:34" s="462" customFormat="1" ht="18.600000000000001" customHeight="1">
      <c r="A9" s="380" t="s">
        <v>240</v>
      </c>
      <c r="B9" s="384"/>
      <c r="C9" s="456" t="s">
        <v>245</v>
      </c>
      <c r="D9" s="457">
        <f>SUM(D10:D15)</f>
        <v>3286.3575052670203</v>
      </c>
      <c r="E9" s="457">
        <f>SUM(E10:E15)</f>
        <v>2838.1264742000017</v>
      </c>
      <c r="F9" s="458">
        <f>+D9/E9-1</f>
        <v>0.15793201435583093</v>
      </c>
      <c r="G9" s="459"/>
      <c r="H9" s="457">
        <f>SUM(H10:H15)</f>
        <v>448.58961679660007</v>
      </c>
      <c r="I9" s="457">
        <f>SUM(I10:I15)</f>
        <v>256.76875552409984</v>
      </c>
      <c r="J9" s="460">
        <f>SUM(J10:J15)</f>
        <v>386.76835603500047</v>
      </c>
      <c r="K9" s="458">
        <f>H9/J9-1</f>
        <v>0.15984053451364866</v>
      </c>
      <c r="L9" s="457">
        <f>SUM(L10:L15)</f>
        <v>416.87527765770005</v>
      </c>
      <c r="M9" s="457">
        <f>SUM(M10:M15)</f>
        <v>361.87232668019993</v>
      </c>
      <c r="N9" s="460">
        <f t="shared" ref="N9:U9" si="0">SUM(N10:N15)</f>
        <v>31.714339138900016</v>
      </c>
      <c r="O9" s="460">
        <f>SUM(O10:O15)</f>
        <v>86.717290116400079</v>
      </c>
      <c r="P9" s="457">
        <f>SUM(P10:P15)</f>
        <v>2715.9684048649497</v>
      </c>
      <c r="Q9" s="460">
        <f t="shared" si="0"/>
        <v>-2267.3787880683499</v>
      </c>
      <c r="R9" s="460">
        <f t="shared" si="0"/>
        <v>674.61808849956026</v>
      </c>
      <c r="S9" s="460">
        <f>SUM(S10:S15)</f>
        <v>-217.51702602462277</v>
      </c>
      <c r="T9" s="460">
        <f>SUM(T10:T15)</f>
        <v>128.13558719113789</v>
      </c>
      <c r="U9" s="460">
        <f t="shared" si="0"/>
        <v>-41.418297074737808</v>
      </c>
      <c r="V9" s="461"/>
      <c r="W9" s="460">
        <f>SUM(W10:W15)</f>
        <v>15.08301356639649</v>
      </c>
      <c r="X9" s="460">
        <f>SUM(X10:X15)</f>
        <v>157.72681602584015</v>
      </c>
      <c r="Y9" s="460">
        <f>SUM(Y10:Y14)</f>
        <v>408.40500212699652</v>
      </c>
      <c r="Z9" s="460">
        <f>SUM(Z10:Z14)</f>
        <v>581.21483171923319</v>
      </c>
      <c r="AA9" s="457">
        <f>SUM(AA10:AA15)</f>
        <v>570.38910040207054</v>
      </c>
      <c r="AB9" s="460">
        <f>SUM(AB10:AB15)</f>
        <v>10.825731317162678</v>
      </c>
      <c r="AC9" s="459"/>
      <c r="AD9" s="460">
        <f>SUM(AD10:AD14)</f>
        <v>1029.8044485158334</v>
      </c>
      <c r="AE9" s="458">
        <f>AD9/E9-1</f>
        <v>-0.63715343277430581</v>
      </c>
      <c r="AF9" s="460">
        <f>SUM(AF10:AF15)</f>
        <v>-2256.5530567511873</v>
      </c>
      <c r="AG9" s="459"/>
    </row>
    <row r="10" spans="1:34" ht="18.600000000000001" customHeight="1">
      <c r="A10" s="382" t="s">
        <v>11</v>
      </c>
      <c r="B10" s="385"/>
      <c r="C10" s="438" t="s">
        <v>54</v>
      </c>
      <c r="D10" s="444">
        <f>SUMIFS('Consol Pull'!$F:$F,'Consol Pull'!$A:$A,$A10,'Consol Pull'!$B:$B,$C$6)</f>
        <v>1670.7776981566833</v>
      </c>
      <c r="E10" s="620">
        <f>SUMIFS('Consol Pull'!$T:$T,'Consol Pull'!$A:$A,$A10,'Consol Pull'!$B:$B,$C$6)</f>
        <v>1223.6108301400006</v>
      </c>
      <c r="F10" s="446">
        <f t="shared" ref="F9:F15" si="1">+D10/E10-1</f>
        <v>0.36544860261290735</v>
      </c>
      <c r="G10" s="146"/>
      <c r="H10" s="444">
        <f>SUMIFS('FIRM Load Pull'!$E:$E,'FIRM Load Pull'!$A:$A,$A10,'FIRM Load Pull'!$B:$B,$C$6)</f>
        <v>129.49897691300004</v>
      </c>
      <c r="I10" s="444">
        <f>SUMIFS('Ship Load Pull'!$E:$E,'Ship Load Pull'!$A:$A,$A10,'Ship Load Pull'!$B:$B,$C$6)</f>
        <v>34.804885393000013</v>
      </c>
      <c r="J10" s="450">
        <f>SUMIFS('FIRM Load Pull'!$Q:$Q,'FIRM Load Pull'!$A:$A,$A10,'FIRM Load Pull'!$B:$B,$C$6)</f>
        <v>64.110295653000009</v>
      </c>
      <c r="K10" s="448">
        <f>H10/J10-1</f>
        <v>1.0199404104126946</v>
      </c>
      <c r="L10" s="450">
        <f>SUMIFS('FIRM Load Pull'!$F:$F,'FIRM Load Pull'!$A:$A,$A10,'FIRM Load Pull'!$B:$B,$C$6)</f>
        <v>109.46743071300003</v>
      </c>
      <c r="M10" s="450">
        <f>SUMIFS('FIRM Load Pull'!$G:$G,'FIRM Load Pull'!$A:$A,$A10,'FIRM Load Pull'!$B:$B,$C$6)</f>
        <v>74.144559853000018</v>
      </c>
      <c r="N10" s="450">
        <f>H10-L10</f>
        <v>20.031546200000008</v>
      </c>
      <c r="O10" s="450">
        <f>+H10-M10</f>
        <v>55.354417060000017</v>
      </c>
      <c r="P10" s="217">
        <f>SUMIFS('Consol Pull'!$G:$G,'Consol Pull'!$A:$A,$A10,'Consol Pull'!$B:$B,$C$6)</f>
        <v>1440.3421289716473</v>
      </c>
      <c r="Q10" s="450">
        <f>H10-P10</f>
        <v>-1310.8431520586473</v>
      </c>
      <c r="R10" s="165">
        <f>SUMIFS('Tracks Pull'!$E:$E,'Tracks Pull'!$A:$A,$A10,'Tracks Pull'!$B:$B,$C$6)</f>
        <v>78.14430126553377</v>
      </c>
      <c r="S10" s="450">
        <f>H10-R10</f>
        <v>51.354675647466266</v>
      </c>
      <c r="T10" s="165">
        <f>SUMIFS('Tracks Pull'!$G:$G,'Tracks Pull'!$A:$A,$A10,'Tracks Pull'!$B:$B,$C$6)</f>
        <v>6.2485134543119329</v>
      </c>
      <c r="U10" s="452">
        <f>O10-T10</f>
        <v>49.105903605688084</v>
      </c>
      <c r="V10" s="402"/>
      <c r="W10" s="450">
        <f>SUMIFS('Stream Pull'!G:G,'Stream Pull'!A:A,$A$10,'Stream Pull'!B:B,$C$6)</f>
        <v>1.0072507245983728</v>
      </c>
      <c r="X10" s="450">
        <f>SUMIFS('Stream Pull'!H:H,'Stream Pull'!A:A,$A$10,'Stream Pull'!B:B,$C$6)</f>
        <v>58.941317023842927</v>
      </c>
      <c r="Y10" s="450">
        <f>SUMIFS('Stream Pull'!M:M,'Stream Pull'!A:A,$A$10,'Stream Pull'!B:B,$C$6)</f>
        <v>249.32861316022215</v>
      </c>
      <c r="Z10" s="450">
        <f>SUM(W10:Y10)</f>
        <v>309.27718090866347</v>
      </c>
      <c r="AA10" s="217">
        <f>D10-P10</f>
        <v>230.435569185036</v>
      </c>
      <c r="AB10" s="450">
        <f>Z10-AA10</f>
        <v>78.841611723627466</v>
      </c>
      <c r="AC10" s="146"/>
      <c r="AD10" s="450">
        <f>H10+Z10</f>
        <v>438.7761578216635</v>
      </c>
      <c r="AE10" s="448">
        <f>AD10/E10-1</f>
        <v>-0.64140873305979118</v>
      </c>
      <c r="AF10" s="450">
        <f>AD10-D10</f>
        <v>-1232.0015403350199</v>
      </c>
      <c r="AG10" s="402"/>
      <c r="AH10" s="209"/>
    </row>
    <row r="11" spans="1:34" ht="18.600000000000001" customHeight="1">
      <c r="A11" s="381" t="s">
        <v>191</v>
      </c>
      <c r="B11" s="386"/>
      <c r="C11" s="438" t="s">
        <v>55</v>
      </c>
      <c r="D11" s="444">
        <f>SUMIFS('Consol Pull'!$F:$F,'Consol Pull'!$A:$A,$A11,'Consol Pull'!$B:$B,$C$6)</f>
        <v>705.49744221339529</v>
      </c>
      <c r="E11" s="620">
        <f>SUMIFS('Consol Pull'!$T:$T,'Consol Pull'!$A:$A,$A11,'Consol Pull'!$B:$B,$C$6)</f>
        <v>628.39572295000096</v>
      </c>
      <c r="F11" s="446">
        <f t="shared" si="1"/>
        <v>0.12269612355322956</v>
      </c>
      <c r="G11" s="146"/>
      <c r="H11" s="444">
        <f>SUMIFS('FIRM Load Pull'!$E:$E,'FIRM Load Pull'!$A:$A,$A11,'FIRM Load Pull'!$B:$B,$C$6)</f>
        <v>79.566730337899983</v>
      </c>
      <c r="I11" s="444">
        <f>SUMIFS('Ship Load Pull'!$E:$E,'Ship Load Pull'!$A:$A,$A11,'Ship Load Pull'!$B:$B,$C$6)</f>
        <v>62.466534951</v>
      </c>
      <c r="J11" s="450">
        <f>SUMIFS('FIRM Load Pull'!$Q:$Q,'FIRM Load Pull'!$A:$A,$A11,'FIRM Load Pull'!$B:$B,$C$6)</f>
        <v>94.516455754700019</v>
      </c>
      <c r="K11" s="448">
        <f>H11/J11-1</f>
        <v>-0.15817060952432749</v>
      </c>
      <c r="L11" s="450">
        <f>SUMIFS('FIRM Load Pull'!$F:$F,'FIRM Load Pull'!$A:$A,$A11,'FIRM Load Pull'!$B:$B,$C$6)</f>
        <v>77.039396339000021</v>
      </c>
      <c r="M11" s="450">
        <f>SUMIFS('FIRM Load Pull'!$G:$G,'FIRM Load Pull'!$A:$A,$A11,'FIRM Load Pull'!$B:$B,$C$6)</f>
        <v>68.131159079900016</v>
      </c>
      <c r="N11" s="450">
        <f>H11-L11</f>
        <v>2.5273339988999624</v>
      </c>
      <c r="O11" s="450">
        <f>+H11-M11</f>
        <v>11.435571257999968</v>
      </c>
      <c r="P11" s="217">
        <f>SUMIFS('Consol Pull'!$G:$G,'Consol Pull'!$A:$A,$A11,'Consol Pull'!$B:$B,$C$6)</f>
        <v>487.89248934290595</v>
      </c>
      <c r="Q11" s="450">
        <f>H11-P11</f>
        <v>-408.32575900500598</v>
      </c>
      <c r="R11" s="165">
        <f>SUMIFS('Tracks Pull'!$E:$E,'Tracks Pull'!$A:$A,$A11,'Tracks Pull'!$B:$B,$C$6)</f>
        <v>174.74552223544717</v>
      </c>
      <c r="S11" s="450">
        <f>H11-R11</f>
        <v>-95.178791897547185</v>
      </c>
      <c r="T11" s="165">
        <f>SUMIFS('Tracks Pull'!$G:$G,'Tracks Pull'!$A:$A,$A11,'Tracks Pull'!$B:$B,$C$6)</f>
        <v>39.714158180355327</v>
      </c>
      <c r="U11" s="452">
        <f>O11-T11</f>
        <v>-28.278586922355359</v>
      </c>
      <c r="V11" s="402"/>
      <c r="W11" s="450">
        <f>SUMIFS('Stream Pull'!G:G,'Stream Pull'!A:A,$A$11,'Stream Pull'!B:B,$C$6)</f>
        <v>14.195779941798126</v>
      </c>
      <c r="X11" s="450">
        <f>SUMIFS('Stream Pull'!H:H,'Stream Pull'!A:A,$A$11,'Stream Pull'!B:B,$C$6)</f>
        <v>58.905516101997222</v>
      </c>
      <c r="Y11" s="450">
        <f>SUMIFS('Stream Pull'!M:M,'Stream Pull'!A:A,$A$11,'Stream Pull'!B:B,$C$6)</f>
        <v>122.24172432181824</v>
      </c>
      <c r="Z11" s="450">
        <f t="shared" ref="Z11:Z13" si="2">SUM(W11:Y11)</f>
        <v>195.3430203656136</v>
      </c>
      <c r="AA11" s="217">
        <f>D11-P11</f>
        <v>217.60495287048934</v>
      </c>
      <c r="AB11" s="450">
        <f>Z11-AA11</f>
        <v>-22.261932504875745</v>
      </c>
      <c r="AC11" s="146"/>
      <c r="AD11" s="450">
        <f t="shared" ref="AD11:AD14" si="3">H11+Z11</f>
        <v>274.90975070351357</v>
      </c>
      <c r="AE11" s="448">
        <f>AD11/E11-1</f>
        <v>-0.56252128927143086</v>
      </c>
      <c r="AF11" s="450">
        <f>AD11-D11</f>
        <v>-430.58769150988172</v>
      </c>
      <c r="AG11" s="402"/>
      <c r="AH11" s="209"/>
    </row>
    <row r="12" spans="1:34" ht="18.600000000000001" customHeight="1">
      <c r="A12" s="381" t="s">
        <v>218</v>
      </c>
      <c r="C12" s="438" t="s">
        <v>56</v>
      </c>
      <c r="D12" s="444">
        <f>SUMIFS('Consol Pull'!$F:$F,'Consol Pull'!$A:$A,$A12,'Consol Pull'!$B:$B,$C$6)</f>
        <v>836.85793319208108</v>
      </c>
      <c r="E12" s="620">
        <f>SUMIFS('Consol Pull'!$T:$T,'Consol Pull'!$A:$A,$A12,'Consol Pull'!$B:$B,$C$6)</f>
        <v>938.76305822000006</v>
      </c>
      <c r="F12" s="446">
        <f t="shared" si="1"/>
        <v>-0.10855255129142227</v>
      </c>
      <c r="G12" s="146"/>
      <c r="H12" s="444">
        <f>SUMIFS('FIRM Load Pull'!$E:$E,'FIRM Load Pull'!$A:$A,$A12,'FIRM Load Pull'!$B:$B,$C$6)</f>
        <v>233.99971098570003</v>
      </c>
      <c r="I12" s="444">
        <f>SUMIFS('Ship Load Pull'!$E:$E,'Ship Load Pull'!$A:$A,$A12,'Ship Load Pull'!$B:$B,$C$6)</f>
        <v>159.49733518009984</v>
      </c>
      <c r="J12" s="450">
        <f>SUMIFS('FIRM Load Pull'!$Q:$Q,'FIRM Load Pull'!$A:$A,$A12,'FIRM Load Pull'!$B:$B,$C$6)</f>
        <v>211.71549633730041</v>
      </c>
      <c r="K12" s="448">
        <f>H12/J12-1</f>
        <v>0.1052554727165409</v>
      </c>
      <c r="L12" s="450">
        <f>SUMIFS('FIRM Load Pull'!$F:$F,'FIRM Load Pull'!$A:$A,$A12,'FIRM Load Pull'!$B:$B,$C$6)</f>
        <v>224.84425204569999</v>
      </c>
      <c r="M12" s="450">
        <f>SUMIFS('FIRM Load Pull'!$G:$G,'FIRM Load Pull'!$A:$A,$A12,'FIRM Load Pull'!$B:$B,$C$6)</f>
        <v>214.07240918729994</v>
      </c>
      <c r="N12" s="450">
        <f>H12-L12</f>
        <v>9.1554589400000452</v>
      </c>
      <c r="O12" s="450">
        <f>+H12-M12</f>
        <v>19.927301798400094</v>
      </c>
      <c r="P12" s="217">
        <f>SUMIFS('Consol Pull'!$G:$G,'Consol Pull'!$A:$A,$A12,'Consol Pull'!$B:$B,$C$6)</f>
        <v>815.63814231205902</v>
      </c>
      <c r="Q12" s="450">
        <f>H12-P12</f>
        <v>-581.63843132635895</v>
      </c>
      <c r="R12" s="165">
        <f>SUMIFS('Tracks Pull'!$E:$E,'Tracks Pull'!$A:$A,$A12,'Tracks Pull'!$B:$B,$C$6)</f>
        <v>407.69262076024188</v>
      </c>
      <c r="S12" s="450">
        <f>H12-R12</f>
        <v>-173.69290977454185</v>
      </c>
      <c r="T12" s="165">
        <f>SUMIFS('Tracks Pull'!$G:$G,'Tracks Pull'!$A:$A,$A12,'Tracks Pull'!$B:$B,$C$6)</f>
        <v>82.172915556470628</v>
      </c>
      <c r="U12" s="452">
        <f>O12-T12</f>
        <v>-62.245613758070533</v>
      </c>
      <c r="V12" s="402"/>
      <c r="W12" s="450">
        <f>SUMIFS('Stream Pull'!G:G,'Stream Pull'!A:A,$A$12,'Stream Pull'!B:B,$C$6)</f>
        <v>-0.12001710000000901</v>
      </c>
      <c r="X12" s="450">
        <f>SUMIFS('Stream Pull'!F:F,'Stream Pull'!A:A,$A$12,'Stream Pull'!B:B,$C$6)</f>
        <v>39.879982899999987</v>
      </c>
      <c r="Y12" s="450">
        <f>SUMIFS('Stream Pull'!M:M,'Stream Pull'!A:A,$A$12,'Stream Pull'!B:B,$C$6)</f>
        <v>20.334664644956145</v>
      </c>
      <c r="Z12" s="450">
        <f t="shared" si="2"/>
        <v>60.094630444956124</v>
      </c>
      <c r="AA12" s="217">
        <f>D12-P12</f>
        <v>21.21979088002206</v>
      </c>
      <c r="AB12" s="450">
        <f>Z12-AA12</f>
        <v>38.874839564934064</v>
      </c>
      <c r="AC12" s="146"/>
      <c r="AD12" s="450">
        <f t="shared" si="3"/>
        <v>294.09434143065619</v>
      </c>
      <c r="AE12" s="448">
        <f>AD12/E12-1</f>
        <v>-0.68672143747508341</v>
      </c>
      <c r="AF12" s="450">
        <f>AD12-D12</f>
        <v>-542.76359176142489</v>
      </c>
      <c r="AG12" s="402"/>
      <c r="AH12" s="209"/>
    </row>
    <row r="13" spans="1:34" ht="18.600000000000001" customHeight="1">
      <c r="A13" s="381" t="s">
        <v>57</v>
      </c>
      <c r="C13" s="438" t="s">
        <v>57</v>
      </c>
      <c r="D13" s="444">
        <f>SUMIFS('Consol Pull'!$F:$F,'Consol Pull'!$A:$A,$A13,'Consol Pull'!$B:$B,$C$6)</f>
        <v>18.736802856872199</v>
      </c>
      <c r="E13" s="620">
        <f>SUMIFS('Consol Pull'!$T:$T,'Consol Pull'!$A:$A,$A13,'Consol Pull'!$B:$B,$C$6)</f>
        <v>12.22902854</v>
      </c>
      <c r="F13" s="446">
        <f t="shared" si="1"/>
        <v>0.53215791390018286</v>
      </c>
      <c r="G13" s="146"/>
      <c r="H13" s="444"/>
      <c r="I13" s="444"/>
      <c r="J13" s="450"/>
      <c r="K13" s="448"/>
      <c r="L13" s="450"/>
      <c r="M13" s="450"/>
      <c r="N13" s="450"/>
      <c r="O13" s="450"/>
      <c r="P13" s="217">
        <f>SUMIFS('Consol Pull'!$G:$G,'Consol Pull'!$A:$A,$A13,'Consol Pull'!$B:$B,$C$6)</f>
        <v>0</v>
      </c>
      <c r="Q13" s="450"/>
      <c r="R13" s="165"/>
      <c r="S13" s="450"/>
      <c r="T13" s="165"/>
      <c r="U13" s="452"/>
      <c r="V13" s="402"/>
      <c r="W13" s="450"/>
      <c r="X13" s="450"/>
      <c r="Y13" s="450">
        <f>'Stream Pull'!E106</f>
        <v>16.5</v>
      </c>
      <c r="Z13" s="450">
        <f t="shared" si="2"/>
        <v>16.5</v>
      </c>
      <c r="AA13" s="217">
        <f>D13-P13</f>
        <v>18.736802856872199</v>
      </c>
      <c r="AB13" s="450">
        <f>Z13-AA13</f>
        <v>-2.2368028568721989</v>
      </c>
      <c r="AC13" s="146"/>
      <c r="AD13" s="450">
        <f t="shared" si="3"/>
        <v>16.5</v>
      </c>
      <c r="AE13" s="448">
        <f>AD13/E13-1</f>
        <v>0.34924862968714598</v>
      </c>
      <c r="AF13" s="450">
        <f>AD13-D13</f>
        <v>-2.2368028568721989</v>
      </c>
      <c r="AG13" s="146"/>
      <c r="AH13" s="303"/>
    </row>
    <row r="14" spans="1:34" ht="18.600000000000001" customHeight="1">
      <c r="A14" s="381" t="s">
        <v>39</v>
      </c>
      <c r="C14" s="439" t="s">
        <v>39</v>
      </c>
      <c r="D14" s="445">
        <f>SUMIFS('Consol Pull'!$F:$F,'Consol Pull'!$A:$A,$A14,'Consol Pull'!$B:$B,$C$6)</f>
        <v>14.035644238337479</v>
      </c>
      <c r="E14" s="621">
        <f>SUMIFS('Consol Pull'!$T:$T,'Consol Pull'!$A:$A,$A14,'Consol Pull'!$B:$B,$C$6)</f>
        <v>20.724697090000003</v>
      </c>
      <c r="F14" s="447">
        <f t="shared" si="1"/>
        <v>-0.3227575690305311</v>
      </c>
      <c r="G14" s="146"/>
      <c r="H14" s="445">
        <f>SUMIFS('FIRM Load Pull'!$E:$E,'FIRM Load Pull'!$A:$A,$A14,'FIRM Load Pull'!$B:$B,$C$6)</f>
        <v>5.5241985599999994</v>
      </c>
      <c r="I14" s="445">
        <f>SUMIFS('Ship Load Pull'!$E:$E,'Ship Load Pull'!$A:$A,$A14,'Ship Load Pull'!$B:$B,$C$6)</f>
        <v>0</v>
      </c>
      <c r="J14" s="445">
        <f>SUMIFS('FIRM Load Pull'!$Q:$Q,'FIRM Load Pull'!$A:$A,$A14,'FIRM Load Pull'!$B:$B,$C$6)</f>
        <v>16.426108289999998</v>
      </c>
      <c r="K14" s="449">
        <f>H14/J14-1</f>
        <v>-0.66369401306315146</v>
      </c>
      <c r="L14" s="451">
        <f>SUMIFS('FIRM Load Pull'!$F:$F,'FIRM Load Pull'!$A:$A,$A14,'FIRM Load Pull'!$B:$B,$C$6)</f>
        <v>5.5241985599999994</v>
      </c>
      <c r="M14" s="451">
        <f>SUMIFS('FIRM Load Pull'!$G:$G,'FIRM Load Pull'!$A:$A,$A14,'FIRM Load Pull'!$B:$B,$C$6)</f>
        <v>5.5241985599999994</v>
      </c>
      <c r="N14" s="451">
        <f>H14-L14</f>
        <v>0</v>
      </c>
      <c r="O14" s="451">
        <f>+H14-M14</f>
        <v>0</v>
      </c>
      <c r="P14" s="217">
        <f>SUMIFS('Consol Pull'!$G:$G,'Consol Pull'!$A:$A,$A14,'Consol Pull'!$B:$B,$C$6)</f>
        <v>14.035644238337479</v>
      </c>
      <c r="Q14" s="451">
        <f>H14-P14</f>
        <v>-8.5114456783374806</v>
      </c>
      <c r="R14" s="451">
        <f>+P14</f>
        <v>14.035644238337479</v>
      </c>
      <c r="S14" s="451"/>
      <c r="T14" s="165"/>
      <c r="U14" s="453"/>
      <c r="V14" s="402"/>
      <c r="W14" s="451"/>
      <c r="X14" s="451"/>
      <c r="Y14" s="451"/>
      <c r="Z14" s="451"/>
      <c r="AA14" s="451"/>
      <c r="AB14" s="451"/>
      <c r="AC14" s="146"/>
      <c r="AD14" s="451">
        <f t="shared" si="3"/>
        <v>5.5241985599999994</v>
      </c>
      <c r="AE14" s="449">
        <f>AD14/E14-1</f>
        <v>-0.73344852588144638</v>
      </c>
      <c r="AF14" s="451">
        <f>AD14-D14</f>
        <v>-8.5114456783374806</v>
      </c>
      <c r="AG14" s="146"/>
      <c r="AH14" s="303"/>
    </row>
    <row r="15" spans="1:34" ht="13.8" hidden="1" customHeight="1" outlineLevel="1">
      <c r="A15" s="381" t="s">
        <v>239</v>
      </c>
      <c r="C15" s="40" t="s">
        <v>326</v>
      </c>
      <c r="D15" s="444">
        <f>SUMIFS('Consol Pull'!$F:$F,'Consol Pull'!$A:$A,$A15,'Consol Pull'!$B:$B,$C$6)</f>
        <v>40.4519846096509</v>
      </c>
      <c r="E15" s="225">
        <f>SUMIFS('Consol Pull'!$T:$T,'Consol Pull'!$A:$A,$A15,'Consol Pull'!$B:$B,$C$6)</f>
        <v>14.403137260000003</v>
      </c>
      <c r="F15" s="443">
        <f t="shared" si="1"/>
        <v>1.8085537115579005</v>
      </c>
      <c r="G15" s="146"/>
      <c r="H15" s="225"/>
      <c r="I15" s="225"/>
      <c r="J15" s="165"/>
      <c r="K15" s="165"/>
      <c r="L15" s="166"/>
      <c r="M15" s="166"/>
      <c r="N15" s="165"/>
      <c r="O15" s="165"/>
      <c r="P15" s="217">
        <v>-41.94</v>
      </c>
      <c r="Q15" s="165">
        <f>H15-P15</f>
        <v>41.94</v>
      </c>
      <c r="R15" s="165"/>
      <c r="S15" s="165"/>
      <c r="T15" s="165"/>
      <c r="U15" s="164"/>
      <c r="V15" s="146"/>
      <c r="W15" s="165"/>
      <c r="X15" s="165"/>
      <c r="Y15" s="164"/>
      <c r="Z15" s="164"/>
      <c r="AA15" s="217">
        <f>D15-P15</f>
        <v>82.391984609650905</v>
      </c>
      <c r="AB15" s="450">
        <f>Z15-AA15</f>
        <v>-82.391984609650905</v>
      </c>
      <c r="AC15" s="164"/>
      <c r="AD15" s="164"/>
      <c r="AE15" s="164"/>
      <c r="AF15" s="164">
        <f>AD15-D15</f>
        <v>-40.4519846096509</v>
      </c>
      <c r="AG15" s="164"/>
      <c r="AH15" s="303"/>
    </row>
    <row r="16" spans="1:34" ht="8.25" customHeight="1" collapsed="1">
      <c r="C16" s="45"/>
      <c r="D16" s="225"/>
      <c r="E16" s="225"/>
      <c r="F16" s="166"/>
      <c r="G16" s="146"/>
      <c r="H16" s="225"/>
      <c r="I16" s="22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4"/>
      <c r="V16" s="146"/>
      <c r="W16" s="227"/>
      <c r="X16" s="227"/>
      <c r="Y16" s="227"/>
      <c r="Z16" s="227"/>
      <c r="AA16" s="227"/>
      <c r="AB16" s="227"/>
      <c r="AC16" s="146"/>
      <c r="AD16" s="227"/>
      <c r="AE16" s="227"/>
      <c r="AF16" s="228"/>
      <c r="AG16" s="146"/>
    </row>
    <row r="17" spans="1:33" ht="16.2" customHeight="1">
      <c r="C17" s="46" t="s">
        <v>228</v>
      </c>
      <c r="D17" s="225"/>
      <c r="E17" s="225"/>
      <c r="F17" s="166"/>
      <c r="G17" s="146"/>
      <c r="H17" s="225"/>
      <c r="I17" s="225"/>
      <c r="J17" s="225"/>
      <c r="K17" s="225"/>
      <c r="L17" s="225"/>
      <c r="M17" s="225"/>
      <c r="N17" s="225"/>
      <c r="O17" s="225"/>
      <c r="P17" s="225"/>
      <c r="Q17" s="165"/>
      <c r="R17" s="165"/>
      <c r="S17" s="165"/>
      <c r="T17" s="165"/>
      <c r="U17" s="164"/>
      <c r="V17" s="146"/>
      <c r="W17" s="225"/>
      <c r="X17" s="225"/>
      <c r="Y17" s="225"/>
      <c r="Z17" s="225"/>
      <c r="AA17" s="225"/>
      <c r="AB17" s="225"/>
      <c r="AC17" s="146"/>
      <c r="AD17" s="225"/>
      <c r="AE17" s="225"/>
      <c r="AF17" s="165"/>
      <c r="AG17" s="146"/>
    </row>
    <row r="18" spans="1:33" ht="16.2" customHeight="1">
      <c r="A18" s="383" t="s">
        <v>242</v>
      </c>
      <c r="C18" s="472" t="s">
        <v>58</v>
      </c>
      <c r="D18" s="475">
        <f>SUMIFS('Consol Pull'!$F:$F,'Consol Pull'!$A:$A,$A18,'Consol Pull'!$B:$B,$C18)</f>
        <v>1587.4148942607098</v>
      </c>
      <c r="E18" s="476">
        <f>SUMIFS('Consol Pull'!$T:$T,'Consol Pull'!$A:$A,$A18,'Consol Pull'!$B:$B,$C18)</f>
        <v>1228.9529225200008</v>
      </c>
      <c r="F18" s="480">
        <f>+D18/E18-1</f>
        <v>0.29168080011207675</v>
      </c>
      <c r="G18" s="146"/>
      <c r="H18" s="475">
        <f>SUMIFS('FIRM Load Pull'!$E:$E,'FIRM Load Pull'!$A:$A,$A18,'FIRM Load Pull'!$B:$B,$C18)</f>
        <v>166.08076965870009</v>
      </c>
      <c r="I18" s="488">
        <f>SUMIFS('Ship Load Pull'!$E:$E,'Ship Load Pull'!$A:$A,$A18,'Ship Load Pull'!$B:$B,$C18)</f>
        <v>108.82447709600001</v>
      </c>
      <c r="J18" s="481">
        <f>SUMIFS('FIRM Load Pull'!$Q:$Q,'FIRM Load Pull'!$A:$A,$A18,'FIRM Load Pull'!$B:$B,$C18)</f>
        <v>126.81219965559995</v>
      </c>
      <c r="K18" s="489">
        <f>H18/J18-1</f>
        <v>0.30965924500755282</v>
      </c>
      <c r="L18" s="481">
        <f>SUMIFS('FIRM Load Pull'!$F:$F,'FIRM Load Pull'!$A:$A,$A18,'FIRM Load Pull'!$B:$B,$C18)</f>
        <v>142.95050729140007</v>
      </c>
      <c r="M18" s="481">
        <f>SUMIFS('FIRM Load Pull'!$G:$G,'FIRM Load Pull'!$A:$A,$A18,'FIRM Load Pull'!$B:$B,$C18)</f>
        <v>125.65730199930007</v>
      </c>
      <c r="N18" s="481">
        <f>H18-L18</f>
        <v>23.13026236730002</v>
      </c>
      <c r="O18" s="440">
        <f>+H18-M18</f>
        <v>40.423467659400018</v>
      </c>
      <c r="P18" s="482">
        <f>SUMIFS('Consol Pull'!$G:$G,'Consol Pull'!$A:$A,$A18,'Consol Pull'!$B:$B,$C18)</f>
        <v>1363.466701075306</v>
      </c>
      <c r="Q18" s="481">
        <f>H18-P18</f>
        <v>-1197.3859314166059</v>
      </c>
      <c r="R18" s="481">
        <f>SUMIFS('Tracks Pull'!$E:$E,'Tracks Pull'!$A:$A,$A18,'Tracks Pull'!$B:$B,$C18)</f>
        <v>250.82297742489416</v>
      </c>
      <c r="S18" s="440">
        <f>H18-R18</f>
        <v>-84.74220776619407</v>
      </c>
      <c r="T18" s="481">
        <f>SUMIFS('Tracks Pull'!$G:$G,'Tracks Pull'!$A:$A,$A18,'Tracks Pull'!$B:$B,$C18)</f>
        <v>45.494710993537268</v>
      </c>
      <c r="U18" s="483">
        <f>O18-T18</f>
        <v>-5.0712433341372503</v>
      </c>
      <c r="V18" s="146"/>
      <c r="W18" s="490">
        <f>SUMIFS('Stream Pull'!G:G,'Stream Pull'!A:A,$A$18,'Stream Pull'!B:B,$C$18)</f>
        <v>4.9471084397979732</v>
      </c>
      <c r="X18" s="490">
        <f>SUMIFS('Stream Pull'!H:H,'Stream Pull'!A:A,$A$18,'Stream Pull'!B:B,$C$18)</f>
        <v>59.982835846088648</v>
      </c>
      <c r="Y18" s="440">
        <f>SUMIFS('Stream Pull'!M:M,'Stream Pull'!A:A,$A$18,'Stream Pull'!B:B,$C$18)</f>
        <v>185.05101316069519</v>
      </c>
      <c r="Z18" s="481">
        <f>SUM(W18:Y18)</f>
        <v>249.98095744658181</v>
      </c>
      <c r="AA18" s="482">
        <f>D18-P18</f>
        <v>223.94819318540385</v>
      </c>
      <c r="AB18" s="440">
        <f>Z18-AA18</f>
        <v>26.032764261177959</v>
      </c>
      <c r="AC18" s="146"/>
      <c r="AD18" s="596">
        <f>H18+Z18</f>
        <v>416.06172710528188</v>
      </c>
      <c r="AE18" s="489">
        <f>AD18/E18-1</f>
        <v>-0.66145023175327489</v>
      </c>
      <c r="AF18" s="491">
        <f>AD18-D18</f>
        <v>-1171.3531671554279</v>
      </c>
      <c r="AG18" s="146"/>
    </row>
    <row r="19" spans="1:33" ht="16.2" customHeight="1">
      <c r="A19" s="383" t="s">
        <v>242</v>
      </c>
      <c r="C19" s="472" t="s">
        <v>26</v>
      </c>
      <c r="D19" s="477">
        <f>SUMIFS('Consol Pull'!$F:$F,'Consol Pull'!$A:$A,$A19,'Consol Pull'!$B:$B,$C19)</f>
        <v>1055.6303034461484</v>
      </c>
      <c r="E19" s="597">
        <f>SUMIFS('Consol Pull'!$T:$T,'Consol Pull'!$A:$A,$A19,'Consol Pull'!$B:$B,$C19)</f>
        <v>997.63180645999955</v>
      </c>
      <c r="F19" s="446">
        <f>+D19/E19-1</f>
        <v>5.8136174699512599E-2</v>
      </c>
      <c r="G19" s="146"/>
      <c r="H19" s="477">
        <f>SUMIFS('FIRM Load Pull'!$E:$E,'FIRM Load Pull'!$A:$A,$A19,'FIRM Load Pull'!$B:$B,$C19)</f>
        <v>173.31338095340021</v>
      </c>
      <c r="I19" s="444">
        <f>SUMIFS('Ship Load Pull'!$E:$E,'Ship Load Pull'!$A:$A,$A19,'Ship Load Pull'!$B:$B,$C19)</f>
        <v>94.333666898600129</v>
      </c>
      <c r="J19" s="598">
        <f>SUMIFS('FIRM Load Pull'!$Q:$Q,'FIRM Load Pull'!$A:$A,$A19,'FIRM Load Pull'!$B:$B,$C19)</f>
        <v>127.84883587300007</v>
      </c>
      <c r="K19" s="448">
        <f>H19/J19-1</f>
        <v>0.35561172512796912</v>
      </c>
      <c r="L19" s="598">
        <f>SUMIFS('FIRM Load Pull'!$F:$F,'FIRM Load Pull'!$A:$A,$A19,'FIRM Load Pull'!$B:$B,$C19)</f>
        <v>165.74580678780018</v>
      </c>
      <c r="M19" s="598">
        <f>SUMIFS('FIRM Load Pull'!$G:$G,'FIRM Load Pull'!$A:$A,$A19,'FIRM Load Pull'!$B:$B,$C19)</f>
        <v>137.97891130080018</v>
      </c>
      <c r="N19" s="598">
        <f>H19-L19</f>
        <v>7.5675741656000355</v>
      </c>
      <c r="O19" s="450">
        <f>+H19-M19</f>
        <v>35.334469652600035</v>
      </c>
      <c r="P19" s="599">
        <f>SUMIFS('Consol Pull'!$G:$G,'Consol Pull'!$A:$A,$A19,'Consol Pull'!$B:$B,$C19)</f>
        <v>912.15869572830093</v>
      </c>
      <c r="Q19" s="598">
        <f>H19-P19</f>
        <v>-738.84531477490077</v>
      </c>
      <c r="R19" s="598">
        <f>SUMIFS('Tracks Pull'!$E:$E,'Tracks Pull'!$A:$A,$A19,'Tracks Pull'!$B:$B,$C19)</f>
        <v>254.11379540667718</v>
      </c>
      <c r="S19" s="450">
        <f>H19-R19</f>
        <v>-80.800414453276971</v>
      </c>
      <c r="T19" s="598">
        <f>SUMIFS('Tracks Pull'!$G:$G,'Tracks Pull'!$A:$A,$A19,'Tracks Pull'!$B:$B,$C19)</f>
        <v>60.19277315273132</v>
      </c>
      <c r="U19" s="484">
        <f>O19-T19</f>
        <v>-24.858303500131285</v>
      </c>
      <c r="V19" s="146"/>
      <c r="W19" s="492">
        <f>SUMIFS('Stream Pull'!G:G,'Stream Pull'!A:A,$A$19,'Stream Pull'!B:B,$C$19)</f>
        <v>4.0310486334232918</v>
      </c>
      <c r="X19" s="450">
        <f>SUMIFS('Stream Pull'!H:H,'Stream Pull'!A:A,$A$19,'Stream Pull'!B:B,$C$19)</f>
        <v>35.227543434402534</v>
      </c>
      <c r="Y19" s="450">
        <f>SUMIFS('Stream Pull'!M:M,'Stream Pull'!A:A,$A$19,'Stream Pull'!B:B,$C$19)</f>
        <v>128.727672464335</v>
      </c>
      <c r="Z19" s="598">
        <f>SUM(W19:Y19)</f>
        <v>167.98626453216082</v>
      </c>
      <c r="AA19" s="599">
        <f>D19-P19</f>
        <v>143.47160771784752</v>
      </c>
      <c r="AB19" s="450">
        <f>Z19-AA19</f>
        <v>24.514656814313298</v>
      </c>
      <c r="AC19" s="146"/>
      <c r="AD19" s="454">
        <f t="shared" ref="AD18:AD21" si="4">H19+Z19</f>
        <v>341.29964548556103</v>
      </c>
      <c r="AE19" s="448">
        <f>AD19/E19-1</f>
        <v>-0.65789017223034418</v>
      </c>
      <c r="AF19" s="463">
        <f>AD19-D19</f>
        <v>-714.33065796058736</v>
      </c>
      <c r="AG19" s="146"/>
    </row>
    <row r="20" spans="1:33" ht="16.2" customHeight="1">
      <c r="A20" s="383" t="s">
        <v>242</v>
      </c>
      <c r="C20" s="473" t="s">
        <v>59</v>
      </c>
      <c r="D20" s="477">
        <f>SUMIFS('Consol Pull'!$F:$F,'Consol Pull'!$A:$A,$A20,'Consol Pull'!$B:$B,$C20)</f>
        <v>219.76523244436748</v>
      </c>
      <c r="E20" s="597">
        <f>SUMIFS('Consol Pull'!$T:$T,'Consol Pull'!$A:$A,$A20,'Consol Pull'!$B:$B,$C20)</f>
        <v>226.16138405999999</v>
      </c>
      <c r="F20" s="446">
        <f>+D20/E20-1</f>
        <v>-2.8281360419759483E-2</v>
      </c>
      <c r="G20" s="146"/>
      <c r="H20" s="477">
        <f>SUMIFS('FIRM Load Pull'!$E:$E,'FIRM Load Pull'!$A:$A,$A20,'FIRM Load Pull'!$B:$B,$C20)</f>
        <v>60.107739174500004</v>
      </c>
      <c r="I20" s="444">
        <f>SUMIFS('Ship Load Pull'!$E:$E,'Ship Load Pull'!$A:$A,$A20,'Ship Load Pull'!$B:$B,$C20)</f>
        <v>18.961590897400001</v>
      </c>
      <c r="J20" s="598">
        <f>SUMIFS('FIRM Load Pull'!$Q:$Q,'FIRM Load Pull'!$A:$A,$A20,'FIRM Load Pull'!$B:$B,$C20)</f>
        <v>66.651014327499993</v>
      </c>
      <c r="K20" s="448">
        <f>H20/J20-1</f>
        <v>-9.817217665808653E-2</v>
      </c>
      <c r="L20" s="598">
        <f>SUMIFS('FIRM Load Pull'!$F:$F,'FIRM Load Pull'!$A:$A,$A20,'FIRM Load Pull'!$B:$B,$C20)</f>
        <v>59.818929455999999</v>
      </c>
      <c r="M20" s="598">
        <f>SUMIFS('FIRM Load Pull'!$G:$G,'FIRM Load Pull'!$A:$A,$A20,'FIRM Load Pull'!$B:$B,$C20)</f>
        <v>48.163294869600001</v>
      </c>
      <c r="N20" s="598">
        <f>H20-L20</f>
        <v>0.28880971850000492</v>
      </c>
      <c r="O20" s="450">
        <f>+H20-M20</f>
        <v>11.944444304900003</v>
      </c>
      <c r="P20" s="599">
        <f>SUMIFS('Consol Pull'!$G:$G,'Consol Pull'!$A:$A,$A20,'Consol Pull'!$B:$B,$C20)</f>
        <v>160.53056973849192</v>
      </c>
      <c r="Q20" s="598">
        <f>H20-P20</f>
        <v>-100.42283056399191</v>
      </c>
      <c r="R20" s="598">
        <f>SUMIFS('Tracks Pull'!$E:$E,'Tracks Pull'!$A:$A,$A20,'Tracks Pull'!$B:$B,$C20)</f>
        <v>60.275721898996373</v>
      </c>
      <c r="S20" s="450">
        <f>H20-R20</f>
        <v>-0.16798272449636897</v>
      </c>
      <c r="T20" s="598">
        <f>SUMIFS('Tracks Pull'!$G:$G,'Tracks Pull'!$A:$A,$A20,'Tracks Pull'!$B:$B,$C20)</f>
        <v>8.0057103610252653</v>
      </c>
      <c r="U20" s="484">
        <f>O20-T20</f>
        <v>3.9387339438747375</v>
      </c>
      <c r="V20" s="146"/>
      <c r="W20" s="492">
        <f>SUMIFS('Stream Pull'!G:G,'Stream Pull'!A:A,$A$20,'Stream Pull'!B:B,$C$20)</f>
        <v>3.439291254973925</v>
      </c>
      <c r="X20" s="450">
        <f>SUMIFS('Stream Pull'!H:H,'Stream Pull'!A:A,$A$20,'Stream Pull'!B:B,$C$20)</f>
        <v>6.073567428715263</v>
      </c>
      <c r="Y20" s="450">
        <f>SUMIFS('Stream Pull'!M:M,'Stream Pull'!A:A,$A$20,'Stream Pull'!B:B,$C$20)</f>
        <v>46.623966851934291</v>
      </c>
      <c r="Z20" s="598">
        <f>SUM(W20:Y20)</f>
        <v>56.13682553562348</v>
      </c>
      <c r="AA20" s="599">
        <f>D20-P20</f>
        <v>59.234662705875564</v>
      </c>
      <c r="AB20" s="450">
        <f>Z20-AA20</f>
        <v>-3.0978371702520846</v>
      </c>
      <c r="AC20" s="146"/>
      <c r="AD20" s="454">
        <f t="shared" si="4"/>
        <v>116.24456471012348</v>
      </c>
      <c r="AE20" s="448">
        <f>AD20/E20-1</f>
        <v>-0.48601055306911223</v>
      </c>
      <c r="AF20" s="463">
        <f>AD20-D20</f>
        <v>-103.520667734244</v>
      </c>
      <c r="AG20" s="146"/>
    </row>
    <row r="21" spans="1:33" ht="16.2" customHeight="1">
      <c r="A21" s="383" t="s">
        <v>242</v>
      </c>
      <c r="C21" s="473" t="s">
        <v>34</v>
      </c>
      <c r="D21" s="478">
        <f>SUMIFS('Consol Pull'!$F:$F,'Consol Pull'!$A:$A,$A21,'Consol Pull'!$B:$B,$C21)</f>
        <v>310.08179458476684</v>
      </c>
      <c r="E21" s="479">
        <f>SUMIFS('Consol Pull'!$T:$T,'Consol Pull'!$A:$A,$A21,'Consol Pull'!$B:$B,$C21)</f>
        <v>293.28613300000001</v>
      </c>
      <c r="F21" s="447">
        <f>+D21/E21-1</f>
        <v>5.7267152091254214E-2</v>
      </c>
      <c r="G21" s="146"/>
      <c r="H21" s="478">
        <f>SUMIFS('FIRM Load Pull'!$E:$E,'FIRM Load Pull'!$A:$A,$A21,'FIRM Load Pull'!$B:$B,$C21)</f>
        <v>43.563528450000021</v>
      </c>
      <c r="I21" s="445">
        <f>SUMIFS('Ship Load Pull'!$E:$E,'Ship Load Pull'!$A:$A,$A21,'Ship Load Pull'!$B:$B,$C21)</f>
        <v>34.649020632100004</v>
      </c>
      <c r="J21" s="485">
        <f>SUMIFS('FIRM Load Pull'!$Q:$Q,'FIRM Load Pull'!$A:$A,$A21,'FIRM Load Pull'!$B:$B,$C21)</f>
        <v>49.030197888900034</v>
      </c>
      <c r="K21" s="449">
        <f>H21/J21-1</f>
        <v>-0.11149596930624694</v>
      </c>
      <c r="L21" s="485">
        <f>SUMIFS('FIRM Load Pull'!$F:$F,'FIRM Load Pull'!$A:$A,$A21,'FIRM Load Pull'!$B:$B,$C21)</f>
        <v>42.835835562500023</v>
      </c>
      <c r="M21" s="485">
        <f>SUMIFS('FIRM Load Pull'!$G:$G,'FIRM Load Pull'!$A:$A,$A21,'FIRM Load Pull'!$B:$B,$C21)</f>
        <v>44.548619950499997</v>
      </c>
      <c r="N21" s="485">
        <f>H21-L21</f>
        <v>0.72769288749999816</v>
      </c>
      <c r="O21" s="451">
        <f>+H21-M21</f>
        <v>-0.98509150049997629</v>
      </c>
      <c r="P21" s="486">
        <f>SUMIFS('Consol Pull'!$G:$G,'Consol Pull'!$A:$A,$A21,'Consol Pull'!$B:$B,$C21)</f>
        <v>265.77663849834647</v>
      </c>
      <c r="Q21" s="485">
        <f>H21-P21</f>
        <v>-222.21311004834644</v>
      </c>
      <c r="R21" s="485">
        <f>SUMIFS('Tracks Pull'!$E:$E,'Tracks Pull'!$A:$A,$A21,'Tracks Pull'!$B:$B,$C21)</f>
        <v>95.369949530654992</v>
      </c>
      <c r="S21" s="451">
        <f>H21-R21</f>
        <v>-51.806421080654971</v>
      </c>
      <c r="T21" s="485">
        <f>SUMIFS('Tracks Pull'!$G:$G,'Tracks Pull'!$A:$A,$A21,'Tracks Pull'!$B:$B,$C21)</f>
        <v>14.442392683844034</v>
      </c>
      <c r="U21" s="487">
        <f>O21-T21</f>
        <v>-15.42748418434401</v>
      </c>
      <c r="V21" s="146"/>
      <c r="W21" s="493">
        <f>SUMIFS('Stream Pull'!G:G,'Stream Pull'!A:A,$A$21,'Stream Pull'!B:B,$C$21)</f>
        <v>2.6655652382013049</v>
      </c>
      <c r="X21" s="451">
        <f>SUMIFS('Stream Pull'!H:H,'Stream Pull'!A:A,$A$21,'Stream Pull'!B:B,$C$21)</f>
        <v>16.562886416633717</v>
      </c>
      <c r="Y21" s="451">
        <f>SUMIFS('Stream Pull'!M:M,'Stream Pull'!A:A,$A$21,'Stream Pull'!B:B,$C$21)</f>
        <v>31.502349650031999</v>
      </c>
      <c r="Z21" s="485">
        <f>SUM(W21:Y21)</f>
        <v>50.730801304867015</v>
      </c>
      <c r="AA21" s="486">
        <f>D21-P21</f>
        <v>44.305156086420368</v>
      </c>
      <c r="AB21" s="451">
        <f>Z21-AA21</f>
        <v>6.4256452184466468</v>
      </c>
      <c r="AC21" s="146"/>
      <c r="AD21" s="465">
        <f t="shared" si="4"/>
        <v>94.294329754867036</v>
      </c>
      <c r="AE21" s="449">
        <f>AD21/E21-1</f>
        <v>-0.67849032345873983</v>
      </c>
      <c r="AF21" s="464">
        <f>AD21-D21</f>
        <v>-215.78746482989982</v>
      </c>
      <c r="AG21" s="146"/>
    </row>
    <row r="22" spans="1:33" hidden="1" outlineLevel="1">
      <c r="A22" s="383" t="s">
        <v>242</v>
      </c>
      <c r="C22" s="474" t="s">
        <v>234</v>
      </c>
      <c r="D22" s="478">
        <f>SUMIFS('Consol Pull'!$F:$F,'Consol Pull'!$A:$A,"Systems",'Consol Pull'!$B:$B,"WW",'Consol Pull'!$D:$D,"9op")+D14-'Consol Pull'!F110
-SUMIFS('Consol Pull'!$F:$F,'Consol Pull'!$A:$A,"Systems",'Consol Pull'!$B:$B,"Sum of Geos",'Consol Pull'!$D:$D,"9op")
+SUMIFS('Consol Pull'!$F:$F,'Consol Pull'!$A:$A,"M&amp;D OEM",'Consol Pull'!$B:$B,"Sum of Geos")
+SUMIFS('Consol Pull'!$F:$F,'Consol Pull'!$A:$A,"Storage OEM",'Consol Pull'!$B:$B,"TOP")
+SUM(D13,D15)</f>
        <v>113.46528053102749</v>
      </c>
      <c r="E22" s="479">
        <f>SUMIFS('Consol Pull'!$T:$T,'Consol Pull'!$A:$A,"Systems",'Consol Pull'!$B:$B,"WW",'Consol Pull'!$D:$D,"9op")
-SUMIFS('Consol Pull'!$T:$T,'Consol Pull'!$A:$A,"Systems",'Consol Pull'!$B:$B,"Sum of Geos",'Consol Pull'!$D:$D,"9op")
+SUMIFS('Consol Pull'!$T:$T,'Consol Pull'!$A:$A,"M&amp;D OEM",'Consol Pull'!$B:$B,"Sum of Geos")
+SUMIFS('Consol Pull'!$T:$T,'Consol Pull'!$A:$A,"Storage OEM",'Consol Pull'!$B:$B,"TOP")+12.74
+SUM(E13)+E14</f>
        <v>92.097483480000164</v>
      </c>
      <c r="F22" s="447">
        <f>+D22/E22-1</f>
        <v>0.23201282210569341</v>
      </c>
      <c r="G22" s="146"/>
      <c r="H22" s="478">
        <f>+H14</f>
        <v>5.5241985599999994</v>
      </c>
      <c r="I22" s="445"/>
      <c r="J22" s="485">
        <f>SUMIFS('FIRM Load Pull'!$Q:$Q,'FIRM Load Pull'!$A:$A,"GARS",'FIRM Load Pull'!$B:$B,$C$6)</f>
        <v>16.426108289999998</v>
      </c>
      <c r="K22" s="449"/>
      <c r="L22" s="485">
        <f>+L14</f>
        <v>5.5241985599999994</v>
      </c>
      <c r="M22" s="485">
        <f>+M14</f>
        <v>5.5241985599999994</v>
      </c>
      <c r="N22" s="485">
        <f>H22-L22</f>
        <v>0</v>
      </c>
      <c r="O22" s="451">
        <f>+H22-M22</f>
        <v>0</v>
      </c>
      <c r="P22" s="486">
        <f>+P14</f>
        <v>14.035644238337479</v>
      </c>
      <c r="Q22" s="485">
        <f>H22-P22</f>
        <v>-8.5114456783374806</v>
      </c>
      <c r="R22" s="485">
        <f>R14</f>
        <v>14.035644238337479</v>
      </c>
      <c r="S22" s="451"/>
      <c r="T22" s="485"/>
      <c r="U22" s="487"/>
      <c r="V22" s="146"/>
      <c r="W22" s="493">
        <f>SUMIFS('Stream Pull'!F:F,'Stream Pull'!A:A,$A$22,'Stream Pull'!B:B,$C$22)</f>
        <v>0</v>
      </c>
      <c r="X22" s="493">
        <f>X12</f>
        <v>39.879982899999987</v>
      </c>
      <c r="Y22" s="451">
        <f>'Stream Pull'!M106</f>
        <v>16.5</v>
      </c>
      <c r="Z22" s="485">
        <f>SUM(W22:Y22)</f>
        <v>56.379982899999987</v>
      </c>
      <c r="AA22" s="486">
        <f>D22-P22</f>
        <v>99.429636292690006</v>
      </c>
      <c r="AB22" s="450">
        <f>Z22-AA22</f>
        <v>-43.049653392690018</v>
      </c>
      <c r="AC22" s="146"/>
      <c r="AD22" s="494">
        <f>H22+Z22</f>
        <v>61.90418145999999</v>
      </c>
      <c r="AE22" s="449">
        <f>AD22/E22-1</f>
        <v>-0.32784068444776704</v>
      </c>
      <c r="AF22" s="464">
        <f>AD22-D22</f>
        <v>-51.561099071027499</v>
      </c>
      <c r="AG22" s="146"/>
    </row>
    <row r="23" spans="1:33" hidden="1" outlineLevel="1">
      <c r="C23" s="231" t="s">
        <v>227</v>
      </c>
      <c r="D23" s="233">
        <f>D9-SUM(D18:D22)</f>
        <v>0</v>
      </c>
      <c r="E23" s="233">
        <f>E9-SUM(E18:E22)</f>
        <v>-3.2553199985159154E-3</v>
      </c>
      <c r="F23" s="232"/>
      <c r="G23" s="230"/>
      <c r="H23" s="233">
        <f>H9-SUM(H18:H22)</f>
        <v>0</v>
      </c>
      <c r="I23" s="233">
        <f>I9-SUM(I18:I22)</f>
        <v>0</v>
      </c>
      <c r="J23" s="233">
        <f>J9-SUM(J18:J22)</f>
        <v>0</v>
      </c>
      <c r="K23" s="233"/>
      <c r="L23" s="233">
        <f>L9-SUM(L18:L22)</f>
        <v>0</v>
      </c>
      <c r="M23" s="233">
        <f>M9-SUM(M18:M22)</f>
        <v>0</v>
      </c>
      <c r="N23" s="233">
        <f t="shared" ref="N23:U23" si="5">N9-SUM(N18:N22)</f>
        <v>-4.2632564145606011E-14</v>
      </c>
      <c r="O23" s="233">
        <f t="shared" si="5"/>
        <v>0</v>
      </c>
      <c r="P23" s="234">
        <f>P9-SUM(P18:P22)</f>
        <v>1.55586166329158E-4</v>
      </c>
      <c r="Q23" s="233">
        <f>Q9-SUM(Q18:Q22)</f>
        <v>-1.5558616723865271E-4</v>
      </c>
      <c r="R23" s="233">
        <f>R9-SUM(R18:R22)</f>
        <v>0</v>
      </c>
      <c r="S23" s="233">
        <f>S9-SUM(S18:S22)</f>
        <v>-3.694822225952521E-13</v>
      </c>
      <c r="T23" s="233">
        <f t="shared" si="5"/>
        <v>0</v>
      </c>
      <c r="U23" s="233">
        <f t="shared" si="5"/>
        <v>0</v>
      </c>
      <c r="V23" s="230"/>
      <c r="W23" s="233">
        <f>W9-SUM(W18:W22)</f>
        <v>0</v>
      </c>
      <c r="X23" s="233">
        <f>X9-SUM(X18:X22)</f>
        <v>0</v>
      </c>
      <c r="Y23" s="233">
        <f>Y9-SUM(Y18:Y22)</f>
        <v>0</v>
      </c>
      <c r="Z23" s="233">
        <f>Z9-SUM(Z18:Z22)</f>
        <v>0</v>
      </c>
      <c r="AA23" s="234">
        <f>AA9-SUM(AA18:AA22)</f>
        <v>-1.5558616678390536E-4</v>
      </c>
      <c r="AB23" s="233">
        <f>AB9-SUM(AB18:AB22)</f>
        <v>1.5558616687627591E-4</v>
      </c>
      <c r="AC23" s="230"/>
      <c r="AD23" s="233">
        <f>AD9-SUM(AD18:AD22)</f>
        <v>0</v>
      </c>
      <c r="AE23" s="233"/>
      <c r="AF23" s="233">
        <f>AF9-SUM(AF18:AF22)</f>
        <v>0</v>
      </c>
      <c r="AG23" s="230"/>
    </row>
    <row r="24" spans="1:33" hidden="1" outlineLevel="1">
      <c r="C24" t="s">
        <v>333</v>
      </c>
      <c r="D24" s="279">
        <f>+SUM(D13:D14,D15)</f>
        <v>73.224431704860578</v>
      </c>
      <c r="E24" s="279">
        <f>+SUM(E13:E14)</f>
        <v>32.953725630000001</v>
      </c>
      <c r="F24" s="166"/>
      <c r="S24" s="301"/>
    </row>
    <row r="25" spans="1:33" ht="15.6" hidden="1" outlineLevel="1">
      <c r="A25" s="383" t="s">
        <v>242</v>
      </c>
      <c r="B25" s="383" t="s">
        <v>164</v>
      </c>
      <c r="C25" t="s">
        <v>272</v>
      </c>
      <c r="D25" s="279">
        <f>SUMIFS('Consol Pull'!$F:$F,'Consol Pull'!$A:$A,$A25,'Consol Pull'!$B:$B,$B25)</f>
        <v>41.940155586166902</v>
      </c>
      <c r="E25" s="279">
        <f>SUMIFS('Consol Pull'!$T:$T,'Consol Pull'!$A:$A,$A25,'Consol Pull'!$B:$B,$B25)</f>
        <v>29.92871392</v>
      </c>
      <c r="H25" s="437"/>
      <c r="L25" s="390"/>
      <c r="S25" s="301"/>
    </row>
    <row r="26" spans="1:33" hidden="1" outlineLevel="1">
      <c r="A26" s="381" t="s">
        <v>242</v>
      </c>
      <c r="B26" s="381" t="s">
        <v>265</v>
      </c>
      <c r="C26" t="s">
        <v>265</v>
      </c>
      <c r="D26" s="279">
        <f>SUMIFS('Consol Pull'!$F:$F,'Consol Pull'!$A:$A,$A26,'Consol Pull'!$B:$B,$B26)</f>
        <v>0</v>
      </c>
      <c r="E26" s="279">
        <f>SUMIFS('Consol Pull'!$T:$T,'Consol Pull'!$A:$A,$A26,'Consol Pull'!$B:$B,$B26)</f>
        <v>-10.515254990000001</v>
      </c>
      <c r="H26" s="437"/>
      <c r="J26" s="168"/>
      <c r="L26" s="391"/>
      <c r="AF26" s="394"/>
    </row>
    <row r="27" spans="1:33" ht="15.6" hidden="1" outlineLevel="1">
      <c r="A27" s="381" t="s">
        <v>230</v>
      </c>
      <c r="B27" s="383" t="s">
        <v>164</v>
      </c>
      <c r="C27" t="s">
        <v>273</v>
      </c>
      <c r="D27" s="279">
        <f>SUMIFS('Consol Pull'!$F:$F,'Consol Pull'!$A:$A,$A27,'Consol Pull'!$B:$B,$B27)</f>
        <v>0</v>
      </c>
      <c r="E27" s="279">
        <f>SUMIFS('Consol Pull'!$T:$T,'Consol Pull'!$A:$A,$A27,'Consol Pull'!$B:$B,$B27)</f>
        <v>16.733294000000001</v>
      </c>
      <c r="H27" s="437"/>
      <c r="L27" s="392"/>
      <c r="AF27" s="56"/>
    </row>
    <row r="28" spans="1:33" ht="15.6" hidden="1" outlineLevel="1">
      <c r="A28" s="381" t="s">
        <v>259</v>
      </c>
      <c r="B28" s="383" t="s">
        <v>243</v>
      </c>
      <c r="C28" t="s">
        <v>274</v>
      </c>
      <c r="D28" s="279">
        <f>+SUMIFS('Consol Pull'!$F:$F,'Consol Pull'!$A:$A,"M&amp;D OEM",'Consol Pull'!$B:$B,"Sum of Geos")</f>
        <v>0</v>
      </c>
      <c r="E28" s="283">
        <f>+SUMIFS('Consol Pull'!$T:$T,'Consol Pull'!$A:$A,"M&amp;D OEM",'Consol Pull'!$B:$B,"Sum of Geos")</f>
        <v>10.25700492</v>
      </c>
      <c r="H28" s="437"/>
      <c r="L28" s="393"/>
    </row>
    <row r="29" spans="1:33" ht="15.6" hidden="1" outlineLevel="1">
      <c r="C29" t="s">
        <v>264</v>
      </c>
      <c r="D29" s="336">
        <f>+D22-D24-D25-D26-D27-D28</f>
        <v>-1.6993067599999918</v>
      </c>
      <c r="E29" s="336">
        <f>+E22-E24-E25-E26-E27-E28</f>
        <v>12.740000000000165</v>
      </c>
      <c r="H29" s="437"/>
      <c r="L29" s="393"/>
    </row>
    <row r="30" spans="1:33" ht="15.6" hidden="1" outlineLevel="1">
      <c r="E30" s="209"/>
      <c r="H30" s="437"/>
      <c r="L30" s="393"/>
      <c r="N30" s="428"/>
    </row>
    <row r="31" spans="1:33" ht="15.6" hidden="1" outlineLevel="1">
      <c r="N31" s="428"/>
    </row>
    <row r="32" spans="1:33" collapsed="1"/>
    <row r="33" spans="1:33" hidden="1" outlineLevel="1"/>
    <row r="34" spans="1:33" hidden="1" outlineLevel="1"/>
    <row r="35" spans="1:33" hidden="1" outlineLevel="1"/>
    <row r="36" spans="1:33" hidden="1" outlineLevel="1"/>
    <row r="37" spans="1:33" hidden="1" outlineLevel="1"/>
    <row r="38" spans="1:33" hidden="1" outlineLevel="1"/>
    <row r="39" spans="1:33" hidden="1" outlineLevel="1"/>
    <row r="40" spans="1:33" hidden="1" outlineLevel="1"/>
    <row r="41" spans="1:33" hidden="1" outlineLevel="1"/>
    <row r="42" spans="1:33" hidden="1" outlineLevel="1"/>
    <row r="43" spans="1:33" hidden="1" outlineLevel="1"/>
    <row r="44" spans="1:33" hidden="1" outlineLevel="1"/>
    <row r="45" spans="1:33" s="325" customFormat="1" collapsed="1">
      <c r="A45" s="381"/>
      <c r="B45" s="381"/>
      <c r="D45" s="325" t="s">
        <v>287</v>
      </c>
      <c r="E45" s="325" t="s">
        <v>314</v>
      </c>
      <c r="H45" s="325" t="s">
        <v>316</v>
      </c>
      <c r="J45" s="325" t="s">
        <v>315</v>
      </c>
      <c r="L45" s="325" t="s">
        <v>289</v>
      </c>
      <c r="M45" s="325" t="s">
        <v>317</v>
      </c>
      <c r="P45" s="325" t="s">
        <v>162</v>
      </c>
      <c r="W45" s="325" t="s">
        <v>290</v>
      </c>
      <c r="Y45" s="325" t="s">
        <v>318</v>
      </c>
    </row>
    <row r="46" spans="1:33" ht="30" customHeight="1">
      <c r="C46" s="595" t="s">
        <v>13</v>
      </c>
      <c r="D46" s="530" t="s">
        <v>52</v>
      </c>
      <c r="E46" s="530"/>
      <c r="F46" s="530"/>
      <c r="G46" s="2"/>
      <c r="H46" s="530" t="s">
        <v>61</v>
      </c>
      <c r="I46" s="530"/>
      <c r="J46" s="530"/>
      <c r="K46" s="530"/>
      <c r="L46" s="530"/>
      <c r="M46" s="530"/>
      <c r="N46" s="530"/>
      <c r="O46" s="530"/>
      <c r="P46" s="530"/>
      <c r="Q46" s="530"/>
      <c r="R46" s="530"/>
      <c r="S46" s="530"/>
      <c r="T46" s="530"/>
      <c r="U46" s="530"/>
      <c r="V46" s="2"/>
      <c r="W46" s="531" t="s">
        <v>65</v>
      </c>
      <c r="X46" s="532"/>
      <c r="Y46" s="532"/>
      <c r="Z46" s="532"/>
      <c r="AA46" s="532"/>
      <c r="AB46" s="533"/>
      <c r="AC46" s="2"/>
      <c r="AD46" s="534" t="s">
        <v>324</v>
      </c>
      <c r="AE46" s="535"/>
      <c r="AF46" s="536"/>
      <c r="AG46" s="2"/>
    </row>
    <row r="47" spans="1:33" ht="53.4" customHeight="1">
      <c r="C47" s="574" t="s">
        <v>3</v>
      </c>
      <c r="D47" s="529" t="str">
        <f>INPUT!$B$4</f>
        <v>NovQTD</v>
      </c>
      <c r="E47" s="529"/>
      <c r="F47" s="529" t="s">
        <v>53</v>
      </c>
      <c r="G47" s="161"/>
      <c r="H47" s="442" t="s">
        <v>62</v>
      </c>
      <c r="I47" s="442" t="s">
        <v>418</v>
      </c>
      <c r="J47" s="442" t="s">
        <v>46</v>
      </c>
      <c r="K47" s="442" t="s">
        <v>53</v>
      </c>
      <c r="L47" s="442" t="s">
        <v>281</v>
      </c>
      <c r="M47" s="442" t="s">
        <v>282</v>
      </c>
      <c r="N47" s="442" t="s">
        <v>5</v>
      </c>
      <c r="O47" s="442" t="s">
        <v>215</v>
      </c>
      <c r="P47" s="442" t="s">
        <v>229</v>
      </c>
      <c r="Q47" s="442" t="s">
        <v>216</v>
      </c>
      <c r="R47" s="442" t="str">
        <f>CONCATENATE("Track ", +'Tracks Pull'!E12)</f>
        <v>Track WK7</v>
      </c>
      <c r="S47" s="442" t="s">
        <v>201</v>
      </c>
      <c r="T47" s="442" t="str">
        <f xml:space="preserve"> +'Tracks Pull'!G12</f>
        <v>WtW</v>
      </c>
      <c r="U47" s="442" t="s">
        <v>63</v>
      </c>
      <c r="V47" s="161"/>
      <c r="W47" s="442" t="s">
        <v>1176</v>
      </c>
      <c r="X47" s="442" t="s">
        <v>1177</v>
      </c>
      <c r="Y47" s="442" t="s">
        <v>223</v>
      </c>
      <c r="Z47" s="442" t="s">
        <v>225</v>
      </c>
      <c r="AA47" s="442" t="s">
        <v>244</v>
      </c>
      <c r="AB47" s="442" t="s">
        <v>66</v>
      </c>
      <c r="AC47" s="161"/>
      <c r="AD47" s="441" t="s">
        <v>1178</v>
      </c>
      <c r="AE47" s="441" t="s">
        <v>53</v>
      </c>
      <c r="AF47" s="441" t="s">
        <v>216</v>
      </c>
      <c r="AG47" s="161"/>
    </row>
    <row r="48" spans="1:33" hidden="1">
      <c r="C48" s="41"/>
      <c r="D48" s="42"/>
      <c r="E48" s="42"/>
      <c r="F48" s="43"/>
      <c r="G48" s="2"/>
      <c r="H48" s="47"/>
      <c r="I48" s="47"/>
      <c r="J48" s="47"/>
      <c r="K48" s="43"/>
      <c r="L48" s="43"/>
      <c r="M48" s="43"/>
      <c r="N48" s="47"/>
      <c r="O48" s="47"/>
      <c r="P48" s="215"/>
      <c r="Q48" s="47"/>
      <c r="R48" s="47"/>
      <c r="S48" s="47"/>
      <c r="T48" s="47"/>
      <c r="U48" s="47"/>
      <c r="V48" s="2"/>
      <c r="W48" s="47"/>
      <c r="X48" s="47"/>
      <c r="Y48" s="47"/>
      <c r="Z48" s="47"/>
      <c r="AA48" s="215"/>
      <c r="AB48" s="47"/>
      <c r="AC48" s="2"/>
      <c r="AD48" s="47"/>
      <c r="AF48" s="47"/>
      <c r="AG48" s="2"/>
    </row>
    <row r="49" spans="1:34" s="462" customFormat="1" ht="18.600000000000001" customHeight="1">
      <c r="A49" s="455"/>
      <c r="B49" s="455"/>
      <c r="C49" s="456" t="s">
        <v>245</v>
      </c>
      <c r="D49" s="457">
        <f>SUM(D50:D55)</f>
        <v>622.3884485518862</v>
      </c>
      <c r="E49" s="457">
        <f>SUM(E50:E55)</f>
        <v>635.99271056000032</v>
      </c>
      <c r="F49" s="458">
        <f t="shared" ref="F49:F55" si="6">+D49/E49-1</f>
        <v>-2.1390594235168758E-2</v>
      </c>
      <c r="G49" s="459"/>
      <c r="H49" s="457">
        <f>SUM(H50:H55)</f>
        <v>326.86944344080007</v>
      </c>
      <c r="I49" s="457">
        <f>SUM(I50:I55)</f>
        <v>255.74594098409983</v>
      </c>
      <c r="J49" s="460">
        <f>SUM(J50:J55)</f>
        <v>211.41490141530011</v>
      </c>
      <c r="K49" s="458">
        <f>H49/J49-1</f>
        <v>0.54610408846584968</v>
      </c>
      <c r="L49" s="457">
        <f t="shared" ref="L49:R49" si="7">SUM(L50:L55)</f>
        <v>304.00238112869999</v>
      </c>
      <c r="M49" s="457">
        <f t="shared" si="7"/>
        <v>301.65465928839996</v>
      </c>
      <c r="N49" s="460">
        <f t="shared" si="7"/>
        <v>22.867062312100032</v>
      </c>
      <c r="O49" s="460">
        <f>SUM(O50:O55)</f>
        <v>25.214784152400071</v>
      </c>
      <c r="P49" s="457">
        <f t="shared" si="7"/>
        <v>329.3815989936985</v>
      </c>
      <c r="Q49" s="460">
        <f t="shared" si="7"/>
        <v>-2.5121555528984443</v>
      </c>
      <c r="R49" s="460">
        <f t="shared" si="7"/>
        <v>666.08143288303938</v>
      </c>
      <c r="S49" s="460">
        <f>SUM(S50:S54)</f>
        <v>-339.21198944223931</v>
      </c>
      <c r="T49" s="460">
        <f>SUM(T50:T55)</f>
        <v>128.13558719113789</v>
      </c>
      <c r="U49" s="460">
        <f>SUM(U50:U55)</f>
        <v>-102.92080303873782</v>
      </c>
      <c r="V49" s="461"/>
      <c r="W49" s="460">
        <f>SUM(W50:W54)</f>
        <v>15.08301356639649</v>
      </c>
      <c r="X49" s="460">
        <f>SUM(X50:X54)</f>
        <v>157.72681602584015</v>
      </c>
      <c r="Y49" s="460">
        <f>SUM(Y50:Y54)</f>
        <v>259.95652716059095</v>
      </c>
      <c r="Z49" s="460">
        <f>SUM(Z50:Z54)</f>
        <v>432.76635675282756</v>
      </c>
      <c r="AA49" s="457">
        <f>SUM(AA50:AA55)</f>
        <v>286.77831061130405</v>
      </c>
      <c r="AB49" s="460">
        <f>SUM(AB50:AB55)</f>
        <v>145.98804614152348</v>
      </c>
      <c r="AC49" s="459"/>
      <c r="AD49" s="460">
        <f>SUM(AD50:AD55)</f>
        <v>759.63580019362757</v>
      </c>
      <c r="AE49" s="458">
        <f>AD49/E49-1</f>
        <v>0.19440960184081013</v>
      </c>
      <c r="AF49" s="460">
        <f>SUM(AF50:AF55)</f>
        <v>143.47589058862499</v>
      </c>
      <c r="AG49" s="459"/>
    </row>
    <row r="50" spans="1:34" ht="18.600000000000001" customHeight="1">
      <c r="A50" s="382" t="s">
        <v>11</v>
      </c>
      <c r="B50" s="385"/>
      <c r="C50" s="438" t="s">
        <v>54</v>
      </c>
      <c r="D50" s="444">
        <f>SUMIFS('Consol Pull'!$M:$M,'Consol Pull'!$A:$A,$A50,'Consol Pull'!$B:$B,$C$6)</f>
        <v>214.3442265261003</v>
      </c>
      <c r="E50" s="225">
        <f>SUMIFS('Consol Pull'!$AA:$AA,'Consol Pull'!$A:$A,$A50,'Consol Pull'!$B:$B,$C$6)</f>
        <v>223.94316436000017</v>
      </c>
      <c r="F50" s="446">
        <f t="shared" si="6"/>
        <v>-4.2863276766372249E-2</v>
      </c>
      <c r="G50" s="146"/>
      <c r="H50" s="444">
        <f>SUMIFS('FIRM Load Pull'!$K:$K,'FIRM Load Pull'!$A:$A,$A50,'FIRM Load Pull'!$B:$B,$C$6)</f>
        <v>61.932787633000025</v>
      </c>
      <c r="I50" s="444">
        <f>SUMIFS('Ship Load Pull'!$H:$H,'Ship Load Pull'!$A:$A,$A50,'Ship Load Pull'!$B:$B,$C6)</f>
        <v>34.231828393000008</v>
      </c>
      <c r="J50" s="450">
        <f>SUMIFS('FIRM Load Pull'!$O:$O,'FIRM Load Pull'!$A:$A,$A50,'FIRM Load Pull'!$B:$B,$C$6)</f>
        <v>40.810043262999997</v>
      </c>
      <c r="K50" s="448">
        <f>H50/J50-1</f>
        <v>0.51758691442385074</v>
      </c>
      <c r="L50" s="450">
        <f>SUMIFS('FIRM Load Pull'!$L:$L,'FIRM Load Pull'!$A:$A,$A50,'FIRM Load Pull'!$B:$B,$C$6)</f>
        <v>41.901241433000003</v>
      </c>
      <c r="M50" s="450">
        <f>SUMIFS('FIRM Load Pull'!$M:$M,'FIRM Load Pull'!$A:$A,$A50,'FIRM Load Pull'!$B:$B,$C$6)</f>
        <v>33.812883123000013</v>
      </c>
      <c r="N50" s="450">
        <f>H50-L50</f>
        <v>20.031546200000022</v>
      </c>
      <c r="O50" s="450">
        <f>+H50-M50</f>
        <v>28.119904510000012</v>
      </c>
      <c r="P50" s="217">
        <f>SUMIFS('Consol Pull'!$N:$N,'Consol Pull'!$A:$A,$A50,'Consol Pull'!$B:$B,$C$6)</f>
        <v>65.657107217788962</v>
      </c>
      <c r="Q50" s="450">
        <f>H50-P50</f>
        <v>-3.7243195847889368</v>
      </c>
      <c r="R50" s="165">
        <f>SUMIFS('Tracks Pull'!$E:$E,'Tracks Pull'!$A:$A,$A50,'Tracks Pull'!$B:$B,$C$6)</f>
        <v>78.14430126553377</v>
      </c>
      <c r="S50" s="450">
        <f>H50-R50</f>
        <v>-16.211513632533745</v>
      </c>
      <c r="T50" s="165">
        <f>SUMIFS('Tracks Pull'!$G:$G,'Tracks Pull'!$A:$A,$A50,'Tracks Pull'!$B:$B,$C$6)</f>
        <v>6.2485134543119329</v>
      </c>
      <c r="U50" s="452">
        <f>O50-T50</f>
        <v>21.871391055688079</v>
      </c>
      <c r="V50" s="402"/>
      <c r="W50" s="450">
        <f>SUMIFS('Stream Pull'!O:O,'Stream Pull'!A:A,$A$50,'Stream Pull'!B:B,$C$6)</f>
        <v>1.0072507245983728</v>
      </c>
      <c r="X50" s="450">
        <f>SUMIFS('Stream Pull'!P:P,'Stream Pull'!A:A,$A$50,'Stream Pull'!B:B,$C$6)</f>
        <v>58.941317023842927</v>
      </c>
      <c r="Y50" s="450">
        <f>SUMIFS('Stream Pull'!Q:Q,'Stream Pull'!A:A,$A$50,'Stream Pull'!B:B,$C$6)</f>
        <v>157.03371818499997</v>
      </c>
      <c r="Z50" s="450">
        <f>SUM(W50:Y50)</f>
        <v>216.98228593344126</v>
      </c>
      <c r="AA50" s="217">
        <f>D50-P50</f>
        <v>148.68711930831134</v>
      </c>
      <c r="AB50" s="450">
        <f>Z50-AA50</f>
        <v>68.295166625129923</v>
      </c>
      <c r="AC50" s="146"/>
      <c r="AD50" s="450">
        <f t="shared" ref="AD50:AD54" si="8">H50+Z50</f>
        <v>278.91507356644127</v>
      </c>
      <c r="AE50" s="448">
        <f>AD50/E50-1</f>
        <v>0.24547259284981315</v>
      </c>
      <c r="AF50" s="450">
        <f>AD50-D50</f>
        <v>64.570847040340965</v>
      </c>
      <c r="AG50" s="402"/>
      <c r="AH50" s="209"/>
    </row>
    <row r="51" spans="1:34" ht="18.600000000000001" customHeight="1">
      <c r="A51" s="381" t="s">
        <v>191</v>
      </c>
      <c r="B51" s="386"/>
      <c r="C51" s="438" t="s">
        <v>55</v>
      </c>
      <c r="D51" s="444">
        <f>SUMIFS('Consol Pull'!$M:$M,'Consol Pull'!$A:$A,$A51,'Consol Pull'!$B:$B,$C$6)</f>
        <v>191.71785747223464</v>
      </c>
      <c r="E51" s="225">
        <f>SUMIFS('Consol Pull'!$AA:$AA,'Consol Pull'!$A:$A,$A51,'Consol Pull'!$B:$B,$C$6)</f>
        <v>206.01131834000014</v>
      </c>
      <c r="F51" s="446">
        <f t="shared" si="6"/>
        <v>-6.9381920289329102E-2</v>
      </c>
      <c r="G51" s="146"/>
      <c r="H51" s="444">
        <f>SUMIFS('FIRM Load Pull'!$K:$K,'FIRM Load Pull'!$A:$A,$A51,'FIRM Load Pull'!$B:$B,$C$6)</f>
        <v>67.451094152099984</v>
      </c>
      <c r="I51" s="444">
        <f>SUMIFS('Ship Load Pull'!$H:$H,'Ship Load Pull'!$A:$A,$A51,'Ship Load Pull'!$B:$B,$C6)</f>
        <v>62.466534951</v>
      </c>
      <c r="J51" s="450">
        <f>SUMIFS('FIRM Load Pull'!$O:$O,'FIRM Load Pull'!$A:$A,$A51,'FIRM Load Pull'!$B:$B,$C$6)</f>
        <v>57.05542093159999</v>
      </c>
      <c r="K51" s="448">
        <f>H51/J51-1</f>
        <v>0.18220307642568589</v>
      </c>
      <c r="L51" s="450">
        <f>SUMIFS('FIRM Load Pull'!$L:$L,'FIRM Load Pull'!$A:$A,$A51,'FIRM Load Pull'!$B:$B,$C$6)</f>
        <v>67.082303826900016</v>
      </c>
      <c r="M51" s="450">
        <f>SUMIFS('FIRM Load Pull'!$M:$M,'FIRM Load Pull'!$A:$A,$A51,'FIRM Load Pull'!$B:$B,$C$6)</f>
        <v>64.228394828100022</v>
      </c>
      <c r="N51" s="450">
        <f>H51-L51</f>
        <v>0.36879032519996713</v>
      </c>
      <c r="O51" s="450">
        <f>+H51-M51</f>
        <v>3.2226993239999615</v>
      </c>
      <c r="P51" s="217">
        <f>SUMIFS('Consol Pull'!$N:$N,'Consol Pull'!$A:$A,$A51,'Consol Pull'!$B:$B,$C$6)</f>
        <v>90.548501306059464</v>
      </c>
      <c r="Q51" s="450">
        <f>H51-P51</f>
        <v>-23.09740715395948</v>
      </c>
      <c r="R51" s="165">
        <f>SUMIFS('Tracks Pull'!$E:$E,'Tracks Pull'!$A:$A,$A51,'Tracks Pull'!$B:$B,$C$6)</f>
        <v>174.74552223544717</v>
      </c>
      <c r="S51" s="450">
        <f>H51-R51</f>
        <v>-107.29442808334719</v>
      </c>
      <c r="T51" s="165">
        <f>SUMIFS('Tracks Pull'!$G:$G,'Tracks Pull'!$A:$A,$A51,'Tracks Pull'!$B:$B,$C$6)</f>
        <v>39.714158180355327</v>
      </c>
      <c r="U51" s="452">
        <f>O51-T51</f>
        <v>-36.491458856355365</v>
      </c>
      <c r="V51" s="402"/>
      <c r="W51" s="450">
        <f>SUMIFS('Stream Pull'!O:O,'Stream Pull'!A:A,$A$51,'Stream Pull'!B:B,$C$6)</f>
        <v>14.195779941798126</v>
      </c>
      <c r="X51" s="450">
        <f>SUMIFS('Stream Pull'!P:P,'Stream Pull'!A:A,$A$51,'Stream Pull'!B:B,$C$6)</f>
        <v>58.905516101997222</v>
      </c>
      <c r="Y51" s="450">
        <f>SUMIFS('Stream Pull'!Q:Q,'Stream Pull'!A:A,$A$51,'Stream Pull'!B:B,$C$6)</f>
        <v>80.375683254999998</v>
      </c>
      <c r="Z51" s="450">
        <f t="shared" ref="Z51:Z53" si="9">SUM(W51:Y51)</f>
        <v>153.47697929879536</v>
      </c>
      <c r="AA51" s="217">
        <f>D51-P51</f>
        <v>101.16935616617518</v>
      </c>
      <c r="AB51" s="450">
        <f>Z51-AA51</f>
        <v>52.307623132620179</v>
      </c>
      <c r="AC51" s="146"/>
      <c r="AD51" s="450">
        <f t="shared" si="8"/>
        <v>220.92807345089534</v>
      </c>
      <c r="AE51" s="448">
        <f>AD51/E51-1</f>
        <v>7.2407454265579041E-2</v>
      </c>
      <c r="AF51" s="450">
        <f>AD51-D51</f>
        <v>29.210215978660699</v>
      </c>
      <c r="AG51" s="402"/>
      <c r="AH51" s="209"/>
    </row>
    <row r="52" spans="1:34" ht="18.600000000000001" customHeight="1">
      <c r="A52" s="381" t="s">
        <v>218</v>
      </c>
      <c r="C52" s="438" t="s">
        <v>56</v>
      </c>
      <c r="D52" s="444">
        <f>SUMIFS('Consol Pull'!$M:$M,'Consol Pull'!$A:$A,$A52,'Consol Pull'!$B:$B,$C$6)</f>
        <v>204.59883698485109</v>
      </c>
      <c r="E52" s="225">
        <f>SUMIFS('Consol Pull'!$AA:$AA,'Consol Pull'!$A:$A,$A52,'Consol Pull'!$B:$B,$C$6)</f>
        <v>189.68073092000006</v>
      </c>
      <c r="F52" s="446">
        <f t="shared" si="6"/>
        <v>7.8648505794417733E-2</v>
      </c>
      <c r="G52" s="146"/>
      <c r="H52" s="444">
        <f>SUMIFS('FIRM Load Pull'!$K:$K,'FIRM Load Pull'!$A:$A,$A52,'FIRM Load Pull'!$B:$B,$C$6)</f>
        <v>193.22002309570004</v>
      </c>
      <c r="I52" s="444">
        <f>SUMIFS('Ship Load Pull'!$H:$H,'Ship Load Pull'!$A:$A,$A52,'Ship Load Pull'!$B:$B,$C6)</f>
        <v>159.04757764009983</v>
      </c>
      <c r="J52" s="450">
        <f>SUMIFS('FIRM Load Pull'!$O:$O,'FIRM Load Pull'!$A:$A,$A52,'FIRM Load Pull'!$B:$B,$C$6)</f>
        <v>103.82560624070013</v>
      </c>
      <c r="K52" s="448">
        <f>H52/J52-1</f>
        <v>0.86100548883630679</v>
      </c>
      <c r="L52" s="450">
        <f>SUMIFS('FIRM Load Pull'!$L:$L,'FIRM Load Pull'!$A:$A,$A52,'FIRM Load Pull'!$B:$B,$C$6)</f>
        <v>190.7532973088</v>
      </c>
      <c r="M52" s="450">
        <f>SUMIFS('FIRM Load Pull'!$M:$M,'FIRM Load Pull'!$A:$A,$A52,'FIRM Load Pull'!$B:$B,$C$6)</f>
        <v>199.34784277729995</v>
      </c>
      <c r="N52" s="450">
        <f>H52-L52</f>
        <v>2.4667257869000423</v>
      </c>
      <c r="O52" s="450">
        <f>+H52-M52</f>
        <v>-6.1278196815999024</v>
      </c>
      <c r="P52" s="217">
        <f>SUMIFS('Consol Pull'!$N:$N,'Consol Pull'!$A:$A,"Storage",'Consol Pull'!$B:$B,"Sum of Geos",'Consol Pull'!$D:$D,"9op")</f>
        <v>167.67700184803351</v>
      </c>
      <c r="Q52" s="450">
        <f>H52-P52</f>
        <v>25.54302124766653</v>
      </c>
      <c r="R52" s="165">
        <f>SUMIFS('Tracks Pull'!$E:$E,'Tracks Pull'!$A:$A,$A52,'Tracks Pull'!$B:$B,$C$6)</f>
        <v>407.69262076024188</v>
      </c>
      <c r="S52" s="450">
        <f>H52-R52</f>
        <v>-214.47259766454184</v>
      </c>
      <c r="T52" s="165">
        <f>SUMIFS('Tracks Pull'!$G:$G,'Tracks Pull'!$A:$A,$A52,'Tracks Pull'!$B:$B,$C$6)</f>
        <v>82.172915556470628</v>
      </c>
      <c r="U52" s="452">
        <f>O52-T52</f>
        <v>-88.30073523807053</v>
      </c>
      <c r="V52" s="402"/>
      <c r="W52" s="450">
        <f>SUMIFS('Stream Pull'!O:O,'Stream Pull'!A:A,$A$52,'Stream Pull'!B:B,$C$6)</f>
        <v>-0.12001710000000901</v>
      </c>
      <c r="X52" s="450">
        <f>SUMIFS('Stream Pull'!F:F,'Stream Pull'!A:A,$A$52,'Stream Pull'!B:B,$C$6)</f>
        <v>39.879982899999987</v>
      </c>
      <c r="Y52" s="450">
        <f>SUMIFS('Stream Pull'!Q:Q,'Stream Pull'!A:A,$A$52,'Stream Pull'!B:B,$C$6)</f>
        <v>12.047125720590987</v>
      </c>
      <c r="Z52" s="450">
        <f t="shared" si="9"/>
        <v>51.807091520590959</v>
      </c>
      <c r="AA52" s="217">
        <f>D52-P52</f>
        <v>36.921835136817577</v>
      </c>
      <c r="AB52" s="450">
        <f>Z52-AA52</f>
        <v>14.885256383773381</v>
      </c>
      <c r="AC52" s="146"/>
      <c r="AD52" s="450">
        <f t="shared" si="8"/>
        <v>245.02711461629099</v>
      </c>
      <c r="AE52" s="448">
        <f>AD52/E52-1</f>
        <v>0.29178706465251802</v>
      </c>
      <c r="AF52" s="450">
        <f>AD52-D52</f>
        <v>40.428277631439897</v>
      </c>
      <c r="AG52" s="402"/>
      <c r="AH52" s="209"/>
    </row>
    <row r="53" spans="1:34" ht="18.600000000000001" customHeight="1">
      <c r="A53" s="381" t="s">
        <v>57</v>
      </c>
      <c r="C53" s="438" t="s">
        <v>57</v>
      </c>
      <c r="D53" s="444">
        <f>SUMIFS('Consol Pull'!$M:$M,'Consol Pull'!$A:$A,$A53,'Consol Pull'!$B:$B,$C$6)</f>
        <v>0</v>
      </c>
      <c r="E53" s="225">
        <f>SUMIFS('Consol Pull'!$AA:$AA,'Consol Pull'!$A:$A,$A53,'Consol Pull'!$B:$B,$C$6)</f>
        <v>7.5307850299999988</v>
      </c>
      <c r="F53" s="446">
        <f t="shared" si="6"/>
        <v>-1</v>
      </c>
      <c r="G53" s="146"/>
      <c r="H53" s="444"/>
      <c r="I53" s="444"/>
      <c r="J53" s="450"/>
      <c r="K53" s="448"/>
      <c r="L53" s="450"/>
      <c r="M53" s="450"/>
      <c r="N53" s="450"/>
      <c r="O53" s="450"/>
      <c r="P53" s="217"/>
      <c r="Q53" s="450"/>
      <c r="R53" s="165"/>
      <c r="S53" s="450"/>
      <c r="T53" s="165"/>
      <c r="U53" s="452"/>
      <c r="V53" s="402"/>
      <c r="W53" s="450"/>
      <c r="X53" s="450"/>
      <c r="Y53" s="450">
        <f>'Stream Pull'!N106</f>
        <v>10.5</v>
      </c>
      <c r="Z53" s="450">
        <f t="shared" si="9"/>
        <v>10.5</v>
      </c>
      <c r="AA53" s="217">
        <f>D53-P53</f>
        <v>0</v>
      </c>
      <c r="AB53" s="450">
        <f>Z53-AA53</f>
        <v>10.5</v>
      </c>
      <c r="AC53" s="146"/>
      <c r="AD53" s="450">
        <f t="shared" si="8"/>
        <v>10.5</v>
      </c>
      <c r="AE53" s="448">
        <f>AD53/E53-1</f>
        <v>0.39427695229271498</v>
      </c>
      <c r="AF53" s="450">
        <f>AD53-D53</f>
        <v>10.5</v>
      </c>
      <c r="AG53" s="146"/>
      <c r="AH53" s="303"/>
    </row>
    <row r="54" spans="1:34" ht="18.600000000000001" customHeight="1">
      <c r="A54" s="381" t="s">
        <v>39</v>
      </c>
      <c r="C54" s="439" t="s">
        <v>39</v>
      </c>
      <c r="D54" s="445">
        <f>SUMIFS('Consol Pull'!$M:$M,'Consol Pull'!$A:$A,$A54,'Consol Pull'!$B:$B,$C$6)</f>
        <v>5.4989886218165571</v>
      </c>
      <c r="E54" s="445">
        <f>SUMIFS('Consol Pull'!$AA:$AA,'Consol Pull'!$A:$A,$A54,'Consol Pull'!$B:$B,$C$6)</f>
        <v>4.5561460599999997</v>
      </c>
      <c r="F54" s="447">
        <f t="shared" si="6"/>
        <v>0.20693861640962341</v>
      </c>
      <c r="G54" s="146"/>
      <c r="H54" s="445">
        <f>SUMIFS('FIRM Load Pull'!$K:$K,'FIRM Load Pull'!$A:$A,$A54,'FIRM Load Pull'!$B:$B,$C$6)</f>
        <v>4.2655385599999995</v>
      </c>
      <c r="I54" s="445">
        <f>SUMIFS('Ship Load Pull'!$H:$H,'Ship Load Pull'!$A:$A,$A54,'Ship Load Pull'!$B:$B,$C6)</f>
        <v>0</v>
      </c>
      <c r="J54" s="445">
        <f>SUMIFS('FIRM Load Pull'!$O:$O,'FIRM Load Pull'!$A:$A,$A54,'FIRM Load Pull'!$B:$B,$C$6)</f>
        <v>9.7238309799999989</v>
      </c>
      <c r="K54" s="449">
        <f>H54/J54-1</f>
        <v>-0.56133147842929698</v>
      </c>
      <c r="L54" s="451">
        <f>SUMIFS('FIRM Load Pull'!$L:$L,'FIRM Load Pull'!$A:$A,$A54,'FIRM Load Pull'!$B:$B,$C$6)</f>
        <v>4.2655385599999995</v>
      </c>
      <c r="M54" s="451">
        <f>SUMIFS('FIRM Load Pull'!$M:$M,'FIRM Load Pull'!$A:$A,$A54,'FIRM Load Pull'!$B:$B,$C$6)</f>
        <v>4.2655385599999995</v>
      </c>
      <c r="N54" s="451">
        <f>H54-L54</f>
        <v>0</v>
      </c>
      <c r="O54" s="451">
        <f>+H54-M54</f>
        <v>0</v>
      </c>
      <c r="P54" s="622">
        <f>SUMIFS('Consol Pull'!$N:$N,'Consol Pull'!$A:$A,$A54,'Consol Pull'!$B:$B,$C$6)</f>
        <v>5.4989886218165571</v>
      </c>
      <c r="Q54" s="451">
        <f>H54-P54</f>
        <v>-1.2334500618165576</v>
      </c>
      <c r="R54" s="451">
        <f>P54</f>
        <v>5.4989886218165571</v>
      </c>
      <c r="S54" s="451">
        <f>H54-R54</f>
        <v>-1.2334500618165576</v>
      </c>
      <c r="T54" s="451"/>
      <c r="U54" s="453"/>
      <c r="V54" s="402"/>
      <c r="W54" s="451"/>
      <c r="X54" s="451"/>
      <c r="Y54" s="451"/>
      <c r="Z54" s="451"/>
      <c r="AA54" s="622">
        <f>D54-P54</f>
        <v>0</v>
      </c>
      <c r="AB54" s="451"/>
      <c r="AC54" s="146"/>
      <c r="AD54" s="451">
        <f t="shared" si="8"/>
        <v>4.2655385599999995</v>
      </c>
      <c r="AE54" s="449">
        <f>AD54/E54-1</f>
        <v>-6.3783622424080089E-2</v>
      </c>
      <c r="AF54" s="451">
        <f>AD54-D54</f>
        <v>-1.2334500618165576</v>
      </c>
      <c r="AG54" s="146"/>
      <c r="AH54" s="303"/>
    </row>
    <row r="55" spans="1:34" ht="13.8" hidden="1" customHeight="1" outlineLevel="1">
      <c r="A55" s="381" t="s">
        <v>239</v>
      </c>
      <c r="C55" s="40" t="s">
        <v>268</v>
      </c>
      <c r="D55" s="280">
        <f>SUMIFS('Consol Pull'!$M:$M,'Consol Pull'!$A:$A,$A55,'Consol Pull'!$B:$B,$C$6)</f>
        <v>6.2285389468835461</v>
      </c>
      <c r="E55" s="225">
        <f>SUMIFS('Consol Pull'!$AA:$AA,'Consol Pull'!$A:$A,$A55,'Consol Pull'!$B:$B,$C$6)</f>
        <v>4.2705658499999997</v>
      </c>
      <c r="F55" s="443">
        <f t="shared" si="6"/>
        <v>0.4584809520929285</v>
      </c>
      <c r="G55" s="146"/>
      <c r="H55" s="225"/>
      <c r="I55" s="225"/>
      <c r="J55" s="165"/>
      <c r="K55" s="165"/>
      <c r="L55" s="166"/>
      <c r="M55" s="166"/>
      <c r="N55" s="165"/>
      <c r="O55" s="165"/>
      <c r="P55" s="165"/>
      <c r="Q55" s="165"/>
      <c r="R55" s="165"/>
      <c r="S55" s="165"/>
      <c r="T55" s="165"/>
      <c r="U55" s="164"/>
      <c r="V55" s="146"/>
      <c r="W55" s="165"/>
      <c r="X55" s="165"/>
      <c r="Y55" s="164"/>
      <c r="Z55" s="164"/>
      <c r="AA55" s="164"/>
      <c r="AB55" s="164"/>
      <c r="AC55" s="164"/>
      <c r="AD55" s="164"/>
      <c r="AE55" s="164"/>
      <c r="AF55" s="164"/>
      <c r="AG55" s="164"/>
      <c r="AH55" s="303"/>
    </row>
    <row r="56" spans="1:34" ht="8.25" customHeight="1" collapsed="1">
      <c r="C56" s="45"/>
      <c r="D56" s="225"/>
      <c r="E56" s="225"/>
      <c r="F56" s="166"/>
      <c r="G56" s="146"/>
      <c r="H56" s="165"/>
      <c r="I56" s="165"/>
      <c r="J56" s="165"/>
      <c r="K56" s="165"/>
      <c r="L56" s="165"/>
      <c r="M56" s="165"/>
      <c r="N56" s="165"/>
      <c r="O56" s="165"/>
      <c r="P56" s="165"/>
      <c r="Q56" s="165"/>
      <c r="R56" s="165"/>
      <c r="S56" s="165"/>
      <c r="T56" s="165"/>
      <c r="U56" s="164"/>
      <c r="V56" s="146"/>
      <c r="W56" s="227"/>
      <c r="X56" s="227"/>
      <c r="Y56" s="227"/>
      <c r="Z56" s="227"/>
      <c r="AA56" s="217"/>
      <c r="AB56" s="227"/>
      <c r="AC56" s="146"/>
      <c r="AD56" s="227"/>
      <c r="AE56" s="227"/>
      <c r="AF56" s="228"/>
      <c r="AG56" s="146"/>
    </row>
    <row r="57" spans="1:34" ht="16.2" customHeight="1">
      <c r="C57" s="46" t="s">
        <v>228</v>
      </c>
      <c r="D57" s="225"/>
      <c r="E57" s="225"/>
      <c r="F57" s="166"/>
      <c r="G57" s="146"/>
      <c r="H57" s="225"/>
      <c r="I57" s="479"/>
      <c r="J57" s="225"/>
      <c r="K57" s="225"/>
      <c r="L57" s="225"/>
      <c r="M57" s="225"/>
      <c r="N57" s="225"/>
      <c r="O57" s="225"/>
      <c r="P57" s="225"/>
      <c r="Q57" s="165"/>
      <c r="R57" s="165"/>
      <c r="S57" s="165"/>
      <c r="T57" s="165"/>
      <c r="U57" s="164"/>
      <c r="V57" s="146"/>
      <c r="W57" s="225"/>
      <c r="X57" s="225"/>
      <c r="Y57" s="225"/>
      <c r="Z57" s="225"/>
      <c r="AA57" s="226"/>
      <c r="AB57" s="225"/>
      <c r="AC57" s="146"/>
      <c r="AD57" s="225"/>
      <c r="AE57" s="225"/>
      <c r="AF57" s="165"/>
      <c r="AG57" s="146"/>
    </row>
    <row r="58" spans="1:34" ht="16.2" customHeight="1">
      <c r="A58" s="383" t="s">
        <v>242</v>
      </c>
      <c r="C58" s="472" t="s">
        <v>58</v>
      </c>
      <c r="D58" s="475">
        <f>SUMIFS('Consol Pull'!$M:$M,'Consol Pull'!$A:$A,$A58,'Consol Pull'!$B:$B,$C58)</f>
        <v>244.18439370704485</v>
      </c>
      <c r="E58" s="476">
        <f>SUMIFS('Consol Pull'!$AA:$AA,'Consol Pull'!$A:$A,$A58,'Consol Pull'!$B:$B,$C58)</f>
        <v>243.69497158000016</v>
      </c>
      <c r="F58" s="480">
        <f>+D58/E58-1</f>
        <v>2.0083390472585005E-3</v>
      </c>
      <c r="G58" s="146"/>
      <c r="H58" s="475">
        <f>SUMIFS('FIRM Load Pull'!$K:$K,'FIRM Load Pull'!$A:$A,$A58,'FIRM Load Pull'!$B:$B,$C58)</f>
        <v>147.2328487617001</v>
      </c>
      <c r="I58" s="444">
        <f>SUMIFS('Ship Load Pull'!$H:$H,'Ship Load Pull'!$A:$A,$A58,'Ship Load Pull'!$B:$B,$C58)</f>
        <v>108.82447709600001</v>
      </c>
      <c r="J58" s="481">
        <f>SUMIFS('FIRM Load Pull'!$O:$O,'FIRM Load Pull'!$A:$A,$A58,'FIRM Load Pull'!$B:$B,$C58)</f>
        <v>67.235771172999975</v>
      </c>
      <c r="K58" s="489">
        <f>H58/J58-1</f>
        <v>1.1897993611594764</v>
      </c>
      <c r="L58" s="481">
        <f>SUMIFS('FIRM Load Pull'!$L:$L,'FIRM Load Pull'!$A:$A,$A58,'FIRM Load Pull'!$B:$B,$C58)</f>
        <v>126.92222012440007</v>
      </c>
      <c r="M58" s="481">
        <f>SUMIFS('FIRM Load Pull'!$M:$M,'FIRM Load Pull'!$A:$A,$A58,'FIRM Load Pull'!$B:$B,$C58)</f>
        <v>110.65816173850008</v>
      </c>
      <c r="N58" s="481">
        <f>H58-L58</f>
        <v>20.310628637300027</v>
      </c>
      <c r="O58" s="440">
        <f>+H58-M58</f>
        <v>36.574687023200013</v>
      </c>
      <c r="P58" s="482">
        <f>SUMIFS('Consol Pull'!$N:$N,'Consol Pull'!$A:$A,$A58,'Consol Pull'!$B:$B,$C58)</f>
        <v>118.32363474893677</v>
      </c>
      <c r="Q58" s="481">
        <f>H58-P58</f>
        <v>28.909214012763329</v>
      </c>
      <c r="R58" s="481">
        <f>SUMIFS('Tracks Pull'!$E:$E,'Tracks Pull'!$A:$A,$A58,'Tracks Pull'!$B:$B,$C58)</f>
        <v>250.82297742489416</v>
      </c>
      <c r="S58" s="440">
        <f>H58-R58</f>
        <v>-103.59012866319406</v>
      </c>
      <c r="T58" s="481">
        <f>SUMIFS('Tracks Pull'!$G:$G,'Tracks Pull'!$A:$A,$A58,'Tracks Pull'!$B:$B,$C58)</f>
        <v>45.494710993537268</v>
      </c>
      <c r="U58" s="483">
        <f>O58-T58</f>
        <v>-8.9200239703372546</v>
      </c>
      <c r="V58" s="146"/>
      <c r="W58" s="490">
        <f>SUMIFS('Stream Pull'!O:O,'Stream Pull'!A:A,$A$58,'Stream Pull'!B:B,$C$18)</f>
        <v>4.9471084397979732</v>
      </c>
      <c r="X58" s="490">
        <f>SUMIFS('Stream Pull'!H:H,'Stream Pull'!A:A,$A$58,'Stream Pull'!B:B,$C$58)</f>
        <v>59.982835846088648</v>
      </c>
      <c r="Y58" s="440">
        <f>SUMIFS('Stream Pull'!Q:Q,'Stream Pull'!A:A,$A$58,'Stream Pull'!B:B,$C$58)</f>
        <v>118.71689436689837</v>
      </c>
      <c r="Z58" s="481">
        <f>SUM(W58:Y58)</f>
        <v>183.64683865278499</v>
      </c>
      <c r="AA58" s="482">
        <f>D58-P58</f>
        <v>125.86075895810808</v>
      </c>
      <c r="AB58" s="440">
        <f>Z58-AA58</f>
        <v>57.786079694676914</v>
      </c>
      <c r="AC58" s="146"/>
      <c r="AD58" s="596">
        <f>H58+Z58</f>
        <v>330.87968741448509</v>
      </c>
      <c r="AE58" s="489">
        <f>AD58/E58-1</f>
        <v>0.35776165289427797</v>
      </c>
      <c r="AF58" s="491">
        <f>AD58-D58</f>
        <v>86.695293707440243</v>
      </c>
      <c r="AG58" s="146"/>
    </row>
    <row r="59" spans="1:34" ht="16.2" customHeight="1">
      <c r="A59" s="383" t="s">
        <v>242</v>
      </c>
      <c r="C59" s="472" t="s">
        <v>26</v>
      </c>
      <c r="D59" s="477">
        <f>SUMIFS('Consol Pull'!$M:$M,'Consol Pull'!$A:$A,$A59,'Consol Pull'!$B:$B,$C59)</f>
        <v>194.13478814262416</v>
      </c>
      <c r="E59" s="597">
        <f>SUMIFS('Consol Pull'!$AA:$AA,'Consol Pull'!$A:$A,$A59,'Consol Pull'!$B:$B,$C59)</f>
        <v>198.53636025000048</v>
      </c>
      <c r="F59" s="446">
        <f>+D59/E59-1</f>
        <v>-2.217010577726819E-2</v>
      </c>
      <c r="G59" s="146"/>
      <c r="H59" s="477">
        <f>SUMIFS('FIRM Load Pull'!$K:$K,'FIRM Load Pull'!$A:$A,$A59,'FIRM Load Pull'!$B:$B,$C59)</f>
        <v>120.0237730243002</v>
      </c>
      <c r="I59" s="444">
        <f>SUMIFS('Ship Load Pull'!$H:$H,'Ship Load Pull'!$A:$A,$A59,'Ship Load Pull'!$B:$B,$C59)</f>
        <v>93.31085235860013</v>
      </c>
      <c r="J59" s="598">
        <f>SUMIFS('FIRM Load Pull'!$O:$O,'FIRM Load Pull'!$A:$A,$A59,'FIRM Load Pull'!$B:$B,$C59)</f>
        <v>76.798546982900007</v>
      </c>
      <c r="K59" s="448">
        <f>H59/J59-1</f>
        <v>0.56283911271166032</v>
      </c>
      <c r="L59" s="598">
        <f>SUMIFS('FIRM Load Pull'!$L:$L,'FIRM Load Pull'!$A:$A,$A59,'FIRM Load Pull'!$B:$B,$C59)</f>
        <v>117.55949347700017</v>
      </c>
      <c r="M59" s="598">
        <f>SUMIFS('FIRM Load Pull'!$M:$M,'FIRM Load Pull'!$A:$A,$A59,'FIRM Load Pull'!$B:$B,$C59)</f>
        <v>110.14968680740017</v>
      </c>
      <c r="N59" s="598">
        <f>H59-L59</f>
        <v>2.4642795473000234</v>
      </c>
      <c r="O59" s="450">
        <f>+H59-M59</f>
        <v>9.8740862169000252</v>
      </c>
      <c r="P59" s="599">
        <f>SUMIFS('Consol Pull'!$N:$N,'Consol Pull'!$A:$A,$A59,'Consol Pull'!$B:$B,$C59)</f>
        <v>110.47923470867718</v>
      </c>
      <c r="Q59" s="598">
        <f>H59-P59</f>
        <v>9.544538315623015</v>
      </c>
      <c r="R59" s="598">
        <f>SUMIFS('Tracks Pull'!$E:$E,'Tracks Pull'!$A:$A,$A59,'Tracks Pull'!$B:$B,$C59)</f>
        <v>254.11379540667718</v>
      </c>
      <c r="S59" s="450">
        <f>H59-R59</f>
        <v>-134.09002238237699</v>
      </c>
      <c r="T59" s="598">
        <f>SUMIFS('Tracks Pull'!$G:$G,'Tracks Pull'!$A:$A,$A59,'Tracks Pull'!$B:$B,$C59)</f>
        <v>60.19277315273132</v>
      </c>
      <c r="U59" s="484">
        <f>O59-T59</f>
        <v>-50.318686935831295</v>
      </c>
      <c r="V59" s="146"/>
      <c r="W59" s="492">
        <f>SUMIFS('Stream Pull'!O:O,'Stream Pull'!A:A,$A$59,'Stream Pull'!B:B,$C$19)</f>
        <v>4.0310486334232918</v>
      </c>
      <c r="X59" s="450">
        <f>SUMIFS('Stream Pull'!H:H,'Stream Pull'!A:A,$A$59,'Stream Pull'!B:B,$C$59)</f>
        <v>35.227543434402534</v>
      </c>
      <c r="Y59" s="450">
        <f>SUMIFS('Stream Pull'!Q:Q,'Stream Pull'!A:A,$A$59,'Stream Pull'!B:B,$C$59)</f>
        <v>80.201563874398133</v>
      </c>
      <c r="Z59" s="598">
        <f>SUM(W59:Y59)</f>
        <v>119.46015594222396</v>
      </c>
      <c r="AA59" s="599">
        <f>D59-P59</f>
        <v>83.655553433946977</v>
      </c>
      <c r="AB59" s="450">
        <f>Z59-AA59</f>
        <v>35.804602508276986</v>
      </c>
      <c r="AC59" s="146"/>
      <c r="AD59" s="454">
        <f>H59+Z59</f>
        <v>239.48392896652416</v>
      </c>
      <c r="AE59" s="448">
        <f>AD59/E59-1</f>
        <v>0.20624720159552523</v>
      </c>
      <c r="AF59" s="463">
        <f>AD59-D59</f>
        <v>45.349140823900001</v>
      </c>
      <c r="AG59" s="146"/>
    </row>
    <row r="60" spans="1:34" ht="16.2" customHeight="1">
      <c r="A60" s="383" t="s">
        <v>242</v>
      </c>
      <c r="C60" s="473" t="s">
        <v>59</v>
      </c>
      <c r="D60" s="477">
        <f>SUMIFS('Consol Pull'!$M:$M,'Consol Pull'!$A:$A,$A60,'Consol Pull'!$B:$B,$C60)</f>
        <v>69.58824611475049</v>
      </c>
      <c r="E60" s="597">
        <f>SUMIFS('Consol Pull'!$AA:$AA,'Consol Pull'!$A:$A,$A60,'Consol Pull'!$B:$B,$C60)</f>
        <v>92.165077930000024</v>
      </c>
      <c r="F60" s="446">
        <f>+D60/E60-1</f>
        <v>-0.24496080643903739</v>
      </c>
      <c r="G60" s="146"/>
      <c r="H60" s="477">
        <f>SUMIFS('FIRM Load Pull'!$K:$K,'FIRM Load Pull'!$A:$A,$A60,'FIRM Load Pull'!$B:$B,$C60)</f>
        <v>18.138722941199998</v>
      </c>
      <c r="I60" s="444">
        <f>SUMIFS('Ship Load Pull'!$H:$H,'Ship Load Pull'!$A:$A,$A60,'Ship Load Pull'!$B:$B,$C60)</f>
        <v>18.961590897400001</v>
      </c>
      <c r="J60" s="598">
        <f>SUMIFS('FIRM Load Pull'!$O:$O,'FIRM Load Pull'!$A:$A,$A60,'FIRM Load Pull'!$B:$B,$C60)</f>
        <v>28.703528303499997</v>
      </c>
      <c r="K60" s="448">
        <f>H60/J60-1</f>
        <v>-0.36806643596535715</v>
      </c>
      <c r="L60" s="598">
        <f>SUMIFS('FIRM Load Pull'!$L:$L,'FIRM Load Pull'!$A:$A,$A60,'FIRM Load Pull'!$B:$B,$C60)</f>
        <v>18.138722911199999</v>
      </c>
      <c r="M60" s="598">
        <f>SUMIFS('FIRM Load Pull'!$M:$M,'FIRM Load Pull'!$A:$A,$A60,'FIRM Load Pull'!$B:$B,$C60)</f>
        <v>35.549124511300001</v>
      </c>
      <c r="N60" s="598">
        <f>H60-L60</f>
        <v>2.9999998929497451E-8</v>
      </c>
      <c r="O60" s="450">
        <f>+H60-M60</f>
        <v>-17.410401570100003</v>
      </c>
      <c r="P60" s="599">
        <f>SUMIFS('Consol Pull'!$N:$N,'Consol Pull'!$A:$A,$A60,'Consol Pull'!$B:$B,$C60)</f>
        <v>39.455970683486328</v>
      </c>
      <c r="Q60" s="598">
        <f>H60-P60</f>
        <v>-21.31724774228633</v>
      </c>
      <c r="R60" s="598">
        <f>SUMIFS('Tracks Pull'!$E:$E,'Tracks Pull'!$A:$A,$A60,'Tracks Pull'!$B:$B,$C60)</f>
        <v>60.275721898996373</v>
      </c>
      <c r="S60" s="450">
        <f>H60-R60</f>
        <v>-42.136998957796379</v>
      </c>
      <c r="T60" s="598">
        <f>SUMIFS('Tracks Pull'!$G:$G,'Tracks Pull'!$A:$A,$A60,'Tracks Pull'!$B:$B,$C60)</f>
        <v>8.0057103610252653</v>
      </c>
      <c r="U60" s="484">
        <f>O60-T60</f>
        <v>-25.416111931125268</v>
      </c>
      <c r="V60" s="146"/>
      <c r="W60" s="492">
        <f>SUMIFS('Stream Pull'!O:O,'Stream Pull'!A:A,$A$60,'Stream Pull'!B:B,$C$20)</f>
        <v>3.439291254973925</v>
      </c>
      <c r="X60" s="450">
        <f>SUMIFS('Stream Pull'!H:H,'Stream Pull'!A:A,$A$60,'Stream Pull'!B:B,$C$60)</f>
        <v>6.073567428715263</v>
      </c>
      <c r="Y60" s="450">
        <f>SUMIFS('Stream Pull'!Q:Q,'Stream Pull'!A:A,$A$60,'Stream Pull'!B:B,$C$60)</f>
        <v>32.108000000000004</v>
      </c>
      <c r="Z60" s="598">
        <f>SUM(W60:Y60)</f>
        <v>41.620858683689193</v>
      </c>
      <c r="AA60" s="599">
        <f>D60-P60</f>
        <v>30.132275431264162</v>
      </c>
      <c r="AB60" s="450">
        <f>Z60-AA60</f>
        <v>11.48858325242503</v>
      </c>
      <c r="AC60" s="146"/>
      <c r="AD60" s="454">
        <f>H60+Z60</f>
        <v>59.759581624889194</v>
      </c>
      <c r="AE60" s="448">
        <f>AD60/E60-1</f>
        <v>-0.35160276574304006</v>
      </c>
      <c r="AF60" s="463">
        <f>AD60-D60</f>
        <v>-9.8286644898612963</v>
      </c>
      <c r="AG60" s="146"/>
    </row>
    <row r="61" spans="1:34" ht="16.2" customHeight="1">
      <c r="A61" s="383" t="s">
        <v>242</v>
      </c>
      <c r="C61" s="473" t="s">
        <v>34</v>
      </c>
      <c r="D61" s="478">
        <f>SUMIFS('Consol Pull'!$M:$M,'Consol Pull'!$A:$A,$A61,'Consol Pull'!$B:$B,$C61)</f>
        <v>75.191163184751574</v>
      </c>
      <c r="E61" s="479">
        <f>SUMIFS('Consol Pull'!$AA:$AA,'Consol Pull'!$A:$A,$A61,'Consol Pull'!$B:$B,$C61)</f>
        <v>57.215341580000057</v>
      </c>
      <c r="F61" s="447">
        <f>+D61/E61-1</f>
        <v>0.31417834986822957</v>
      </c>
      <c r="G61" s="146"/>
      <c r="H61" s="478">
        <f>SUMIFS('FIRM Load Pull'!$K:$K,'FIRM Load Pull'!$A:$A,$A61,'FIRM Load Pull'!$B:$B,$C61)</f>
        <v>37.208560153600018</v>
      </c>
      <c r="I61" s="445">
        <f>SUMIFS('Ship Load Pull'!$H:$H,'Ship Load Pull'!$A:$A,$A61,'Ship Load Pull'!$B:$B,$C61)</f>
        <v>34.649020632100004</v>
      </c>
      <c r="J61" s="485">
        <f>SUMIFS('FIRM Load Pull'!$O:$O,'FIRM Load Pull'!$A:$A,$A61,'FIRM Load Pull'!$B:$B,$C61)</f>
        <v>28.953223975900009</v>
      </c>
      <c r="K61" s="449">
        <f>H61/J61-1</f>
        <v>0.28512666446305124</v>
      </c>
      <c r="L61" s="485">
        <f>SUMIFS('FIRM Load Pull'!$L:$L,'FIRM Load Pull'!$A:$A,$A61,'FIRM Load Pull'!$B:$B,$C61)</f>
        <v>37.116406056100018</v>
      </c>
      <c r="M61" s="485">
        <f>SUMIFS('FIRM Load Pull'!$M:$M,'FIRM Load Pull'!$A:$A,$A61,'FIRM Load Pull'!$B:$B,$C61)</f>
        <v>41.032147671200001</v>
      </c>
      <c r="N61" s="485">
        <f>H61-L61</f>
        <v>9.2154097499999921E-2</v>
      </c>
      <c r="O61" s="451">
        <f>+H61-M61</f>
        <v>-3.8235875175999823</v>
      </c>
      <c r="P61" s="486">
        <f>SUMIFS('Consol Pull'!$N:$N,'Consol Pull'!$A:$A,$A61,'Consol Pull'!$B:$B,$C61)</f>
        <v>55.623770230781631</v>
      </c>
      <c r="Q61" s="485">
        <f>H61-P61</f>
        <v>-18.415210077181612</v>
      </c>
      <c r="R61" s="485">
        <f>SUMIFS('Tracks Pull'!$E:$E,'Tracks Pull'!$A:$A,$A61,'Tracks Pull'!$B:$B,$C61)</f>
        <v>95.369949530654992</v>
      </c>
      <c r="S61" s="451">
        <f>H61-R61</f>
        <v>-58.161389377054974</v>
      </c>
      <c r="T61" s="485">
        <f>SUMIFS('Tracks Pull'!$G:$G,'Tracks Pull'!$A:$A,$A61,'Tracks Pull'!$B:$B,$C61)</f>
        <v>14.442392683844034</v>
      </c>
      <c r="U61" s="487">
        <f>O61-T61</f>
        <v>-18.265980201444016</v>
      </c>
      <c r="V61" s="146"/>
      <c r="W61" s="493">
        <f>SUMIFS('Stream Pull'!O:O,'Stream Pull'!A:A,$A$61,'Stream Pull'!B:B,$C$21)</f>
        <v>2.6655652382013049</v>
      </c>
      <c r="X61" s="451">
        <f>SUMIFS('Stream Pull'!H:H,'Stream Pull'!A:A,$A$61,'Stream Pull'!B:B,$C$61)</f>
        <v>16.562886416633717</v>
      </c>
      <c r="Y61" s="451">
        <f>SUMIFS('Stream Pull'!Q:Q,'Stream Pull'!A:A,$A$61,'Stream Pull'!B:B,$C$61)</f>
        <v>18.430068919294481</v>
      </c>
      <c r="Z61" s="485">
        <f>SUM(W61:Y61)</f>
        <v>37.658520574129497</v>
      </c>
      <c r="AA61" s="486">
        <f>D61-P61</f>
        <v>19.567392953969943</v>
      </c>
      <c r="AB61" s="451">
        <f>Z61-AA61</f>
        <v>18.091127620159554</v>
      </c>
      <c r="AC61" s="146"/>
      <c r="AD61" s="465">
        <f>H61+Z61</f>
        <v>74.867080727729515</v>
      </c>
      <c r="AE61" s="449">
        <f>AD61/E61-1</f>
        <v>0.30851409185503709</v>
      </c>
      <c r="AF61" s="464">
        <f>AD61-D61</f>
        <v>-0.32408245702205818</v>
      </c>
      <c r="AG61" s="146"/>
    </row>
    <row r="62" spans="1:34" hidden="1" outlineLevel="1">
      <c r="A62" s="383" t="s">
        <v>242</v>
      </c>
      <c r="C62" s="244" t="s">
        <v>164</v>
      </c>
      <c r="D62" s="225">
        <f>SUMIFS('Consol Pull'!$M:$M,'Consol Pull'!$A:$A,"Systems",'Consol Pull'!$B:$B,"WW",'Consol Pull'!$D:$D,"9op")+D54
-SUMIFS('Consol Pull'!$M:$M,'Consol Pull'!$A:$A,"Systems",'Consol Pull'!$B:$B,"Sum of Geos",'Consol Pull'!$D:$D,"9op")
+SUMIFS('Consol Pull'!$M:$M,'Consol Pull'!$A:$A,"M&amp;D OEM",'Consol Pull'!$B:$B,"Sum of Geos")
+SUMIFS('Consol Pull'!$M:$M,'Consol Pull'!$A:$A,"Storage OEM",'Consol Pull'!$B:$B,"TOP")+5.1
+SUM(D53)</f>
        <v>39.289688884107456</v>
      </c>
      <c r="E62" s="280">
        <f>SUMIFS('Consol Pull'!$AA:$AA,'Consol Pull'!$A:$A,"Systems",'Consol Pull'!$B:$B,"WW",'Consol Pull'!$D:$D,"9op")
-SUMIFS('Consol Pull'!$AA:$AA,'Consol Pull'!$A:$A,"Systems",'Consol Pull'!$B:$B,"Sum of Geos",'Consol Pull'!$D:$D,"9op")
+SUMIFS('Consol Pull'!$AA:$AA,'Consol Pull'!$A:$A,"M&amp;D OEM",'Consol Pull'!$B:$B,"Sum of Geos")
+SUMIFS('Consol Pull'!$AA:$AA,'Consol Pull'!$A:$A,"Storage OEM",'Consol Pull'!$B:$B,"TOP")+7.69
+SUM(E53)</f>
        <v>44.381454319999911</v>
      </c>
      <c r="F62" s="166">
        <f>+D62/E62-1</f>
        <v>-0.11472732279523157</v>
      </c>
      <c r="G62" s="146"/>
      <c r="H62" s="165">
        <f>H54</f>
        <v>4.2655385599999995</v>
      </c>
      <c r="I62" s="165"/>
      <c r="J62" s="338">
        <f>SUMIFS('FIRM Load Pull'!$O:$O,'FIRM Load Pull'!$A:$A,"GARS",'FIRM Load Pull'!$B:$B,$C$6)</f>
        <v>9.7238309799999989</v>
      </c>
      <c r="K62" s="166"/>
      <c r="L62" s="165">
        <f>L54</f>
        <v>4.2655385599999995</v>
      </c>
      <c r="M62" s="165">
        <f>M54</f>
        <v>4.2655385599999995</v>
      </c>
      <c r="N62" s="165">
        <f>H62-L62</f>
        <v>0</v>
      </c>
      <c r="O62" s="165">
        <f>+H62-M62</f>
        <v>0</v>
      </c>
      <c r="P62" s="217">
        <f>+P54</f>
        <v>5.4989886218165571</v>
      </c>
      <c r="Q62" s="165">
        <f>H62-P62</f>
        <v>-1.2334500618165576</v>
      </c>
      <c r="R62" s="165">
        <f>P62</f>
        <v>5.4989886218165571</v>
      </c>
      <c r="S62" s="165">
        <f>H62-R62</f>
        <v>-1.2334500618165576</v>
      </c>
      <c r="T62" s="165">
        <f>T54</f>
        <v>0</v>
      </c>
      <c r="U62" s="165"/>
      <c r="V62" s="146"/>
      <c r="W62" s="165"/>
      <c r="X62" s="165">
        <f>X52</f>
        <v>39.879982899999987</v>
      </c>
      <c r="Y62" s="164">
        <f>Y53</f>
        <v>10.5</v>
      </c>
      <c r="Z62" s="165">
        <f>SUM(W62:Y62)</f>
        <v>50.379982899999987</v>
      </c>
      <c r="AA62" s="217">
        <f>D62-P62-6.23</f>
        <v>27.560700262290897</v>
      </c>
      <c r="AB62" s="165">
        <f>Z62-AA62</f>
        <v>22.81928263770909</v>
      </c>
      <c r="AC62" s="146"/>
      <c r="AD62" s="229">
        <f>H62+Z62</f>
        <v>54.645521459999983</v>
      </c>
      <c r="AE62" s="166">
        <f>AD62/E62-1</f>
        <v>0.23126928347128795</v>
      </c>
      <c r="AF62" s="165">
        <f>AD62-D62+6.23</f>
        <v>21.585832575892528</v>
      </c>
      <c r="AG62" s="146"/>
    </row>
    <row r="63" spans="1:34" hidden="1" outlineLevel="1">
      <c r="C63" s="231" t="s">
        <v>227</v>
      </c>
      <c r="D63" s="233">
        <f>D49-SUM(D58:D62)</f>
        <v>1.6851860766564641E-4</v>
      </c>
      <c r="E63" s="233">
        <f>E49-SUM(E58:E62)</f>
        <v>-4.9510000030750234E-4</v>
      </c>
      <c r="F63" s="232"/>
      <c r="G63" s="230"/>
      <c r="H63" s="233">
        <f>H49-SUM(H58:H62)</f>
        <v>0</v>
      </c>
      <c r="I63" s="233"/>
      <c r="J63" s="233">
        <f>J49-SUM(J58:J62)</f>
        <v>0</v>
      </c>
      <c r="K63" s="233"/>
      <c r="L63" s="233">
        <f t="shared" ref="L63:U63" si="10">L49-SUM(L58:L62)</f>
        <v>0</v>
      </c>
      <c r="M63" s="233">
        <f t="shared" si="10"/>
        <v>0</v>
      </c>
      <c r="N63" s="233">
        <f t="shared" si="10"/>
        <v>0</v>
      </c>
      <c r="O63" s="233">
        <f t="shared" si="10"/>
        <v>0</v>
      </c>
      <c r="P63" s="234">
        <f t="shared" si="10"/>
        <v>0</v>
      </c>
      <c r="Q63" s="233">
        <f>Q49-SUM(Q58:Q62)</f>
        <v>-2.8776980798284058E-13</v>
      </c>
      <c r="R63" s="233">
        <f t="shared" si="10"/>
        <v>0</v>
      </c>
      <c r="S63" s="233">
        <f t="shared" si="10"/>
        <v>0</v>
      </c>
      <c r="T63" s="233">
        <f t="shared" si="10"/>
        <v>0</v>
      </c>
      <c r="U63" s="233">
        <f t="shared" si="10"/>
        <v>0</v>
      </c>
      <c r="V63" s="230"/>
      <c r="W63" s="233">
        <f>W49-SUM(W58:W62)</f>
        <v>0</v>
      </c>
      <c r="X63" s="233">
        <f>X49-SUM(X58:X62)</f>
        <v>0</v>
      </c>
      <c r="Y63" s="233">
        <f>Y49-SUM(Y58:Y62)</f>
        <v>0</v>
      </c>
      <c r="Z63" s="233">
        <f>Z49-SUM(Z58:Z62)</f>
        <v>0</v>
      </c>
      <c r="AA63" s="234">
        <f>AA49-SUM(AA58:AA62)</f>
        <v>1.6295717240382146E-3</v>
      </c>
      <c r="AB63" s="233">
        <f>AB49-SUM(AB58:AB62)</f>
        <v>-1.629571724095058E-3</v>
      </c>
      <c r="AC63" s="230"/>
      <c r="AD63" s="233">
        <f>AD49-SUM(AD58:AD62)</f>
        <v>0</v>
      </c>
      <c r="AE63" s="233"/>
      <c r="AF63" s="233">
        <f>AF49-SUM(AF58:AF62)</f>
        <v>-1.6295717244361185E-3</v>
      </c>
      <c r="AG63" s="230"/>
    </row>
    <row r="64" spans="1:34" hidden="1" outlineLevel="1">
      <c r="C64" t="s">
        <v>271</v>
      </c>
      <c r="D64" s="279">
        <f>+D53+D54</f>
        <v>5.4989886218165571</v>
      </c>
      <c r="E64" s="279">
        <f>+E53+E54</f>
        <v>12.086931089999998</v>
      </c>
      <c r="R64" s="301"/>
      <c r="S64" s="301"/>
    </row>
    <row r="65" spans="1:27" hidden="1" outlineLevel="1">
      <c r="A65" s="383" t="s">
        <v>242</v>
      </c>
      <c r="B65" s="383" t="s">
        <v>164</v>
      </c>
      <c r="C65" t="s">
        <v>272</v>
      </c>
      <c r="D65" s="279">
        <f>SUMIFS('Consol Pull'!$M:$M,'Consol Pull'!$A:$A,$A65,'Consol Pull'!$B:$B,$B65)</f>
        <v>28.6907002622908</v>
      </c>
      <c r="E65" s="279">
        <f>SUMIFS('Consol Pull'!$AA:$AA,'Consol Pull'!$A:$A,$A65,'Consol Pull'!$B:$B,$B65)</f>
        <v>15.884690340000002</v>
      </c>
      <c r="R65" s="301"/>
      <c r="S65" s="301"/>
    </row>
    <row r="66" spans="1:27" hidden="1" outlineLevel="1">
      <c r="A66" s="381" t="s">
        <v>242</v>
      </c>
      <c r="B66" s="381" t="s">
        <v>265</v>
      </c>
      <c r="C66" t="s">
        <v>265</v>
      </c>
      <c r="D66" s="279">
        <f>SUMIFS('Consol Pull'!$M:$M,'Consol Pull'!$A:$A,$A66,'Consol Pull'!$B:$B,$B66)</f>
        <v>0</v>
      </c>
      <c r="E66" s="279">
        <f>SUMIFS('Consol Pull'!$AA:$AA,'Consol Pull'!$A:$A,$A66,'Consol Pull'!$B:$B,$B66)</f>
        <v>-9.4089797900000001</v>
      </c>
      <c r="R66" s="301"/>
    </row>
    <row r="67" spans="1:27" hidden="1" outlineLevel="1">
      <c r="A67" s="381" t="s">
        <v>230</v>
      </c>
      <c r="B67" s="383" t="s">
        <v>164</v>
      </c>
      <c r="C67" t="s">
        <v>273</v>
      </c>
      <c r="D67" s="279">
        <f>SUMIFS('Consol Pull'!$M:$M,'Consol Pull'!$A:$A,$A67,'Consol Pull'!$B:$B,$B67)</f>
        <v>0</v>
      </c>
      <c r="E67" s="306">
        <f>SUMIFS('Consol Pull'!$AA:$AA,'Consol Pull'!$A:$A,$A67,'Consol Pull'!$B:$B,$B67)</f>
        <v>10.468268999999999</v>
      </c>
    </row>
    <row r="68" spans="1:27" hidden="1" outlineLevel="1">
      <c r="A68" s="381" t="s">
        <v>259</v>
      </c>
      <c r="B68" s="383" t="s">
        <v>243</v>
      </c>
      <c r="C68" t="s">
        <v>274</v>
      </c>
      <c r="D68" s="279">
        <f>+SUMIFS('Consol Pull'!$M:$M,'Consol Pull'!$A:$A,"M&amp;D OEM",'Consol Pull'!$B:$B,"Sum of Geos")</f>
        <v>0</v>
      </c>
      <c r="E68" s="279">
        <f>+SUMIFS('Consol Pull'!$AA:$AA,'Consol Pull'!$A:$A,"M&amp;D OEM",'Consol Pull'!$B:$B,"Sum of Geos")</f>
        <v>12.21668974</v>
      </c>
    </row>
    <row r="69" spans="1:27" hidden="1" outlineLevel="1">
      <c r="C69" t="s">
        <v>264</v>
      </c>
      <c r="D69" s="283">
        <f>+D62-D64-D65-D66-D67-D68</f>
        <v>5.1000000000000973</v>
      </c>
      <c r="E69" s="283">
        <f>+E62-E64-E65-E66-E67-E68</f>
        <v>3.1338539399999092</v>
      </c>
    </row>
    <row r="70" spans="1:27" hidden="1" outlineLevel="1">
      <c r="E70" s="209"/>
      <c r="AA70" s="209"/>
    </row>
    <row r="71" spans="1:27" hidden="1" outlineLevel="1"/>
    <row r="72" spans="1:27" collapsed="1"/>
  </sheetData>
  <mergeCells count="10">
    <mergeCell ref="AD6:AF6"/>
    <mergeCell ref="D7:F7"/>
    <mergeCell ref="D6:F6"/>
    <mergeCell ref="H6:U6"/>
    <mergeCell ref="W6:AB6"/>
    <mergeCell ref="D47:F47"/>
    <mergeCell ref="D46:F46"/>
    <mergeCell ref="H46:U46"/>
    <mergeCell ref="W46:AB46"/>
    <mergeCell ref="AD46:AF46"/>
  </mergeCell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5151B62-5FB8-4B3B-B92B-3A56CB91CA7E}">
          <x14:formula1>
            <xm:f>INPUT!$AA$3:$AA$7</xm:f>
          </x14:formula1>
          <xm:sqref>C6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5B77F-984B-41B0-A863-07822DAD797B}">
  <sheetPr>
    <tabColor rgb="FFFF0000"/>
  </sheetPr>
  <dimension ref="A1:AT197"/>
  <sheetViews>
    <sheetView zoomScale="80" zoomScaleNormal="80" workbookViewId="0">
      <pane xSplit="4" ySplit="11" topLeftCell="E69" activePane="bottomRight" state="frozen"/>
      <selection pane="topRight" activeCell="D1" sqref="D1"/>
      <selection pane="bottomLeft" activeCell="A12" sqref="A12"/>
      <selection pane="bottomRight" activeCell="J70" sqref="J70"/>
    </sheetView>
  </sheetViews>
  <sheetFormatPr defaultRowHeight="14.4" outlineLevelRow="2" outlineLevelCol="1"/>
  <cols>
    <col min="1" max="1" width="8.88671875" style="237"/>
    <col min="2" max="3" width="11.44140625" style="235" customWidth="1"/>
    <col min="4" max="4" width="21.33203125" style="277" customWidth="1"/>
    <col min="6" max="6" width="8.88671875" hidden="1" customWidth="1"/>
    <col min="7" max="7" width="0" hidden="1" customWidth="1"/>
    <col min="8" max="8" width="1.33203125" customWidth="1"/>
    <col min="9" max="9" width="10" customWidth="1"/>
    <col min="10" max="17" width="8.88671875" customWidth="1"/>
    <col min="18" max="18" width="0" hidden="1" customWidth="1"/>
    <col min="19" max="20" width="8.88671875" hidden="1" customWidth="1"/>
    <col min="21" max="21" width="8.88671875" hidden="1" customWidth="1" outlineLevel="1"/>
    <col min="22" max="22" width="8.88671875" hidden="1" customWidth="1" collapsed="1"/>
    <col min="23" max="23" width="0" hidden="1" customWidth="1"/>
    <col min="24" max="24" width="8.88671875" hidden="1" customWidth="1"/>
    <col min="25" max="25" width="0" hidden="1" customWidth="1"/>
    <col min="26" max="26" width="8.88671875" hidden="1" customWidth="1"/>
    <col min="27" max="27" width="0" hidden="1" customWidth="1"/>
    <col min="28" max="28" width="1.33203125" customWidth="1"/>
    <col min="29" max="32" width="8.88671875" hidden="1" customWidth="1" outlineLevel="1"/>
    <col min="33" max="33" width="8.88671875" collapsed="1"/>
    <col min="34" max="34" width="8.88671875" hidden="1" customWidth="1" outlineLevel="1"/>
    <col min="35" max="35" width="8.88671875" collapsed="1"/>
    <col min="36" max="36" width="1.33203125" customWidth="1"/>
    <col min="38" max="38" width="8.88671875" hidden="1" customWidth="1"/>
    <col min="40" max="40" width="1.33203125" customWidth="1"/>
    <col min="41" max="41" width="11.44140625" hidden="1" customWidth="1" outlineLevel="1"/>
    <col min="42" max="43" width="8.88671875" hidden="1" customWidth="1" outlineLevel="1"/>
    <col min="44" max="44" width="8.88671875" collapsed="1"/>
  </cols>
  <sheetData>
    <row r="1" spans="1:46" outlineLevel="1">
      <c r="D1" s="307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outlineLevel="1">
      <c r="D2" s="307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outlineLevel="1">
      <c r="D3" s="30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outlineLevel="1">
      <c r="D4" s="30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outlineLevel="1">
      <c r="D5" s="30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</row>
    <row r="6" spans="1:46" outlineLevel="1">
      <c r="D6" s="30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</row>
    <row r="7" spans="1:46" outlineLevel="1">
      <c r="D7" s="307"/>
      <c r="E7" s="2"/>
      <c r="F7" s="2"/>
      <c r="G7" s="17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1:46" outlineLevel="1">
      <c r="D8" s="307"/>
      <c r="E8" s="2"/>
      <c r="F8" s="2"/>
      <c r="G8" s="2"/>
      <c r="H8" s="2"/>
      <c r="I8" s="2"/>
      <c r="J8" s="2"/>
      <c r="K8" s="24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>
      <c r="D9" s="307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>
      <c r="E10" s="526" t="s">
        <v>52</v>
      </c>
      <c r="F10" s="526"/>
      <c r="G10" s="526"/>
      <c r="H10" s="2"/>
      <c r="I10" s="526" t="s">
        <v>61</v>
      </c>
      <c r="J10" s="526"/>
      <c r="K10" s="526"/>
      <c r="L10" s="526"/>
      <c r="M10" s="526"/>
      <c r="N10" s="526"/>
      <c r="O10" s="526"/>
      <c r="P10" s="526"/>
      <c r="Q10" s="526"/>
      <c r="R10" s="526"/>
      <c r="S10" s="526"/>
      <c r="T10" s="526"/>
      <c r="U10" s="526"/>
      <c r="V10" s="526"/>
      <c r="W10" s="526"/>
      <c r="X10" s="526"/>
      <c r="Y10" s="526"/>
      <c r="Z10" s="526"/>
      <c r="AA10" s="526"/>
      <c r="AB10" s="2"/>
      <c r="AC10" s="528" t="s">
        <v>65</v>
      </c>
      <c r="AD10" s="528"/>
      <c r="AE10" s="528"/>
      <c r="AF10" s="528"/>
      <c r="AG10" s="528"/>
      <c r="AH10" s="528"/>
      <c r="AI10" s="528"/>
      <c r="AJ10" s="2"/>
      <c r="AK10" s="526" t="s">
        <v>324</v>
      </c>
      <c r="AL10" s="526"/>
      <c r="AM10" s="526"/>
      <c r="AN10" s="2"/>
      <c r="AO10" s="526" t="s">
        <v>208</v>
      </c>
      <c r="AP10" s="526"/>
      <c r="AQ10" s="526"/>
      <c r="AR10" s="2"/>
      <c r="AS10" s="2"/>
      <c r="AT10" s="2"/>
    </row>
    <row r="11" spans="1:46" ht="41.4">
      <c r="D11" s="308"/>
      <c r="E11" s="527" t="str">
        <f>INPUT!B2</f>
        <v>4Q</v>
      </c>
      <c r="F11" s="527"/>
      <c r="G11" s="527" t="s">
        <v>53</v>
      </c>
      <c r="H11" s="161"/>
      <c r="I11" s="218" t="s">
        <v>62</v>
      </c>
      <c r="J11" s="218" t="s">
        <v>418</v>
      </c>
      <c r="K11" s="218" t="s">
        <v>53</v>
      </c>
      <c r="L11" s="218" t="s">
        <v>5</v>
      </c>
      <c r="M11" s="218" t="s">
        <v>215</v>
      </c>
      <c r="N11" s="218" t="s">
        <v>229</v>
      </c>
      <c r="O11" s="218" t="s">
        <v>216</v>
      </c>
      <c r="P11" s="218" t="s">
        <v>201</v>
      </c>
      <c r="Q11" s="218" t="s">
        <v>63</v>
      </c>
      <c r="R11" s="218" t="s">
        <v>53</v>
      </c>
      <c r="S11" s="218"/>
      <c r="T11" s="218"/>
      <c r="U11" s="218" t="s">
        <v>5</v>
      </c>
      <c r="V11" s="218" t="s">
        <v>215</v>
      </c>
      <c r="W11" s="218" t="s">
        <v>216</v>
      </c>
      <c r="X11" s="218"/>
      <c r="Y11" s="218" t="s">
        <v>201</v>
      </c>
      <c r="Z11" s="218"/>
      <c r="AA11" s="218" t="s">
        <v>63</v>
      </c>
      <c r="AB11" s="161"/>
      <c r="AC11" s="218" t="s">
        <v>224</v>
      </c>
      <c r="AD11" s="218" t="s">
        <v>1176</v>
      </c>
      <c r="AE11" s="218" t="s">
        <v>1177</v>
      </c>
      <c r="AF11" s="218" t="s">
        <v>223</v>
      </c>
      <c r="AG11" s="218" t="s">
        <v>225</v>
      </c>
      <c r="AH11" s="218" t="s">
        <v>244</v>
      </c>
      <c r="AI11" s="218" t="s">
        <v>66</v>
      </c>
      <c r="AJ11" s="161"/>
      <c r="AK11" s="218" t="s">
        <v>226</v>
      </c>
      <c r="AL11" s="218" t="s">
        <v>53</v>
      </c>
      <c r="AM11" s="218" t="s">
        <v>216</v>
      </c>
      <c r="AN11" s="161"/>
      <c r="AO11" s="219" t="s">
        <v>233</v>
      </c>
      <c r="AP11" s="220" t="s">
        <v>207</v>
      </c>
      <c r="AQ11" s="218" t="s">
        <v>216</v>
      </c>
      <c r="AR11" s="2"/>
      <c r="AS11" s="2"/>
      <c r="AT11" s="2"/>
    </row>
    <row r="12" spans="1:46" s="325" customFormat="1" ht="16.2" customHeight="1">
      <c r="A12" s="318" t="s">
        <v>240</v>
      </c>
      <c r="B12" s="319" t="s">
        <v>241</v>
      </c>
      <c r="C12" s="319"/>
      <c r="D12" s="320"/>
      <c r="E12" s="321">
        <f>WW!D10</f>
        <v>1670.7776981566833</v>
      </c>
      <c r="F12" s="321">
        <f>WW!E10</f>
        <v>1223.6108301400006</v>
      </c>
      <c r="G12" s="322">
        <f>WW!F10</f>
        <v>0.36544860261290735</v>
      </c>
      <c r="H12" s="323">
        <f>WW!G10</f>
        <v>0</v>
      </c>
      <c r="I12" s="321">
        <f>WW!H10</f>
        <v>129.49897691300004</v>
      </c>
      <c r="J12" s="321">
        <f>WW!J10</f>
        <v>64.110295653000009</v>
      </c>
      <c r="K12" s="322">
        <f>WW!K10</f>
        <v>1.0199404104126946</v>
      </c>
      <c r="L12" s="321">
        <f>WW!N10</f>
        <v>20.031546200000008</v>
      </c>
      <c r="M12" s="321">
        <f>WW!O10</f>
        <v>55.354417060000017</v>
      </c>
      <c r="N12" s="321">
        <f>WW!P10</f>
        <v>1440.3421289716473</v>
      </c>
      <c r="O12" s="324">
        <f>WW!Q10</f>
        <v>-1310.8431520586473</v>
      </c>
      <c r="P12" s="324">
        <f>WW!S10</f>
        <v>51.354675647466266</v>
      </c>
      <c r="Q12" s="324">
        <f>WW!U10</f>
        <v>49.105903605688084</v>
      </c>
      <c r="R12" s="322" t="e">
        <f>WW!#REF!</f>
        <v>#REF!</v>
      </c>
      <c r="S12" s="322" t="e">
        <f>WW!#REF!</f>
        <v>#REF!</v>
      </c>
      <c r="T12" s="322" t="e">
        <f>WW!#REF!</f>
        <v>#REF!</v>
      </c>
      <c r="U12" s="321" t="e">
        <f>WW!#REF!</f>
        <v>#REF!</v>
      </c>
      <c r="V12" s="321" t="e">
        <f>WW!#REF!</f>
        <v>#REF!</v>
      </c>
      <c r="W12" s="324" t="e">
        <f>WW!#REF!</f>
        <v>#REF!</v>
      </c>
      <c r="X12" s="324" t="e">
        <f>WW!#REF!</f>
        <v>#REF!</v>
      </c>
      <c r="Y12" s="324" t="e">
        <f>WW!#REF!</f>
        <v>#REF!</v>
      </c>
      <c r="Z12" s="324" t="e">
        <f>WW!#REF!</f>
        <v>#REF!</v>
      </c>
      <c r="AA12" s="324" t="e">
        <f>WW!#REF!</f>
        <v>#REF!</v>
      </c>
      <c r="AB12" s="324" t="e">
        <f>WW!#REF!</f>
        <v>#REF!</v>
      </c>
      <c r="AC12" s="324">
        <f>WW!W10</f>
        <v>1.0072507245983728</v>
      </c>
      <c r="AD12" s="324"/>
      <c r="AE12" s="324"/>
      <c r="AF12" s="324">
        <f>WW!Y10</f>
        <v>249.32861316022215</v>
      </c>
      <c r="AG12" s="324">
        <f>WW!Z10</f>
        <v>309.27718090866347</v>
      </c>
      <c r="AH12" s="324">
        <f>WW!AA10</f>
        <v>230.435569185036</v>
      </c>
      <c r="AI12" s="324">
        <f>WW!AB10</f>
        <v>78.841611723627466</v>
      </c>
      <c r="AJ12" s="324">
        <f>WW!AC10</f>
        <v>0</v>
      </c>
      <c r="AK12" s="324">
        <f>WW!AD10</f>
        <v>438.7761578216635</v>
      </c>
      <c r="AL12" s="324">
        <f>WW!AE10</f>
        <v>-0.64140873305979118</v>
      </c>
      <c r="AM12" s="324">
        <f>WW!AF10</f>
        <v>-1232.0015403350199</v>
      </c>
      <c r="AN12" s="323"/>
      <c r="AO12" s="324"/>
      <c r="AP12" s="321"/>
      <c r="AQ12" s="324"/>
      <c r="AR12" s="301" t="s">
        <v>227</v>
      </c>
      <c r="AS12" s="301"/>
      <c r="AT12" s="301"/>
    </row>
    <row r="13" spans="1:46" ht="16.2" customHeight="1">
      <c r="A13" s="237">
        <v>26</v>
      </c>
      <c r="B13" s="236" t="s">
        <v>13</v>
      </c>
      <c r="C13" s="236" t="s">
        <v>13</v>
      </c>
      <c r="D13" s="309" t="s">
        <v>54</v>
      </c>
      <c r="E13" s="314">
        <f>'Consol Pull'!F13</f>
        <v>1670.7776981566833</v>
      </c>
      <c r="F13" s="314"/>
      <c r="G13" s="315">
        <f>IF(ISERROR(E13/'Consol Pull'!T13-1),"-",IF(ABS(E13/'Consol Pull'!T13-1)&gt;1000%," - ",(E13/'Consol Pull'!T13-1)))</f>
        <v>0.36544860261290735</v>
      </c>
      <c r="H13" s="146"/>
      <c r="I13" s="314">
        <f>'FIRM Load Pull'!E13</f>
        <v>129.49897691300004</v>
      </c>
      <c r="J13" s="314">
        <f>'Ship Load Pull'!E13</f>
        <v>34.804885393000013</v>
      </c>
      <c r="K13" s="315">
        <f>I13/'FIRM Load Pull'!Q13-1</f>
        <v>1.0199404104126946</v>
      </c>
      <c r="L13" s="317">
        <f>'FIRM Load Pull'!E13-'FIRM Load Pull'!F13</f>
        <v>20.031546200000008</v>
      </c>
      <c r="M13" s="317">
        <f>'FIRM Load Pull'!E13-'FIRM Load Pull'!G13</f>
        <v>55.354417060000017</v>
      </c>
      <c r="N13" s="314">
        <f>'Consol Pull'!G13</f>
        <v>1440.3421289716473</v>
      </c>
      <c r="O13" s="317">
        <f>I13-N13</f>
        <v>-1310.8431520586473</v>
      </c>
      <c r="P13" s="317">
        <f>I13-'Tracks Pull'!E13</f>
        <v>51.354675647466266</v>
      </c>
      <c r="Q13" s="317">
        <f>M13-'Tracks Pull'!G13</f>
        <v>49.105903605688084</v>
      </c>
      <c r="R13" s="315" t="str">
        <f>IF(ISERROR(#REF!/'RETAIL Load Pull'!N13-1),"-",IF(ABS(#REF!/'RETAIL Load Pull'!N13-1)&gt;1000%," - ",(#REF!/'RETAIL Load Pull'!N13-1)))</f>
        <v>-</v>
      </c>
      <c r="S13" s="315"/>
      <c r="T13" s="315"/>
      <c r="U13" s="316">
        <f>'RETAIL Load Pull'!E13-'RETAIL Load Pull'!F13</f>
        <v>20.747525939999377</v>
      </c>
      <c r="V13" s="314">
        <f>'RETAIL Load Pull'!E13-'RETAIL Load Pull'!G13</f>
        <v>304.69636220999973</v>
      </c>
      <c r="W13" s="317" t="e">
        <f>#REF!-N13</f>
        <v>#REF!</v>
      </c>
      <c r="X13" s="317"/>
      <c r="Y13" s="317" t="e">
        <f>#REF!-'Tracks Pull'!M13</f>
        <v>#REF!</v>
      </c>
      <c r="Z13" s="317"/>
      <c r="AA13" s="317">
        <f>V13-'Tracks Pull'!O13</f>
        <v>298.4478487556878</v>
      </c>
      <c r="AB13" s="146"/>
      <c r="AC13" s="317">
        <f>'Stream Pull'!F13</f>
        <v>59.948567748441292</v>
      </c>
      <c r="AD13" s="317">
        <f>'Stream Pull'!G13</f>
        <v>1.0072507245983728</v>
      </c>
      <c r="AE13" s="317">
        <f>'Stream Pull'!H13</f>
        <v>58.941317023842927</v>
      </c>
      <c r="AF13" s="317">
        <f>'Stream Pull'!M13</f>
        <v>249.32861316022215</v>
      </c>
      <c r="AG13" s="317">
        <f>AC13+AF13</f>
        <v>309.27718090866347</v>
      </c>
      <c r="AH13" s="314">
        <f>'Consol Pull'!F13-'Consol Pull'!G13</f>
        <v>230.435569185036</v>
      </c>
      <c r="AI13" s="317">
        <f>AG13-AH13</f>
        <v>78.841611723627466</v>
      </c>
      <c r="AJ13" s="146"/>
      <c r="AK13" s="317">
        <f>I13+AG13</f>
        <v>438.7761578216635</v>
      </c>
      <c r="AL13" s="317"/>
      <c r="AM13" s="317">
        <f>AK13-E13</f>
        <v>-1232.0015403350199</v>
      </c>
      <c r="AN13" s="146"/>
      <c r="AO13" s="317" t="e">
        <f>'FIRM Load Pull'!#REF!</f>
        <v>#REF!</v>
      </c>
      <c r="AP13" s="314" t="e">
        <f>I13+AG13+AO13</f>
        <v>#REF!</v>
      </c>
      <c r="AQ13" s="317" t="e">
        <f>AP13-E13</f>
        <v>#REF!</v>
      </c>
      <c r="AR13" s="2"/>
      <c r="AS13" s="2"/>
      <c r="AT13" s="2"/>
    </row>
    <row r="14" spans="1:46" ht="16.2" customHeight="1" outlineLevel="2">
      <c r="A14" s="2">
        <v>26</v>
      </c>
      <c r="B14" s="44" t="s">
        <v>243</v>
      </c>
      <c r="C14" s="236" t="s">
        <v>243</v>
      </c>
      <c r="D14" s="310" t="s">
        <v>243</v>
      </c>
      <c r="E14" s="48">
        <f>'Consol Pull'!F14</f>
        <v>1670.7776981566833</v>
      </c>
      <c r="F14" s="162"/>
      <c r="G14" s="127">
        <f>IF(ISERROR(E14/'Consol Pull'!T14-1),"-",IF(ABS(E14/'Consol Pull'!T14-1)&gt;1000%," - ",(E14/'Consol Pull'!T14-1)))</f>
        <v>0.36179049409172803</v>
      </c>
      <c r="H14" s="146"/>
      <c r="I14" s="48">
        <f>'FIRM Load Pull'!E14</f>
        <v>0</v>
      </c>
      <c r="J14" s="48">
        <f>'Ship Load Pull'!E14</f>
        <v>0</v>
      </c>
      <c r="K14" s="127" t="str">
        <f>IF(ISERROR(I14/'FIRM Load Pull'!Q14-1),"-",IF(ABS(I14/'FIRM Load Pull'!Q14-1)&gt;1000%," - ",(I14/'FIRM Load Pull'!Q14-1)))</f>
        <v>-</v>
      </c>
      <c r="L14" s="48">
        <f>'FIRM Load Pull'!E14-'FIRM Load Pull'!F14</f>
        <v>0</v>
      </c>
      <c r="M14" s="48">
        <f>'FIRM Load Pull'!E14-'FIRM Load Pull'!G14</f>
        <v>0</v>
      </c>
      <c r="N14" s="216">
        <f>'Consol Pull'!G14</f>
        <v>1440.3421289716473</v>
      </c>
      <c r="O14" s="48">
        <f>I14-N14</f>
        <v>-1440.3421289716473</v>
      </c>
      <c r="P14" s="48">
        <f>I14-'Tracks Pull'!E14</f>
        <v>0</v>
      </c>
      <c r="Q14" s="48">
        <f>M14-'Tracks Pull'!G14</f>
        <v>0</v>
      </c>
      <c r="R14" s="127" t="str">
        <f>IF(ISERROR(#REF!/'RETAIL Load Pull'!N14-1),"-",IF(ABS(#REF!/'RETAIL Load Pull'!N14-1)&gt;1000%," - ",(#REF!/'RETAIL Load Pull'!N14-1)))</f>
        <v>-</v>
      </c>
      <c r="S14" s="127"/>
      <c r="T14" s="127"/>
      <c r="U14" s="258">
        <f>'RETAIL Load Pull'!E14-'RETAIL Load Pull'!F14</f>
        <v>0</v>
      </c>
      <c r="V14" s="48">
        <f>'RETAIL Load Pull'!E14-'RETAIL Load Pull'!G14</f>
        <v>0</v>
      </c>
      <c r="W14" s="48" t="e">
        <f>#REF!-N14</f>
        <v>#REF!</v>
      </c>
      <c r="X14" s="48"/>
      <c r="Y14" s="48" t="e">
        <f>#REF!-'Tracks Pull'!M14</f>
        <v>#REF!</v>
      </c>
      <c r="Z14" s="48"/>
      <c r="AA14" s="126">
        <f>V14-'Tracks Pull'!O14</f>
        <v>0</v>
      </c>
      <c r="AB14" s="146"/>
      <c r="AC14" s="126">
        <f>'Stream Pull'!F14</f>
        <v>0</v>
      </c>
      <c r="AD14" s="126">
        <f>'Stream Pull'!G14</f>
        <v>0</v>
      </c>
      <c r="AE14" s="126">
        <f>'Stream Pull'!H14</f>
        <v>0</v>
      </c>
      <c r="AF14" s="126">
        <f>'Stream Pull'!M14</f>
        <v>0</v>
      </c>
      <c r="AG14" s="48">
        <f t="shared" ref="AG14:AG88" si="0">AC14+AF14</f>
        <v>0</v>
      </c>
      <c r="AH14" s="216">
        <f>'Consol Pull'!F14-'Consol Pull'!G14</f>
        <v>230.435569185036</v>
      </c>
      <c r="AI14" s="48">
        <f t="shared" ref="AI14:AI88" si="1">AG14-AH14</f>
        <v>-230.435569185036</v>
      </c>
      <c r="AJ14" s="146"/>
      <c r="AK14" s="224">
        <f>I14+AG14</f>
        <v>0</v>
      </c>
      <c r="AL14" s="224"/>
      <c r="AM14" s="224">
        <f>AK14-E14</f>
        <v>-1670.7776981566833</v>
      </c>
      <c r="AN14" s="146"/>
      <c r="AO14" s="48" t="e">
        <f>'FIRM Load Pull'!#REF!</f>
        <v>#REF!</v>
      </c>
      <c r="AP14" s="216" t="e">
        <f>I14+AG14+AO14</f>
        <v>#REF!</v>
      </c>
      <c r="AQ14" s="48" t="e">
        <f>AP14-E14</f>
        <v>#REF!</v>
      </c>
      <c r="AR14" s="2"/>
      <c r="AS14" s="2"/>
      <c r="AT14" s="2"/>
    </row>
    <row r="15" spans="1:46" ht="16.2" customHeight="1" outlineLevel="2">
      <c r="A15" s="2">
        <v>26</v>
      </c>
      <c r="B15" s="44" t="s">
        <v>234</v>
      </c>
      <c r="C15" s="236" t="s">
        <v>234</v>
      </c>
      <c r="D15" s="310" t="s">
        <v>234</v>
      </c>
      <c r="E15" s="48">
        <f>'Consol Pull'!F15</f>
        <v>0</v>
      </c>
      <c r="F15" s="162"/>
      <c r="G15" s="127" t="str">
        <f>IF(ISERROR(E15/'Consol Pull'!T15-1),"-",IF(ABS(E15/'Consol Pull'!T15-1)&gt;1000%," - ",(E15/'Consol Pull'!T15-1)))</f>
        <v>-</v>
      </c>
      <c r="H15" s="146"/>
      <c r="I15" s="48">
        <f>'FIRM Load Pull'!E15</f>
        <v>0</v>
      </c>
      <c r="J15" s="48">
        <f>'Ship Load Pull'!E15</f>
        <v>0</v>
      </c>
      <c r="K15" s="127" t="str">
        <f>IF(ISERROR(I15/'FIRM Load Pull'!Q15-1),"-",IF(ABS(I15/'FIRM Load Pull'!Q15-1)&gt;1000%," - ",(I15/'FIRM Load Pull'!Q15-1)))</f>
        <v>-</v>
      </c>
      <c r="L15" s="48">
        <f>'FIRM Load Pull'!E15-'FIRM Load Pull'!F15</f>
        <v>0</v>
      </c>
      <c r="M15" s="48">
        <f>'FIRM Load Pull'!E15-'FIRM Load Pull'!G15</f>
        <v>0</v>
      </c>
      <c r="N15" s="216">
        <f>'Consol Pull'!G15</f>
        <v>0</v>
      </c>
      <c r="O15" s="48">
        <f t="shared" ref="O15:O78" si="2">I15-N15</f>
        <v>0</v>
      </c>
      <c r="P15" s="48">
        <f>I15-'Tracks Pull'!E15</f>
        <v>0</v>
      </c>
      <c r="Q15" s="48">
        <f>M15-'Tracks Pull'!G15</f>
        <v>0</v>
      </c>
      <c r="R15" s="127" t="str">
        <f>IF(ISERROR(#REF!/'RETAIL Load Pull'!N15-1),"-",IF(ABS(#REF!/'RETAIL Load Pull'!N15-1)&gt;1000%," - ",(#REF!/'RETAIL Load Pull'!N15-1)))</f>
        <v>-</v>
      </c>
      <c r="S15" s="127"/>
      <c r="T15" s="127"/>
      <c r="U15" s="258">
        <f>'RETAIL Load Pull'!E15-'RETAIL Load Pull'!F15</f>
        <v>0</v>
      </c>
      <c r="V15" s="48">
        <f>'RETAIL Load Pull'!E15-'RETAIL Load Pull'!G15</f>
        <v>0</v>
      </c>
      <c r="W15" s="48" t="e">
        <f>#REF!-N15</f>
        <v>#REF!</v>
      </c>
      <c r="X15" s="48"/>
      <c r="Y15" s="48" t="e">
        <f>#REF!-'Tracks Pull'!M15</f>
        <v>#REF!</v>
      </c>
      <c r="Z15" s="48"/>
      <c r="AA15" s="126">
        <f>V15-'Tracks Pull'!O15</f>
        <v>0</v>
      </c>
      <c r="AB15" s="146"/>
      <c r="AC15" s="126">
        <f>'Stream Pull'!F15</f>
        <v>0</v>
      </c>
      <c r="AD15" s="126">
        <f>'Stream Pull'!G15</f>
        <v>0</v>
      </c>
      <c r="AE15" s="126">
        <f>'Stream Pull'!H15</f>
        <v>0</v>
      </c>
      <c r="AF15" s="126">
        <f>'Stream Pull'!M15</f>
        <v>0</v>
      </c>
      <c r="AG15" s="48">
        <f t="shared" si="0"/>
        <v>0</v>
      </c>
      <c r="AH15" s="216">
        <f>'Consol Pull'!F15-'Consol Pull'!G15</f>
        <v>0</v>
      </c>
      <c r="AI15" s="48">
        <f t="shared" si="1"/>
        <v>0</v>
      </c>
      <c r="AJ15" s="146"/>
      <c r="AK15" s="224">
        <f>I15+AG15</f>
        <v>0</v>
      </c>
      <c r="AL15" s="224"/>
      <c r="AM15" s="224">
        <f>AK15-E15</f>
        <v>0</v>
      </c>
      <c r="AN15" s="146"/>
      <c r="AO15" s="48" t="e">
        <f>'FIRM Load Pull'!#REF!</f>
        <v>#REF!</v>
      </c>
      <c r="AP15" s="216" t="e">
        <f>I15+AG15+AO15</f>
        <v>#REF!</v>
      </c>
      <c r="AQ15" s="48" t="e">
        <f>AP15-E15</f>
        <v>#REF!</v>
      </c>
      <c r="AR15" s="2"/>
      <c r="AS15" s="2"/>
      <c r="AT15" s="2"/>
    </row>
    <row r="16" spans="1:46" s="140" customFormat="1" ht="16.2" customHeight="1" outlineLevel="1">
      <c r="A16" s="141">
        <v>26</v>
      </c>
      <c r="B16" s="46" t="s">
        <v>58</v>
      </c>
      <c r="C16" s="236" t="s">
        <v>58</v>
      </c>
      <c r="D16" s="311" t="s">
        <v>58</v>
      </c>
      <c r="E16" s="248">
        <f>'Consol Pull'!F16</f>
        <v>917.35540406750363</v>
      </c>
      <c r="F16" s="246"/>
      <c r="G16" s="127">
        <f>IF(ISERROR(E16/'Consol Pull'!T16-1),"-",IF(ABS(E16/'Consol Pull'!T16-1)&gt;1000%," - ",(E16/'Consol Pull'!T16-1)))</f>
        <v>0.46126510475201177</v>
      </c>
      <c r="H16" s="247"/>
      <c r="I16" s="248">
        <f>'FIRM Load Pull'!E16</f>
        <v>52.782368012999996</v>
      </c>
      <c r="J16" s="248">
        <f>'Ship Load Pull'!E16</f>
        <v>20.502922732999998</v>
      </c>
      <c r="K16" s="127">
        <f>IF(ISERROR(I16/'FIRM Load Pull'!Q16-1),"-",IF(ABS(I16/'FIRM Load Pull'!Q16-1)&gt;1000%," - ",(I16/'FIRM Load Pull'!Q16-1)))</f>
        <v>3.3876190905210839</v>
      </c>
      <c r="L16" s="248">
        <f>'FIRM Load Pull'!E16-'FIRM Load Pull'!F16</f>
        <v>19.733145809999996</v>
      </c>
      <c r="M16" s="248">
        <f>'FIRM Load Pull'!E16-'FIRM Load Pull'!G16</f>
        <v>32.797158289999999</v>
      </c>
      <c r="N16" s="223">
        <f>'Consol Pull'!G16</f>
        <v>804.79775054194397</v>
      </c>
      <c r="O16" s="248">
        <f t="shared" si="2"/>
        <v>-752.01538252894397</v>
      </c>
      <c r="P16" s="248">
        <f>I16-'Tracks Pull'!E16</f>
        <v>20.997428596327545</v>
      </c>
      <c r="Q16" s="248">
        <f>M16-'Tracks Pull'!G16</f>
        <v>34.078586812364819</v>
      </c>
      <c r="R16" s="127" t="str">
        <f>IF(ISERROR(#REF!/'RETAIL Load Pull'!N16-1),"-",IF(ABS(#REF!/'RETAIL Load Pull'!N16-1)&gt;1000%," - ",(#REF!/'RETAIL Load Pull'!N16-1)))</f>
        <v>-</v>
      </c>
      <c r="S16" s="127"/>
      <c r="T16" s="127"/>
      <c r="U16" s="262">
        <f>'RETAIL Load Pull'!E16-'RETAIL Load Pull'!F16</f>
        <v>10.268645969999852</v>
      </c>
      <c r="V16" s="248">
        <f>'RETAIL Load Pull'!E16-'RETAIL Load Pull'!G16</f>
        <v>60.996435469999824</v>
      </c>
      <c r="W16" s="248" t="e">
        <f>#REF!-N16</f>
        <v>#REF!</v>
      </c>
      <c r="X16" s="248"/>
      <c r="Y16" s="248" t="e">
        <f>#REF!-'Tracks Pull'!M16</f>
        <v>#REF!</v>
      </c>
      <c r="Z16" s="248"/>
      <c r="AA16" s="250">
        <f>V16-'Tracks Pull'!O16</f>
        <v>62.277863992364644</v>
      </c>
      <c r="AB16" s="247"/>
      <c r="AC16" s="250">
        <f>'Stream Pull'!F16</f>
        <v>30.572350056461634</v>
      </c>
      <c r="AD16" s="250">
        <f>'Stream Pull'!G16</f>
        <v>0.67842125031325795</v>
      </c>
      <c r="AE16" s="250">
        <f>'Stream Pull'!H16</f>
        <v>29.893928806148377</v>
      </c>
      <c r="AF16" s="250">
        <f>'Stream Pull'!M16</f>
        <v>121.15262627999999</v>
      </c>
      <c r="AG16" s="248">
        <f t="shared" si="0"/>
        <v>151.72497633646162</v>
      </c>
      <c r="AH16" s="223">
        <f>'Consol Pull'!F16-'Consol Pull'!G16</f>
        <v>112.55765352555966</v>
      </c>
      <c r="AI16" s="248">
        <f t="shared" si="1"/>
        <v>39.167322810901965</v>
      </c>
      <c r="AJ16" s="247"/>
      <c r="AK16" s="251">
        <f>I16+AG16</f>
        <v>204.50734434946162</v>
      </c>
      <c r="AL16" s="251"/>
      <c r="AM16" s="251">
        <f>AK16-E16</f>
        <v>-712.84805971804201</v>
      </c>
      <c r="AN16" s="247"/>
      <c r="AO16" s="248" t="e">
        <f>'FIRM Load Pull'!#REF!</f>
        <v>#REF!</v>
      </c>
      <c r="AP16" s="223" t="e">
        <f>I16+AG16+AO16</f>
        <v>#REF!</v>
      </c>
      <c r="AQ16" s="248" t="e">
        <f>AP16-E16</f>
        <v>#REF!</v>
      </c>
      <c r="AR16" s="141"/>
      <c r="AS16" s="141"/>
      <c r="AT16" s="141"/>
    </row>
    <row r="17" spans="1:46" ht="16.2" customHeight="1" outlineLevel="2">
      <c r="A17" s="2">
        <v>26</v>
      </c>
      <c r="B17" s="44" t="s">
        <v>17</v>
      </c>
      <c r="C17" s="236" t="s">
        <v>17</v>
      </c>
      <c r="D17" s="313" t="s">
        <v>327</v>
      </c>
      <c r="E17" s="48">
        <f>'Consol Pull'!F17</f>
        <v>158.86588901383408</v>
      </c>
      <c r="F17" s="162"/>
      <c r="G17" s="127" t="str">
        <f>IF(ISERROR(E17/'Consol Pull'!T17-1),"-",IF(ABS(E17/'Consol Pull'!T17-1)&gt;1000%," - ",(E17/'Consol Pull'!T17-1)))</f>
        <v>-</v>
      </c>
      <c r="H17" s="146"/>
      <c r="I17" s="48">
        <f>'FIRM Load Pull'!E17</f>
        <v>10.148707669999999</v>
      </c>
      <c r="J17" s="48">
        <f>'Ship Load Pull'!E17</f>
        <v>4.8705776000000007</v>
      </c>
      <c r="K17" s="127">
        <f>IF(ISERROR(I17/'FIRM Load Pull'!Q17-1),"-",IF(ABS(I17/'FIRM Load Pull'!Q17-1)&gt;1000%," - ",(I17/'FIRM Load Pull'!Q17-1)))</f>
        <v>2.9895540371707421</v>
      </c>
      <c r="L17" s="48">
        <f>'FIRM Load Pull'!E17-'FIRM Load Pull'!F17</f>
        <v>4.5009744099999978</v>
      </c>
      <c r="M17" s="48">
        <f>'FIRM Load Pull'!E17-'FIRM Load Pull'!G17</f>
        <v>5.5738317399999984</v>
      </c>
      <c r="N17" s="216">
        <f>'Consol Pull'!G17</f>
        <v>127.91036718193547</v>
      </c>
      <c r="O17" s="48">
        <f t="shared" si="2"/>
        <v>-117.76165951193548</v>
      </c>
      <c r="P17" s="48">
        <f>I17-'Tracks Pull'!E17</f>
        <v>5.0969747732512385</v>
      </c>
      <c r="Q17" s="48">
        <f>M17-'Tracks Pull'!G17</f>
        <v>5.7774953221890781</v>
      </c>
      <c r="R17" s="127" t="str">
        <f>IF(ISERROR(#REF!/'RETAIL Load Pull'!N17-1),"-",IF(ABS(#REF!/'RETAIL Load Pull'!N17-1)&gt;1000%," - ",(#REF!/'RETAIL Load Pull'!N17-1)))</f>
        <v>-</v>
      </c>
      <c r="S17" s="127"/>
      <c r="T17" s="127"/>
      <c r="U17" s="258">
        <f>'RETAIL Load Pull'!E17-'RETAIL Load Pull'!F17</f>
        <v>9.7456999999678828E-4</v>
      </c>
      <c r="V17" s="48">
        <f>'RETAIL Load Pull'!E17-'RETAIL Load Pull'!G17</f>
        <v>-0.45156810000001002</v>
      </c>
      <c r="W17" s="48" t="e">
        <f>#REF!-N17</f>
        <v>#REF!</v>
      </c>
      <c r="X17" s="48"/>
      <c r="Y17" s="48" t="e">
        <f>#REF!-'Tracks Pull'!M17</f>
        <v>#REF!</v>
      </c>
      <c r="Z17" s="48"/>
      <c r="AA17" s="126">
        <f>V17-'Tracks Pull'!O17</f>
        <v>-0.24790451781093026</v>
      </c>
      <c r="AB17" s="146"/>
      <c r="AC17" s="126">
        <f>'Stream Pull'!F17</f>
        <v>4.8963496550203027</v>
      </c>
      <c r="AD17" s="126">
        <f>'Stream Pull'!G17</f>
        <v>0.26739982745921298</v>
      </c>
      <c r="AE17" s="126">
        <f>'Stream Pull'!H17</f>
        <v>4.6289498275610894</v>
      </c>
      <c r="AF17" s="126">
        <f>'Stream Pull'!M17</f>
        <v>28.079706709999996</v>
      </c>
      <c r="AG17" s="48">
        <f t="shared" si="0"/>
        <v>32.976056365020298</v>
      </c>
      <c r="AH17" s="216">
        <f>'Consol Pull'!F17-'Consol Pull'!G17</f>
        <v>30.955521831898608</v>
      </c>
      <c r="AI17" s="48">
        <f t="shared" si="1"/>
        <v>2.0205345331216904</v>
      </c>
      <c r="AJ17" s="146"/>
      <c r="AK17" s="224">
        <f>I17+AG17</f>
        <v>43.124764035020299</v>
      </c>
      <c r="AL17" s="224"/>
      <c r="AM17" s="224">
        <f>AK17-E17</f>
        <v>-115.74112497881379</v>
      </c>
      <c r="AN17" s="146"/>
      <c r="AO17" s="48" t="e">
        <f>'FIRM Load Pull'!#REF!</f>
        <v>#REF!</v>
      </c>
      <c r="AP17" s="216" t="e">
        <f>I17+AG17+AO17</f>
        <v>#REF!</v>
      </c>
      <c r="AQ17" s="48" t="e">
        <f>AP17-E17</f>
        <v>#REF!</v>
      </c>
      <c r="AR17" s="2"/>
      <c r="AS17" s="2"/>
      <c r="AT17" s="2"/>
    </row>
    <row r="18" spans="1:46" ht="16.2" customHeight="1" outlineLevel="2">
      <c r="A18" s="2">
        <v>26</v>
      </c>
      <c r="B18" s="44" t="s">
        <v>18</v>
      </c>
      <c r="C18" s="236" t="s">
        <v>18</v>
      </c>
      <c r="D18" s="313" t="s">
        <v>328</v>
      </c>
      <c r="E18" s="48">
        <f>'Consol Pull'!F18</f>
        <v>2.6281159089405919</v>
      </c>
      <c r="F18" s="162"/>
      <c r="G18" s="127" t="str">
        <f>IF(ISERROR(E18/'Consol Pull'!T18-1),"-",IF(ABS(E18/'Consol Pull'!T18-1)&gt;1000%," - ",(E18/'Consol Pull'!T18-1)))</f>
        <v>-</v>
      </c>
      <c r="H18" s="146"/>
      <c r="I18" s="48">
        <f>'FIRM Load Pull'!E18</f>
        <v>0</v>
      </c>
      <c r="J18" s="48">
        <f>'Ship Load Pull'!E18</f>
        <v>0</v>
      </c>
      <c r="K18" s="127">
        <f>IF(ISERROR(I18/'FIRM Load Pull'!Q18-1),"-",IF(ABS(I18/'FIRM Load Pull'!Q18-1)&gt;1000%," - ",(I18/'FIRM Load Pull'!Q18-1)))</f>
        <v>-1</v>
      </c>
      <c r="L18" s="48">
        <f>'FIRM Load Pull'!E18-'FIRM Load Pull'!F18</f>
        <v>0</v>
      </c>
      <c r="M18" s="48">
        <f>'FIRM Load Pull'!E18-'FIRM Load Pull'!G18</f>
        <v>0</v>
      </c>
      <c r="N18" s="216">
        <f>'Consol Pull'!G18</f>
        <v>2.4989438889406097</v>
      </c>
      <c r="O18" s="48">
        <f t="shared" si="2"/>
        <v>-2.4989438889406097</v>
      </c>
      <c r="P18" s="48">
        <f>I18-'Tracks Pull'!E18</f>
        <v>-9.8694088126059995E-2</v>
      </c>
      <c r="Q18" s="48">
        <f>M18-'Tracks Pull'!G18</f>
        <v>3.9789101956620027E-3</v>
      </c>
      <c r="R18" s="127" t="str">
        <f>IF(ISERROR(#REF!/'RETAIL Load Pull'!N18-1),"-",IF(ABS(#REF!/'RETAIL Load Pull'!N18-1)&gt;1000%," - ",(#REF!/'RETAIL Load Pull'!N18-1)))</f>
        <v>-</v>
      </c>
      <c r="S18" s="127"/>
      <c r="T18" s="127"/>
      <c r="U18" s="258">
        <f>'RETAIL Load Pull'!E18-'RETAIL Load Pull'!F18</f>
        <v>0</v>
      </c>
      <c r="V18" s="48">
        <f>'RETAIL Load Pull'!E18-'RETAIL Load Pull'!G18</f>
        <v>0</v>
      </c>
      <c r="W18" s="48" t="e">
        <f>#REF!-N18</f>
        <v>#REF!</v>
      </c>
      <c r="X18" s="48"/>
      <c r="Y18" s="48" t="e">
        <f>#REF!-'Tracks Pull'!M18</f>
        <v>#REF!</v>
      </c>
      <c r="Z18" s="48"/>
      <c r="AA18" s="126">
        <f>V18-'Tracks Pull'!O18</f>
        <v>3.9789101956620027E-3</v>
      </c>
      <c r="AB18" s="146"/>
      <c r="AC18" s="126">
        <f>'Stream Pull'!F18</f>
        <v>0</v>
      </c>
      <c r="AD18" s="126">
        <f>'Stream Pull'!G18</f>
        <v>0</v>
      </c>
      <c r="AE18" s="126">
        <f>'Stream Pull'!H18</f>
        <v>0</v>
      </c>
      <c r="AF18" s="126">
        <f>'Stream Pull'!M18</f>
        <v>0.19032484</v>
      </c>
      <c r="AG18" s="48">
        <f t="shared" si="0"/>
        <v>0.19032484</v>
      </c>
      <c r="AH18" s="216">
        <f>'Consol Pull'!F18-'Consol Pull'!G18</f>
        <v>0.12917201999998218</v>
      </c>
      <c r="AI18" s="48">
        <f t="shared" si="1"/>
        <v>6.1152820000017816E-2</v>
      </c>
      <c r="AJ18" s="146"/>
      <c r="AK18" s="224">
        <f>I18+AG18</f>
        <v>0.19032484</v>
      </c>
      <c r="AL18" s="224"/>
      <c r="AM18" s="224">
        <f>AK18-E18</f>
        <v>-2.4377910689405917</v>
      </c>
      <c r="AN18" s="146"/>
      <c r="AO18" s="48" t="e">
        <f>'FIRM Load Pull'!#REF!</f>
        <v>#REF!</v>
      </c>
      <c r="AP18" s="216" t="e">
        <f>I18+AG18+AO18</f>
        <v>#REF!</v>
      </c>
      <c r="AQ18" s="48" t="e">
        <f>AP18-E18</f>
        <v>#REF!</v>
      </c>
      <c r="AR18" s="2"/>
      <c r="AS18" s="2"/>
      <c r="AT18" s="2"/>
    </row>
    <row r="19" spans="1:46" ht="16.2" customHeight="1" outlineLevel="2">
      <c r="A19" s="2">
        <v>26</v>
      </c>
      <c r="B19" s="44" t="s">
        <v>19</v>
      </c>
      <c r="C19" s="236" t="s">
        <v>19</v>
      </c>
      <c r="D19" s="313" t="s">
        <v>329</v>
      </c>
      <c r="E19" s="48">
        <f>'Consol Pull'!F19</f>
        <v>57.255863721850687</v>
      </c>
      <c r="F19" s="162"/>
      <c r="G19" s="127" t="str">
        <f>IF(ISERROR(E19/'Consol Pull'!T19-1),"-",IF(ABS(E19/'Consol Pull'!T19-1)&gt;1000%," - ",(E19/'Consol Pull'!T19-1)))</f>
        <v>-</v>
      </c>
      <c r="H19" s="146"/>
      <c r="I19" s="48">
        <f>'FIRM Load Pull'!E19</f>
        <v>3.7106992899999991</v>
      </c>
      <c r="J19" s="48">
        <f>'Ship Load Pull'!E19</f>
        <v>1.7956988099999986</v>
      </c>
      <c r="K19" s="127">
        <f>IF(ISERROR(I19/'FIRM Load Pull'!Q19-1),"-",IF(ABS(I19/'FIRM Load Pull'!Q19-1)&gt;1000%," - ",(I19/'FIRM Load Pull'!Q19-1)))</f>
        <v>5.00363996325882</v>
      </c>
      <c r="L19" s="48">
        <f>'FIRM Load Pull'!E19-'FIRM Load Pull'!F19</f>
        <v>0</v>
      </c>
      <c r="M19" s="48">
        <f>'FIRM Load Pull'!E19-'FIRM Load Pull'!G19</f>
        <v>9.422469999999894E-2</v>
      </c>
      <c r="N19" s="216">
        <f>'Consol Pull'!G19</f>
        <v>38.285699783352968</v>
      </c>
      <c r="O19" s="48">
        <f t="shared" si="2"/>
        <v>-34.575000493352967</v>
      </c>
      <c r="P19" s="48">
        <f>I19-'Tracks Pull'!E19</f>
        <v>2.1986316340959791</v>
      </c>
      <c r="Q19" s="48">
        <f>M19-'Tracks Pull'!G19</f>
        <v>0.15518459665482887</v>
      </c>
      <c r="R19" s="127" t="str">
        <f>IF(ISERROR(#REF!/'RETAIL Load Pull'!N19-1),"-",IF(ABS(#REF!/'RETAIL Load Pull'!N19-1)&gt;1000%," - ",(#REF!/'RETAIL Load Pull'!N19-1)))</f>
        <v>-</v>
      </c>
      <c r="S19" s="127"/>
      <c r="T19" s="127"/>
      <c r="U19" s="258">
        <f>'RETAIL Load Pull'!E19-'RETAIL Load Pull'!F19</f>
        <v>0.21679999999999922</v>
      </c>
      <c r="V19" s="48">
        <f>'RETAIL Load Pull'!E19-'RETAIL Load Pull'!G19</f>
        <v>1.6743247000000068</v>
      </c>
      <c r="W19" s="48" t="e">
        <f>#REF!-N19</f>
        <v>#REF!</v>
      </c>
      <c r="X19" s="48"/>
      <c r="Y19" s="48" t="e">
        <f>#REF!-'Tracks Pull'!M19</f>
        <v>#REF!</v>
      </c>
      <c r="Z19" s="48"/>
      <c r="AA19" s="126">
        <f>V19-'Tracks Pull'!O19</f>
        <v>1.7352845966548367</v>
      </c>
      <c r="AB19" s="146"/>
      <c r="AC19" s="126">
        <f>'Stream Pull'!F19</f>
        <v>2.0429218418238371</v>
      </c>
      <c r="AD19" s="126">
        <f>'Stream Pull'!G19</f>
        <v>7.2870571202928003E-2</v>
      </c>
      <c r="AE19" s="126">
        <f>'Stream Pull'!H19</f>
        <v>1.970051270620909</v>
      </c>
      <c r="AF19" s="126">
        <f>'Stream Pull'!M19</f>
        <v>20.742740580000003</v>
      </c>
      <c r="AG19" s="48">
        <f>AC19+AF19</f>
        <v>22.78566242182384</v>
      </c>
      <c r="AH19" s="216">
        <f>'Consol Pull'!F19-'Consol Pull'!G19</f>
        <v>18.97016393849772</v>
      </c>
      <c r="AI19" s="48">
        <f t="shared" si="1"/>
        <v>3.8154984833261203</v>
      </c>
      <c r="AJ19" s="146"/>
      <c r="AK19" s="224">
        <f>I19+AG19</f>
        <v>26.496361711823837</v>
      </c>
      <c r="AL19" s="224"/>
      <c r="AM19" s="224">
        <f>AK19-E19</f>
        <v>-30.75950201002685</v>
      </c>
      <c r="AN19" s="146"/>
      <c r="AO19" s="48" t="e">
        <f>'FIRM Load Pull'!#REF!</f>
        <v>#REF!</v>
      </c>
      <c r="AP19" s="216" t="e">
        <f>I19+AG19+AO19</f>
        <v>#REF!</v>
      </c>
      <c r="AQ19" s="48" t="e">
        <f>AP19-E19</f>
        <v>#REF!</v>
      </c>
      <c r="AR19" s="2"/>
      <c r="AS19" s="2"/>
      <c r="AT19" s="2"/>
    </row>
    <row r="20" spans="1:46" ht="16.2" customHeight="1" outlineLevel="2">
      <c r="A20" s="2">
        <v>26</v>
      </c>
      <c r="B20" s="44" t="s">
        <v>77</v>
      </c>
      <c r="C20" s="236" t="s">
        <v>77</v>
      </c>
      <c r="D20" s="313" t="s">
        <v>330</v>
      </c>
      <c r="E20" s="48">
        <f>'Consol Pull'!F20</f>
        <v>452.05484835228066</v>
      </c>
      <c r="F20" s="162"/>
      <c r="G20" s="127" t="str">
        <f>IF(ISERROR(E20/'Consol Pull'!T20-1),"-",IF(ABS(E20/'Consol Pull'!T20-1)&gt;1000%," - ",(E20/'Consol Pull'!T20-1)))</f>
        <v>-</v>
      </c>
      <c r="H20" s="146"/>
      <c r="I20" s="48">
        <f>'FIRM Load Pull'!E20</f>
        <v>21.200062376000005</v>
      </c>
      <c r="J20" s="48">
        <f>'Ship Load Pull'!E20</f>
        <v>6.7396119360000002</v>
      </c>
      <c r="K20" s="127" t="str">
        <f>IF(ISERROR(I20/'FIRM Load Pull'!Q20-1),"-",IF(ABS(I20/'FIRM Load Pull'!Q20-1)&gt;1000%," - ",(I20/'FIRM Load Pull'!Q20-1)))</f>
        <v xml:space="preserve"> - </v>
      </c>
      <c r="L20" s="48">
        <f>'FIRM Load Pull'!E20-'FIRM Load Pull'!F20</f>
        <v>15.232171400000006</v>
      </c>
      <c r="M20" s="48">
        <f>'FIRM Load Pull'!E20-'FIRM Load Pull'!G20</f>
        <v>15.862443540000005</v>
      </c>
      <c r="N20" s="216">
        <f>'Consol Pull'!G20</f>
        <v>428.30565719245817</v>
      </c>
      <c r="O20" s="48">
        <f t="shared" si="2"/>
        <v>-407.10559481645817</v>
      </c>
      <c r="P20" s="48">
        <f>I20-'Tracks Pull'!E20</f>
        <v>4.284421947689907</v>
      </c>
      <c r="Q20" s="48">
        <f>M20-'Tracks Pull'!G20</f>
        <v>16.544407530390206</v>
      </c>
      <c r="R20" s="127" t="str">
        <f>IF(ISERROR(#REF!/'RETAIL Load Pull'!N20-1),"-",IF(ABS(#REF!/'RETAIL Load Pull'!N20-1)&gt;1000%," - ",(#REF!/'RETAIL Load Pull'!N20-1)))</f>
        <v>-</v>
      </c>
      <c r="S20" s="127"/>
      <c r="T20" s="127"/>
      <c r="U20" s="258">
        <f>'RETAIL Load Pull'!E20-'RETAIL Load Pull'!F20</f>
        <v>10.050871400000233</v>
      </c>
      <c r="V20" s="48">
        <f>'RETAIL Load Pull'!E20-'RETAIL Load Pull'!G20</f>
        <v>10.829459810000344</v>
      </c>
      <c r="W20" s="48" t="e">
        <f>#REF!-N20</f>
        <v>#REF!</v>
      </c>
      <c r="X20" s="48"/>
      <c r="Y20" s="48" t="e">
        <f>#REF!-'Tracks Pull'!M20</f>
        <v>#REF!</v>
      </c>
      <c r="Z20" s="48"/>
      <c r="AA20" s="126">
        <f>V20-'Tracks Pull'!O20</f>
        <v>11.511423800390546</v>
      </c>
      <c r="AB20" s="146"/>
      <c r="AC20" s="126">
        <f>'Stream Pull'!F20</f>
        <v>15.467131295288779</v>
      </c>
      <c r="AD20" s="126">
        <f>'Stream Pull'!G20</f>
        <v>0.25233589024881797</v>
      </c>
      <c r="AE20" s="126">
        <f>'Stream Pull'!H20</f>
        <v>15.214795405039961</v>
      </c>
      <c r="AF20" s="126">
        <f>'Stream Pull'!M20</f>
        <v>25.60678841</v>
      </c>
      <c r="AG20" s="48">
        <f t="shared" si="0"/>
        <v>41.07391970528878</v>
      </c>
      <c r="AH20" s="216">
        <f>'Consol Pull'!F20-'Consol Pull'!G20</f>
        <v>23.749191159822487</v>
      </c>
      <c r="AI20" s="48">
        <f t="shared" si="1"/>
        <v>17.324728545466293</v>
      </c>
      <c r="AJ20" s="146"/>
      <c r="AK20" s="224">
        <f>I20+AG20</f>
        <v>62.273982081288786</v>
      </c>
      <c r="AL20" s="224"/>
      <c r="AM20" s="224">
        <f>AK20-E20</f>
        <v>-389.78086627099185</v>
      </c>
      <c r="AN20" s="146"/>
      <c r="AO20" s="48" t="e">
        <f>'FIRM Load Pull'!#REF!</f>
        <v>#REF!</v>
      </c>
      <c r="AP20" s="216" t="e">
        <f>I20+AG20+AO20</f>
        <v>#REF!</v>
      </c>
      <c r="AQ20" s="48" t="e">
        <f>AP20-E20</f>
        <v>#REF!</v>
      </c>
      <c r="AR20" s="2"/>
      <c r="AS20" s="2"/>
      <c r="AT20" s="2"/>
    </row>
    <row r="21" spans="1:46" ht="16.2" customHeight="1" outlineLevel="2">
      <c r="A21" s="2">
        <v>26</v>
      </c>
      <c r="B21" s="44" t="s">
        <v>78</v>
      </c>
      <c r="C21" s="236" t="s">
        <v>78</v>
      </c>
      <c r="D21" s="313" t="s">
        <v>426</v>
      </c>
      <c r="E21" s="48">
        <f>'Consol Pull'!F21</f>
        <v>73.275012521396476</v>
      </c>
      <c r="F21" s="162"/>
      <c r="G21" s="127" t="str">
        <f>IF(ISERROR(E21/'Consol Pull'!T21-1),"-",IF(ABS(E21/'Consol Pull'!T21-1)&gt;1000%," - ",(E21/'Consol Pull'!T21-1)))</f>
        <v>-</v>
      </c>
      <c r="H21" s="146"/>
      <c r="I21" s="48">
        <f>'FIRM Load Pull'!E21</f>
        <v>1.3673398300000001</v>
      </c>
      <c r="J21" s="48">
        <f>'Ship Load Pull'!E21</f>
        <v>1.3673398300000001</v>
      </c>
      <c r="K21" s="127" t="str">
        <f>IF(ISERROR(I21/'FIRM Load Pull'!Q21-1),"-",IF(ABS(I21/'FIRM Load Pull'!Q21-1)&gt;1000%," - ",(I21/'FIRM Load Pull'!Q21-1)))</f>
        <v xml:space="preserve"> - </v>
      </c>
      <c r="L21" s="48">
        <f>'FIRM Load Pull'!E21-'FIRM Load Pull'!F21</f>
        <v>0</v>
      </c>
      <c r="M21" s="48">
        <f>'FIRM Load Pull'!E21-'FIRM Load Pull'!G21</f>
        <v>3.2182919999999893E-2</v>
      </c>
      <c r="N21" s="216">
        <f>'Consol Pull'!G21</f>
        <v>62.50172975419013</v>
      </c>
      <c r="O21" s="48">
        <f t="shared" si="2"/>
        <v>-61.134389924190131</v>
      </c>
      <c r="P21" s="48">
        <f>I21-'Tracks Pull'!E21</f>
        <v>-1.1011234483036398</v>
      </c>
      <c r="Q21" s="48">
        <f>M21-'Tracks Pull'!G21</f>
        <v>0.13170046853965012</v>
      </c>
      <c r="R21" s="127" t="str">
        <f>IF(ISERROR(#REF!/'RETAIL Load Pull'!N21-1),"-",IF(ABS(#REF!/'RETAIL Load Pull'!N21-1)&gt;1000%," - ",(#REF!/'RETAIL Load Pull'!N21-1)))</f>
        <v>-</v>
      </c>
      <c r="S21" s="127"/>
      <c r="T21" s="127"/>
      <c r="U21" s="258">
        <f>'RETAIL Load Pull'!E21-'RETAIL Load Pull'!F21</f>
        <v>0</v>
      </c>
      <c r="V21" s="48">
        <f>'RETAIL Load Pull'!E21-'RETAIL Load Pull'!G21</f>
        <v>30.33025194999999</v>
      </c>
      <c r="W21" s="48" t="e">
        <f>#REF!-N21</f>
        <v>#REF!</v>
      </c>
      <c r="X21" s="48"/>
      <c r="Y21" s="48" t="e">
        <f>#REF!-'Tracks Pull'!M21</f>
        <v>#REF!</v>
      </c>
      <c r="Z21" s="48"/>
      <c r="AA21" s="126">
        <f>V21-'Tracks Pull'!O21</f>
        <v>30.429769498539642</v>
      </c>
      <c r="AB21" s="146"/>
      <c r="AC21" s="126">
        <f>'Stream Pull'!F21</f>
        <v>0.57109071404015999</v>
      </c>
      <c r="AD21" s="126">
        <f>'Stream Pull'!G21</f>
        <v>0</v>
      </c>
      <c r="AE21" s="126">
        <f>'Stream Pull'!H21</f>
        <v>0.57109071404015999</v>
      </c>
      <c r="AF21" s="126">
        <f>'Stream Pull'!M21</f>
        <v>10.46258111</v>
      </c>
      <c r="AG21" s="48">
        <f t="shared" si="0"/>
        <v>11.033671824040161</v>
      </c>
      <c r="AH21" s="216">
        <f>'Consol Pull'!F21-'Consol Pull'!G21</f>
        <v>10.773282767206346</v>
      </c>
      <c r="AI21" s="48">
        <f t="shared" si="1"/>
        <v>0.26038905683381408</v>
      </c>
      <c r="AJ21" s="146"/>
      <c r="AK21" s="224">
        <f>I21+AG21</f>
        <v>12.401011654040161</v>
      </c>
      <c r="AL21" s="224"/>
      <c r="AM21" s="224">
        <f>AK21-E21</f>
        <v>-60.874000867356315</v>
      </c>
      <c r="AN21" s="146"/>
      <c r="AO21" s="48" t="e">
        <f>'FIRM Load Pull'!#REF!</f>
        <v>#REF!</v>
      </c>
      <c r="AP21" s="216" t="e">
        <f>I21+AG21+AO21</f>
        <v>#REF!</v>
      </c>
      <c r="AQ21" s="48" t="e">
        <f>AP21-E21</f>
        <v>#REF!</v>
      </c>
      <c r="AR21" s="2"/>
      <c r="AS21" s="2"/>
      <c r="AT21" s="2"/>
    </row>
    <row r="22" spans="1:46" ht="16.2" customHeight="1" outlineLevel="2">
      <c r="A22" s="2">
        <v>26</v>
      </c>
      <c r="B22" s="138" t="s">
        <v>393</v>
      </c>
      <c r="C22" s="236" t="s">
        <v>393</v>
      </c>
      <c r="D22" s="313" t="s">
        <v>427</v>
      </c>
      <c r="E22" s="48">
        <f>'Consol Pull'!F22</f>
        <v>24.8756347107342</v>
      </c>
      <c r="F22" s="162"/>
      <c r="G22" s="127" t="str">
        <f>IF(ISERROR(E22/'Consol Pull'!T23-1),"-",IF(ABS(E22/'Consol Pull'!T23-1)&gt;1000%," - ",(E22/'Consol Pull'!T23-1)))</f>
        <v>-</v>
      </c>
      <c r="H22" s="146"/>
      <c r="I22" s="48">
        <f>'FIRM Load Pull'!E22</f>
        <v>-3.2614589999999999E-2</v>
      </c>
      <c r="J22" s="48">
        <f>'Ship Load Pull'!E22</f>
        <v>-3.2614589999999999E-2</v>
      </c>
      <c r="K22" s="127" t="str">
        <f>IF(ISERROR(I22/'FIRM Load Pull'!Q22-1),"-",IF(ABS(I22/'FIRM Load Pull'!Q22-1)&gt;1000%," - ",(I22/'FIRM Load Pull'!Q22-1)))</f>
        <v>-</v>
      </c>
      <c r="L22" s="48">
        <f>'FIRM Load Pull'!E22-'FIRM Load Pull'!F22</f>
        <v>0</v>
      </c>
      <c r="M22" s="48">
        <f>'FIRM Load Pull'!E22-'FIRM Load Pull'!G22</f>
        <v>-3.2614650000000002E-2</v>
      </c>
      <c r="N22" s="216">
        <f>'Consol Pull'!G22</f>
        <v>19.8506593837804</v>
      </c>
      <c r="O22" s="48">
        <f t="shared" si="2"/>
        <v>-19.883273973780401</v>
      </c>
      <c r="P22" s="48">
        <f>I22-'Tracks Pull'!E22</f>
        <v>-0.81660287211135296</v>
      </c>
      <c r="Q22" s="48">
        <f>M22-'Tracks Pull'!G22</f>
        <v>-1.0077014157189659E-3</v>
      </c>
      <c r="R22" s="127" t="str">
        <f>IF(ISERROR(#REF!/'RETAIL Load Pull'!N23-1),"-",IF(ABS(#REF!/'RETAIL Load Pull'!N23-1)&gt;1000%," - ",(#REF!/'RETAIL Load Pull'!N23-1)))</f>
        <v>-</v>
      </c>
      <c r="S22" s="127"/>
      <c r="T22" s="127"/>
      <c r="U22" s="258">
        <f>'RETAIL Load Pull'!E23-'RETAIL Load Pull'!F23</f>
        <v>0</v>
      </c>
      <c r="V22" s="48">
        <f>'RETAIL Load Pull'!E23-'RETAIL Load Pull'!G23</f>
        <v>-0.85850693000000011</v>
      </c>
      <c r="W22" s="48" t="e">
        <f>#REF!-N22</f>
        <v>#REF!</v>
      </c>
      <c r="X22" s="48"/>
      <c r="Y22" s="48" t="e">
        <f>#REF!-'Tracks Pull'!M23</f>
        <v>#REF!</v>
      </c>
      <c r="Z22" s="48"/>
      <c r="AA22" s="126">
        <f>V22-'Tracks Pull'!O23</f>
        <v>-0.8584889176148941</v>
      </c>
      <c r="AB22" s="146"/>
      <c r="AC22" s="126">
        <f>'Stream Pull'!F22</f>
        <v>1.7270829561405E-2</v>
      </c>
      <c r="AD22" s="126">
        <f>'Stream Pull'!G22</f>
        <v>0</v>
      </c>
      <c r="AE22" s="126">
        <f>'Stream Pull'!H22</f>
        <v>1.7270829561405E-2</v>
      </c>
      <c r="AF22" s="126">
        <f>'Stream Pull'!M22</f>
        <v>3.3514822099999999</v>
      </c>
      <c r="AG22" s="48">
        <f t="shared" si="0"/>
        <v>3.3687530395614047</v>
      </c>
      <c r="AH22" s="216">
        <f>'Consol Pull'!F23-'Consol Pull'!G23</f>
        <v>-0.41919114276386343</v>
      </c>
      <c r="AI22" s="48">
        <f t="shared" si="1"/>
        <v>3.7879441823252682</v>
      </c>
      <c r="AJ22" s="146"/>
      <c r="AK22" s="224">
        <f>I22+AG22</f>
        <v>3.3361384495614046</v>
      </c>
      <c r="AL22" s="224"/>
      <c r="AM22" s="224">
        <f>AK22-E22</f>
        <v>-21.539496261172797</v>
      </c>
      <c r="AN22" s="146"/>
      <c r="AO22" s="48" t="e">
        <f>'FIRM Load Pull'!#REF!</f>
        <v>#REF!</v>
      </c>
      <c r="AP22" s="216" t="e">
        <f>I22+AG22+AO22</f>
        <v>#REF!</v>
      </c>
      <c r="AQ22" s="48" t="e">
        <f>AP22-E22</f>
        <v>#REF!</v>
      </c>
      <c r="AR22" s="2"/>
      <c r="AS22" s="2"/>
      <c r="AT22" s="2"/>
    </row>
    <row r="23" spans="1:46" ht="16.2" customHeight="1" outlineLevel="2">
      <c r="A23" s="2">
        <v>26</v>
      </c>
      <c r="B23" s="44" t="s">
        <v>80</v>
      </c>
      <c r="C23" s="236" t="s">
        <v>80</v>
      </c>
      <c r="D23" s="313" t="s">
        <v>331</v>
      </c>
      <c r="E23" s="48">
        <f>'Consol Pull'!F23</f>
        <v>-0.40787851255258456</v>
      </c>
      <c r="F23" s="162"/>
      <c r="G23" s="127">
        <f>IF(ISERROR(E23/'Consol Pull'!T24-1),"-",IF(ABS(E23/'Consol Pull'!T24-1)&gt;1000%," - ",(E23/'Consol Pull'!T24-1)))</f>
        <v>-1.0061454351109271</v>
      </c>
      <c r="H23" s="146"/>
      <c r="I23" s="48">
        <f>'FIRM Load Pull'!E23</f>
        <v>-1.93405892</v>
      </c>
      <c r="J23" s="48">
        <f>'Ship Load Pull'!E23</f>
        <v>-0.85850693</v>
      </c>
      <c r="K23" s="127">
        <f>IF(ISERROR(I23/'FIRM Load Pull'!Q23-1),"-",IF(ABS(I23/'FIRM Load Pull'!Q23-1)&gt;1000%," - ",(I23/'FIRM Load Pull'!Q23-1)))</f>
        <v>0.97576131405577526</v>
      </c>
      <c r="L23" s="48">
        <f>'FIRM Load Pull'!E23-'FIRM Load Pull'!F23</f>
        <v>0</v>
      </c>
      <c r="M23" s="48">
        <f>'FIRM Load Pull'!E23-'FIRM Load Pull'!G23</f>
        <v>-0.5340069300000001</v>
      </c>
      <c r="N23" s="216">
        <f>'Consol Pull'!G23</f>
        <v>1.1312630211278899E-2</v>
      </c>
      <c r="O23" s="48">
        <f t="shared" si="2"/>
        <v>-1.9453715502112789</v>
      </c>
      <c r="P23" s="48">
        <f>I23-'Tracks Pull'!E23</f>
        <v>-1.93450570463088</v>
      </c>
      <c r="Q23" s="48">
        <f>M23-'Tracks Pull'!G23</f>
        <v>-0.53398891761489409</v>
      </c>
      <c r="R23" s="127" t="str">
        <f>IF(ISERROR(#REF!/'RETAIL Load Pull'!N24-1),"-",IF(ABS(#REF!/'RETAIL Load Pull'!N24-1)&gt;1000%," - ",(#REF!/'RETAIL Load Pull'!N24-1)))</f>
        <v>-</v>
      </c>
      <c r="S23" s="127"/>
      <c r="T23" s="127"/>
      <c r="U23" s="258">
        <f>'RETAIL Load Pull'!E24-'RETAIL Load Pull'!F24</f>
        <v>0</v>
      </c>
      <c r="V23" s="48">
        <f>'RETAIL Load Pull'!E24-'RETAIL Load Pull'!G24</f>
        <v>4.9224400000000834E-3</v>
      </c>
      <c r="W23" s="48" t="e">
        <f>#REF!-N23</f>
        <v>#REF!</v>
      </c>
      <c r="X23" s="48"/>
      <c r="Y23" s="48" t="e">
        <f>#REF!-'Tracks Pull'!M24</f>
        <v>#REF!</v>
      </c>
      <c r="Z23" s="48"/>
      <c r="AA23" s="126">
        <f>V23-'Tracks Pull'!O24</f>
        <v>3.6467016636726024E-2</v>
      </c>
      <c r="AB23" s="146"/>
      <c r="AC23" s="126">
        <f>'Stream Pull'!F23</f>
        <v>0</v>
      </c>
      <c r="AD23" s="126">
        <f>'Stream Pull'!G23</f>
        <v>0</v>
      </c>
      <c r="AE23" s="126">
        <f>'Stream Pull'!H23</f>
        <v>0</v>
      </c>
      <c r="AF23" s="126">
        <f>'Stream Pull'!M23</f>
        <v>5.3615873900000004</v>
      </c>
      <c r="AG23" s="48">
        <f t="shared" si="0"/>
        <v>5.3615873900000004</v>
      </c>
      <c r="AH23" s="216">
        <f>'Consol Pull'!F24-'Consol Pull'!G24</f>
        <v>6.0757375261345175</v>
      </c>
      <c r="AI23" s="48">
        <f t="shared" si="1"/>
        <v>-0.71415013613451706</v>
      </c>
      <c r="AJ23" s="146"/>
      <c r="AK23" s="224">
        <f>I23+AG23</f>
        <v>3.4275284700000004</v>
      </c>
      <c r="AL23" s="224"/>
      <c r="AM23" s="224">
        <f>AK23-E23</f>
        <v>3.8354069825525849</v>
      </c>
      <c r="AN23" s="146"/>
      <c r="AO23" s="48" t="e">
        <f>'FIRM Load Pull'!#REF!</f>
        <v>#REF!</v>
      </c>
      <c r="AP23" s="216" t="e">
        <f>I23+AG23+AO23</f>
        <v>#REF!</v>
      </c>
      <c r="AQ23" s="48" t="e">
        <f>AP23-E23</f>
        <v>#REF!</v>
      </c>
      <c r="AR23" s="2"/>
      <c r="AS23" s="2"/>
      <c r="AT23" s="2"/>
    </row>
    <row r="24" spans="1:46" ht="16.2" customHeight="1" outlineLevel="2">
      <c r="A24" s="2">
        <v>26</v>
      </c>
      <c r="B24" s="44" t="s">
        <v>104</v>
      </c>
      <c r="C24" s="236" t="s">
        <v>104</v>
      </c>
      <c r="D24" s="313" t="s">
        <v>104</v>
      </c>
      <c r="E24" s="48">
        <f>'Consol Pull'!F24</f>
        <v>25.887224375346818</v>
      </c>
      <c r="F24" s="162"/>
      <c r="G24" s="127">
        <f>IF(ISERROR(E24/'Consol Pull'!T25-1),"-",IF(ABS(E24/'Consol Pull'!T25-1)&gt;1000%," - ",(E24/'Consol Pull'!T25-1)))</f>
        <v>-0.55831430384623992</v>
      </c>
      <c r="H24" s="146"/>
      <c r="I24" s="48">
        <f>'FIRM Load Pull'!E24</f>
        <v>-0.20970485999999999</v>
      </c>
      <c r="J24" s="48">
        <f>'Ship Load Pull'!E24</f>
        <v>4.9224399999999993E-3</v>
      </c>
      <c r="K24" s="127">
        <f>IF(ISERROR(I24/'FIRM Load Pull'!Q24-1),"-",IF(ABS(I24/'FIRM Load Pull'!Q24-1)&gt;1000%," - ",(I24/'FIRM Load Pull'!Q24-1)))</f>
        <v>-1.472043526761873</v>
      </c>
      <c r="L24" s="48">
        <f>'FIRM Load Pull'!E24-'FIRM Load Pull'!F24</f>
        <v>0</v>
      </c>
      <c r="M24" s="48">
        <f>'FIRM Load Pull'!E24-'FIRM Load Pull'!G24</f>
        <v>-0.20911285999999998</v>
      </c>
      <c r="N24" s="216">
        <f>'Consol Pull'!G24</f>
        <v>19.811486849212301</v>
      </c>
      <c r="O24" s="48">
        <f t="shared" si="2"/>
        <v>-20.0211917092123</v>
      </c>
      <c r="P24" s="48">
        <f>I24-'Tracks Pull'!E24</f>
        <v>-0.99214604951920005</v>
      </c>
      <c r="Q24" s="48">
        <f>M24-'Tracks Pull'!G24</f>
        <v>-0.17756828336327404</v>
      </c>
      <c r="R24" s="127" t="str">
        <f>IF(ISERROR(#REF!/'RETAIL Load Pull'!N25-1),"-",IF(ABS(#REF!/'RETAIL Load Pull'!N25-1)&gt;1000%," - ",(#REF!/'RETAIL Load Pull'!N25-1)))</f>
        <v>-</v>
      </c>
      <c r="S24" s="127"/>
      <c r="T24" s="127"/>
      <c r="U24" s="258">
        <f>'RETAIL Load Pull'!E25-'RETAIL Load Pull'!F25</f>
        <v>0</v>
      </c>
      <c r="V24" s="48">
        <f>'RETAIL Load Pull'!E25-'RETAIL Load Pull'!G25</f>
        <v>19.500166250000007</v>
      </c>
      <c r="W24" s="48" t="e">
        <f>#REF!-N24</f>
        <v>#REF!</v>
      </c>
      <c r="X24" s="48"/>
      <c r="Y24" s="48" t="e">
        <f>#REF!-'Tracks Pull'!M25</f>
        <v>#REF!</v>
      </c>
      <c r="Z24" s="48"/>
      <c r="AA24" s="126">
        <f>V24-'Tracks Pull'!O25</f>
        <v>19.668341306789287</v>
      </c>
      <c r="AB24" s="146"/>
      <c r="AC24" s="126">
        <f>'Stream Pull'!F24</f>
        <v>1.46603399150026</v>
      </c>
      <c r="AD24" s="126">
        <f>'Stream Pull'!G24</f>
        <v>0</v>
      </c>
      <c r="AE24" s="126">
        <f>'Stream Pull'!H24</f>
        <v>1.46603399150026</v>
      </c>
      <c r="AF24" s="126">
        <f>'Stream Pull'!M24</f>
        <v>6.1600697899999997</v>
      </c>
      <c r="AG24" s="48">
        <f t="shared" si="0"/>
        <v>7.6261037815002597</v>
      </c>
      <c r="AH24" s="216">
        <f>'Consol Pull'!F25-'Consol Pull'!G25</f>
        <v>17.298800097810314</v>
      </c>
      <c r="AI24" s="48">
        <f t="shared" si="1"/>
        <v>-9.6726963163100557</v>
      </c>
      <c r="AJ24" s="146"/>
      <c r="AK24" s="224">
        <f>I24+AG24</f>
        <v>7.4163989215002601</v>
      </c>
      <c r="AL24" s="224"/>
      <c r="AM24" s="224">
        <f>AK24-E24</f>
        <v>-18.470825453846558</v>
      </c>
      <c r="AN24" s="146"/>
      <c r="AO24" s="48" t="e">
        <f>'FIRM Load Pull'!#REF!</f>
        <v>#REF!</v>
      </c>
      <c r="AP24" s="216" t="e">
        <f>I24+AG24+AO24</f>
        <v>#REF!</v>
      </c>
      <c r="AQ24" s="48" t="e">
        <f>AP24-E24</f>
        <v>#REF!</v>
      </c>
      <c r="AR24" s="2"/>
      <c r="AS24" s="2"/>
      <c r="AT24" s="2"/>
    </row>
    <row r="25" spans="1:46" ht="16.2" customHeight="1" outlineLevel="2">
      <c r="A25" s="2">
        <v>26</v>
      </c>
      <c r="B25" s="44" t="s">
        <v>105</v>
      </c>
      <c r="C25" s="236" t="s">
        <v>105</v>
      </c>
      <c r="D25" s="313" t="s">
        <v>105</v>
      </c>
      <c r="E25" s="48">
        <f>'Consol Pull'!F25</f>
        <v>122.92069397567431</v>
      </c>
      <c r="F25" s="162"/>
      <c r="G25" s="127"/>
      <c r="H25" s="146"/>
      <c r="I25" s="48">
        <f>'FIRM Load Pull'!E25</f>
        <v>18.531937217000003</v>
      </c>
      <c r="J25" s="48">
        <f>'Ship Load Pull'!E25</f>
        <v>6.6158936369999992</v>
      </c>
      <c r="K25" s="127">
        <f>IF(ISERROR(I25/'FIRM Load Pull'!Q25-1),"-",IF(ABS(I25/'FIRM Load Pull'!Q25-1)&gt;1000%," - ",(I25/'FIRM Load Pull'!Q25-1)))</f>
        <v>3.3419556011230753</v>
      </c>
      <c r="L25" s="48">
        <f>'FIRM Load Pull'!E25-'FIRM Load Pull'!F25</f>
        <v>0</v>
      </c>
      <c r="M25" s="48">
        <f>'FIRM Load Pull'!E25-'FIRM Load Pull'!G25</f>
        <v>12.010209830000004</v>
      </c>
      <c r="N25" s="216">
        <f>'Consol Pull'!G25</f>
        <v>105.621893877864</v>
      </c>
      <c r="O25" s="48">
        <f t="shared" si="2"/>
        <v>-87.08995666086399</v>
      </c>
      <c r="P25" s="48">
        <f>I25-'Tracks Pull'!E25</f>
        <v>14.360472403981563</v>
      </c>
      <c r="Q25" s="48">
        <f>M25-'Tracks Pull'!G25</f>
        <v>12.178384886789285</v>
      </c>
      <c r="R25" s="127"/>
      <c r="S25" s="127"/>
      <c r="T25" s="127"/>
      <c r="U25" s="258"/>
      <c r="V25" s="48"/>
      <c r="W25" s="48"/>
      <c r="X25" s="48"/>
      <c r="Y25" s="48"/>
      <c r="Z25" s="48"/>
      <c r="AA25" s="126"/>
      <c r="AB25" s="146"/>
      <c r="AC25" s="126">
        <f>'Stream Pull'!F25</f>
        <v>6.1115517292268891</v>
      </c>
      <c r="AD25" s="126">
        <f>'Stream Pull'!G25</f>
        <v>8.5814961402298995E-2</v>
      </c>
      <c r="AE25" s="126">
        <f>'Stream Pull'!H25</f>
        <v>6.0257367678245899</v>
      </c>
      <c r="AF25" s="126">
        <f>'Stream Pull'!M25</f>
        <v>21.197345240000001</v>
      </c>
      <c r="AG25" s="48"/>
      <c r="AH25" s="216"/>
      <c r="AI25" s="48"/>
      <c r="AJ25" s="146"/>
      <c r="AK25" s="224"/>
      <c r="AL25" s="224"/>
      <c r="AM25" s="224"/>
      <c r="AN25" s="146"/>
      <c r="AO25" s="48"/>
      <c r="AP25" s="216"/>
      <c r="AQ25" s="48"/>
      <c r="AR25" s="2"/>
      <c r="AS25" s="2"/>
      <c r="AT25" s="2"/>
    </row>
    <row r="26" spans="1:46" s="140" customFormat="1" ht="16.2" customHeight="1" outlineLevel="1">
      <c r="A26" s="141">
        <v>26</v>
      </c>
      <c r="B26" s="46" t="s">
        <v>26</v>
      </c>
      <c r="C26" s="236" t="s">
        <v>26</v>
      </c>
      <c r="D26" s="311" t="s">
        <v>26</v>
      </c>
      <c r="E26" s="248">
        <f>'Consol Pull'!F26</f>
        <v>531.43860411914727</v>
      </c>
      <c r="F26" s="246"/>
      <c r="G26" s="127">
        <f>IF(ISERROR(E26/'Consol Pull'!T26-1),"-",IF(ABS(E26/'Consol Pull'!T26-1)&gt;1000%," - ",(E26/'Consol Pull'!T26-1)))</f>
        <v>0.41693339148711051</v>
      </c>
      <c r="H26" s="247"/>
      <c r="I26" s="248">
        <f>'FIRM Load Pull'!E26</f>
        <v>51.441420500000007</v>
      </c>
      <c r="J26" s="248">
        <f>'Ship Load Pull'!E26</f>
        <v>4.7004963399999999</v>
      </c>
      <c r="K26" s="127">
        <f>IF(ISERROR(I26/'FIRM Load Pull'!Q26-1),"-",IF(ABS(I26/'FIRM Load Pull'!Q26-1)&gt;1000%," - ",(I26/'FIRM Load Pull'!Q26-1)))</f>
        <v>2.9892077143169624</v>
      </c>
      <c r="L26" s="248">
        <f>'FIRM Load Pull'!E26-'FIRM Load Pull'!F26</f>
        <v>0.29840039000000473</v>
      </c>
      <c r="M26" s="248">
        <f>'FIRM Load Pull'!E26-'FIRM Load Pull'!G26</f>
        <v>23.410640380000007</v>
      </c>
      <c r="N26" s="223">
        <f>'Consol Pull'!G26</f>
        <v>457.09575001686392</v>
      </c>
      <c r="O26" s="248">
        <f t="shared" si="2"/>
        <v>-405.65432951686392</v>
      </c>
      <c r="P26" s="248">
        <f>I26-'Tracks Pull'!E26</f>
        <v>24.773256742524566</v>
      </c>
      <c r="Q26" s="248">
        <f>M26-'Tracks Pull'!G26</f>
        <v>17.541382918528075</v>
      </c>
      <c r="R26" s="127" t="str">
        <f>IF(ISERROR(#REF!/'RETAIL Load Pull'!N26-1),"-",IF(ABS(#REF!/'RETAIL Load Pull'!N26-1)&gt;1000%," - ",(#REF!/'RETAIL Load Pull'!N26-1)))</f>
        <v>-</v>
      </c>
      <c r="S26" s="127"/>
      <c r="T26" s="127"/>
      <c r="U26" s="262">
        <f>'RETAIL Load Pull'!E26-'RETAIL Load Pull'!F26</f>
        <v>1.2304763899999216</v>
      </c>
      <c r="V26" s="248">
        <f>'RETAIL Load Pull'!E26-'RETAIL Load Pull'!G26</f>
        <v>74.400856869999984</v>
      </c>
      <c r="W26" s="248" t="e">
        <f>#REF!-N26</f>
        <v>#REF!</v>
      </c>
      <c r="X26" s="248"/>
      <c r="Y26" s="248" t="e">
        <f>#REF!-'Tracks Pull'!M26</f>
        <v>#REF!</v>
      </c>
      <c r="Z26" s="248"/>
      <c r="AA26" s="250">
        <f>V26-'Tracks Pull'!O26</f>
        <v>68.531599408528052</v>
      </c>
      <c r="AB26" s="247"/>
      <c r="AC26" s="250">
        <f>'Stream Pull'!F26</f>
        <v>19.08121857347486</v>
      </c>
      <c r="AD26" s="250">
        <f>'Stream Pull'!G26</f>
        <v>-5.0332490000000001E-2</v>
      </c>
      <c r="AE26" s="250">
        <f>'Stream Pull'!H26</f>
        <v>19.131551063474859</v>
      </c>
      <c r="AF26" s="250">
        <f>'Stream Pull'!M26</f>
        <v>85.998684390222152</v>
      </c>
      <c r="AG26" s="248">
        <f t="shared" si="0"/>
        <v>105.07990296369701</v>
      </c>
      <c r="AH26" s="223">
        <f>'Consol Pull'!F26-'Consol Pull'!G26</f>
        <v>74.342854102283354</v>
      </c>
      <c r="AI26" s="248">
        <f t="shared" si="1"/>
        <v>30.737048861413655</v>
      </c>
      <c r="AJ26" s="247"/>
      <c r="AK26" s="251">
        <f>I26+AG26</f>
        <v>156.521323463697</v>
      </c>
      <c r="AL26" s="251"/>
      <c r="AM26" s="251">
        <f>AK26-E26</f>
        <v>-374.91728065545027</v>
      </c>
      <c r="AN26" s="247"/>
      <c r="AO26" s="248" t="e">
        <f>'FIRM Load Pull'!#REF!</f>
        <v>#REF!</v>
      </c>
      <c r="AP26" s="223" t="e">
        <f>I26+AG26+AO26</f>
        <v>#REF!</v>
      </c>
      <c r="AQ26" s="248" t="e">
        <f>AP26-E26</f>
        <v>#REF!</v>
      </c>
      <c r="AR26" s="141"/>
      <c r="AS26" s="141"/>
      <c r="AT26" s="141"/>
    </row>
    <row r="27" spans="1:46" ht="16.2" customHeight="1" outlineLevel="2">
      <c r="A27" s="2">
        <v>26</v>
      </c>
      <c r="B27" s="44" t="s">
        <v>235</v>
      </c>
      <c r="C27" s="236" t="s">
        <v>235</v>
      </c>
      <c r="D27" s="313" t="s">
        <v>235</v>
      </c>
      <c r="E27" s="48">
        <f>'Consol Pull'!F27</f>
        <v>107.28944047496952</v>
      </c>
      <c r="F27" s="162"/>
      <c r="G27" s="127">
        <f>IF(ISERROR(E27/'Consol Pull'!T27-1),"-",IF(ABS(E27/'Consol Pull'!T27-1)&gt;1000%," - ",(E27/'Consol Pull'!T27-1)))</f>
        <v>-0.2798163303654787</v>
      </c>
      <c r="H27" s="146"/>
      <c r="I27" s="48">
        <f>'FIRM Load Pull'!E27</f>
        <v>4.6295061099999995</v>
      </c>
      <c r="J27" s="48">
        <f>'Ship Load Pull'!E27</f>
        <v>0.46999838999999993</v>
      </c>
      <c r="K27" s="127" t="str">
        <f>IF(ISERROR(I27/'FIRM Load Pull'!Q27-1),"-",IF(ABS(I27/'FIRM Load Pull'!Q27-1)&gt;1000%," - ",(I27/'FIRM Load Pull'!Q27-1)))</f>
        <v xml:space="preserve"> - </v>
      </c>
      <c r="L27" s="48">
        <f>'FIRM Load Pull'!E27-'FIRM Load Pull'!F27</f>
        <v>9.9999999392252903E-9</v>
      </c>
      <c r="M27" s="48">
        <f>'FIRM Load Pull'!E27-'FIRM Load Pull'!G27</f>
        <v>4.4385867399999999</v>
      </c>
      <c r="N27" s="216">
        <f>'Consol Pull'!G27</f>
        <v>91.216897595635302</v>
      </c>
      <c r="O27" s="48">
        <f t="shared" si="2"/>
        <v>-86.587391485635308</v>
      </c>
      <c r="P27" s="48">
        <f>I27-'Tracks Pull'!E27</f>
        <v>-0.69232670607742097</v>
      </c>
      <c r="Q27" s="48">
        <f>M27-'Tracks Pull'!G27</f>
        <v>3.2673322341207598</v>
      </c>
      <c r="R27" s="127" t="str">
        <f>IF(ISERROR(#REF!/'RETAIL Load Pull'!N27-1),"-",IF(ABS(#REF!/'RETAIL Load Pull'!N27-1)&gt;1000%," - ",(#REF!/'RETAIL Load Pull'!N27-1)))</f>
        <v>-</v>
      </c>
      <c r="S27" s="127"/>
      <c r="T27" s="127"/>
      <c r="U27" s="258">
        <f>'RETAIL Load Pull'!E27-'RETAIL Load Pull'!F27</f>
        <v>0.93207601000003137</v>
      </c>
      <c r="V27" s="48">
        <f>'RETAIL Load Pull'!E27-'RETAIL Load Pull'!G27</f>
        <v>14.736308610000037</v>
      </c>
      <c r="W27" s="48" t="e">
        <f>#REF!-N27</f>
        <v>#REF!</v>
      </c>
      <c r="X27" s="48"/>
      <c r="Y27" s="48" t="e">
        <f>#REF!-'Tracks Pull'!M27</f>
        <v>#REF!</v>
      </c>
      <c r="Z27" s="48"/>
      <c r="AA27" s="126">
        <f>V27-'Tracks Pull'!O27</f>
        <v>13.565054104120797</v>
      </c>
      <c r="AB27" s="146"/>
      <c r="AC27" s="126">
        <f>'Stream Pull'!F27</f>
        <v>15.687453887125729</v>
      </c>
      <c r="AD27" s="126">
        <f>'Stream Pull'!G27</f>
        <v>0</v>
      </c>
      <c r="AE27" s="126">
        <f>'Stream Pull'!H27</f>
        <v>15.687453887125729</v>
      </c>
      <c r="AF27" s="126">
        <f>'Stream Pull'!M27</f>
        <v>18.943943655333296</v>
      </c>
      <c r="AG27" s="48">
        <f t="shared" si="0"/>
        <v>34.631397542459027</v>
      </c>
      <c r="AH27" s="216">
        <f>'Consol Pull'!F27-'Consol Pull'!G27</f>
        <v>16.072542879334222</v>
      </c>
      <c r="AI27" s="48">
        <f t="shared" si="1"/>
        <v>18.558854663124805</v>
      </c>
      <c r="AJ27" s="146"/>
      <c r="AK27" s="224">
        <f>I27+AG27</f>
        <v>39.260903652459028</v>
      </c>
      <c r="AL27" s="224"/>
      <c r="AM27" s="224">
        <f>AK27-E27</f>
        <v>-68.028536822510489</v>
      </c>
      <c r="AN27" s="146"/>
      <c r="AO27" s="48" t="e">
        <f>'FIRM Load Pull'!#REF!</f>
        <v>#REF!</v>
      </c>
      <c r="AP27" s="216" t="e">
        <f>I27+AG27+AO27</f>
        <v>#REF!</v>
      </c>
      <c r="AQ27" s="48" t="e">
        <f>AP27-E27</f>
        <v>#REF!</v>
      </c>
      <c r="AR27" s="2"/>
      <c r="AS27" s="2"/>
      <c r="AT27" s="2"/>
    </row>
    <row r="28" spans="1:46" ht="16.2" customHeight="1" outlineLevel="2">
      <c r="A28" s="2">
        <v>26</v>
      </c>
      <c r="B28" s="44" t="s">
        <v>106</v>
      </c>
      <c r="C28" s="236" t="s">
        <v>106</v>
      </c>
      <c r="D28" s="313" t="s">
        <v>106</v>
      </c>
      <c r="E28" s="48">
        <f>'Consol Pull'!F28</f>
        <v>106.15288875833359</v>
      </c>
      <c r="F28" s="162"/>
      <c r="G28" s="127">
        <f>IF(ISERROR(E28/'Consol Pull'!T28-1),"-",IF(ABS(E28/'Consol Pull'!T28-1)&gt;1000%," - ",(E28/'Consol Pull'!T28-1)))</f>
        <v>1.5244429164680975</v>
      </c>
      <c r="H28" s="146"/>
      <c r="I28" s="48">
        <f>'FIRM Load Pull'!E28</f>
        <v>0.34107437000000002</v>
      </c>
      <c r="J28" s="48">
        <f>'Ship Load Pull'!E28</f>
        <v>0.34176505000000001</v>
      </c>
      <c r="K28" s="127">
        <f>IF(ISERROR(I28/'FIRM Load Pull'!Q28-1),"-",IF(ABS(I28/'FIRM Load Pull'!Q28-1)&gt;1000%," - ",(I28/'FIRM Load Pull'!Q28-1)))</f>
        <v>3.6225071348629365</v>
      </c>
      <c r="L28" s="48">
        <f>'FIRM Load Pull'!E28-'FIRM Load Pull'!F28</f>
        <v>9.9999999947364415E-9</v>
      </c>
      <c r="M28" s="48">
        <f>'FIRM Load Pull'!E28-'FIRM Load Pull'!G28</f>
        <v>-4.0528059999999977E-2</v>
      </c>
      <c r="N28" s="216">
        <f>'Consol Pull'!G28</f>
        <v>93.798678394967496</v>
      </c>
      <c r="O28" s="48">
        <f t="shared" si="2"/>
        <v>-93.457604024967495</v>
      </c>
      <c r="P28" s="48">
        <f>I28-'Tracks Pull'!E28</f>
        <v>-5.1313863028009994</v>
      </c>
      <c r="Q28" s="48">
        <f>M28-'Tracks Pull'!G28</f>
        <v>-1.2449334674568793</v>
      </c>
      <c r="R28" s="127" t="str">
        <f>IF(ISERROR(#REF!/'RETAIL Load Pull'!N28-1),"-",IF(ABS(#REF!/'RETAIL Load Pull'!N28-1)&gt;1000%," - ",(#REF!/'RETAIL Load Pull'!N28-1)))</f>
        <v>-</v>
      </c>
      <c r="S28" s="127"/>
      <c r="T28" s="127"/>
      <c r="U28" s="258">
        <f>'RETAIL Load Pull'!E28-'RETAIL Load Pull'!F28</f>
        <v>9.9999795111216372E-9</v>
      </c>
      <c r="V28" s="48">
        <f>'RETAIL Load Pull'!E28-'RETAIL Load Pull'!G28</f>
        <v>4.9330998999999736</v>
      </c>
      <c r="W28" s="48" t="e">
        <f>#REF!-N28</f>
        <v>#REF!</v>
      </c>
      <c r="X28" s="48"/>
      <c r="Y28" s="48" t="e">
        <f>#REF!-'Tracks Pull'!M28</f>
        <v>#REF!</v>
      </c>
      <c r="Z28" s="48"/>
      <c r="AA28" s="126">
        <f>V28-'Tracks Pull'!O28</f>
        <v>3.7286944925430943</v>
      </c>
      <c r="AB28" s="146"/>
      <c r="AC28" s="126">
        <f>'Stream Pull'!F28</f>
        <v>5.6384898513174998E-2</v>
      </c>
      <c r="AD28" s="126">
        <f>'Stream Pull'!G28</f>
        <v>0</v>
      </c>
      <c r="AE28" s="126">
        <f>'Stream Pull'!H28</f>
        <v>5.6384898513174998E-2</v>
      </c>
      <c r="AF28" s="126">
        <f>'Stream Pull'!M28</f>
        <v>13.3514568618889</v>
      </c>
      <c r="AG28" s="48">
        <f t="shared" si="0"/>
        <v>13.407841760402075</v>
      </c>
      <c r="AH28" s="216">
        <f>'Consol Pull'!F28-'Consol Pull'!G28</f>
        <v>12.354210363366093</v>
      </c>
      <c r="AI28" s="48">
        <f t="shared" si="1"/>
        <v>1.0536313970359821</v>
      </c>
      <c r="AJ28" s="146"/>
      <c r="AK28" s="224">
        <f>I28+AG28</f>
        <v>13.748916130402074</v>
      </c>
      <c r="AL28" s="224"/>
      <c r="AM28" s="224">
        <f>AK28-E28</f>
        <v>-92.403972627931509</v>
      </c>
      <c r="AN28" s="146"/>
      <c r="AO28" s="48" t="e">
        <f>'FIRM Load Pull'!#REF!</f>
        <v>#REF!</v>
      </c>
      <c r="AP28" s="216" t="e">
        <f>I28+AG28+AO28</f>
        <v>#REF!</v>
      </c>
      <c r="AQ28" s="48" t="e">
        <f>AP28-E28</f>
        <v>#REF!</v>
      </c>
      <c r="AR28" s="2"/>
      <c r="AS28" s="2"/>
      <c r="AT28" s="2"/>
    </row>
    <row r="29" spans="1:46" ht="16.2" customHeight="1" outlineLevel="2">
      <c r="A29" s="2">
        <v>26</v>
      </c>
      <c r="B29" s="44" t="s">
        <v>87</v>
      </c>
      <c r="C29" s="236" t="s">
        <v>87</v>
      </c>
      <c r="D29" s="313" t="s">
        <v>87</v>
      </c>
      <c r="E29" s="48">
        <f>'Consol Pull'!F29</f>
        <v>78.034503256130108</v>
      </c>
      <c r="F29" s="162"/>
      <c r="G29" s="127">
        <f>IF(ISERROR(E29/'Consol Pull'!T29-1),"-",IF(ABS(E29/'Consol Pull'!T29-1)&gt;1000%," - ",(E29/'Consol Pull'!T29-1)))</f>
        <v>0.78464069632570088</v>
      </c>
      <c r="H29" s="146"/>
      <c r="I29" s="48">
        <f>'FIRM Load Pull'!E29</f>
        <v>-0.35621767999999993</v>
      </c>
      <c r="J29" s="48">
        <f>'Ship Load Pull'!E29</f>
        <v>0.16948954999999999</v>
      </c>
      <c r="K29" s="127">
        <f>IF(ISERROR(I29/'FIRM Load Pull'!Q29-1),"-",IF(ABS(I29/'FIRM Load Pull'!Q29-1)&gt;1000%," - ",(I29/'FIRM Load Pull'!Q29-1)))</f>
        <v>-1.4344080965162491</v>
      </c>
      <c r="L29" s="48">
        <f>'FIRM Load Pull'!E29-'FIRM Load Pull'!F29</f>
        <v>0</v>
      </c>
      <c r="M29" s="48">
        <f>'FIRM Load Pull'!E29-'FIRM Load Pull'!G29</f>
        <v>-0.33097012999999986</v>
      </c>
      <c r="N29" s="216">
        <f>'Consol Pull'!G29</f>
        <v>68.177592335928793</v>
      </c>
      <c r="O29" s="48">
        <f t="shared" si="2"/>
        <v>-68.533810015928793</v>
      </c>
      <c r="P29" s="48">
        <f>I29-'Tracks Pull'!E29</f>
        <v>-4.3338770586703799</v>
      </c>
      <c r="Q29" s="48">
        <f>M29-'Tracks Pull'!G29</f>
        <v>-1.2063924950254399</v>
      </c>
      <c r="R29" s="127" t="str">
        <f>IF(ISERROR(#REF!/'RETAIL Load Pull'!N29-1),"-",IF(ABS(#REF!/'RETAIL Load Pull'!N29-1)&gt;1000%," - ",(#REF!/'RETAIL Load Pull'!N29-1)))</f>
        <v>-</v>
      </c>
      <c r="S29" s="127"/>
      <c r="T29" s="127"/>
      <c r="U29" s="258">
        <f>'RETAIL Load Pull'!E29-'RETAIL Load Pull'!F29</f>
        <v>0</v>
      </c>
      <c r="V29" s="48">
        <f>'RETAIL Load Pull'!E29-'RETAIL Load Pull'!G29</f>
        <v>13.177508140000015</v>
      </c>
      <c r="W29" s="48" t="e">
        <f>#REF!-N29</f>
        <v>#REF!</v>
      </c>
      <c r="X29" s="48"/>
      <c r="Y29" s="48" t="e">
        <f>#REF!-'Tracks Pull'!M29</f>
        <v>#REF!</v>
      </c>
      <c r="Z29" s="48"/>
      <c r="AA29" s="126">
        <f>V29-'Tracks Pull'!O29</f>
        <v>12.302085774974575</v>
      </c>
      <c r="AB29" s="146"/>
      <c r="AC29" s="126">
        <f>'Stream Pull'!F29</f>
        <v>0.35117192425656402</v>
      </c>
      <c r="AD29" s="126">
        <f>'Stream Pull'!G29</f>
        <v>0</v>
      </c>
      <c r="AE29" s="126">
        <f>'Stream Pull'!H29</f>
        <v>0.35117192425656402</v>
      </c>
      <c r="AF29" s="126">
        <f>'Stream Pull'!M29</f>
        <v>10.480832216444409</v>
      </c>
      <c r="AG29" s="48">
        <f t="shared" si="0"/>
        <v>10.832004140700972</v>
      </c>
      <c r="AH29" s="216">
        <f>'Consol Pull'!F29-'Consol Pull'!G29</f>
        <v>9.8569109202013152</v>
      </c>
      <c r="AI29" s="48">
        <f t="shared" si="1"/>
        <v>0.97509322049965697</v>
      </c>
      <c r="AJ29" s="146"/>
      <c r="AK29" s="224">
        <f>I29+AG29</f>
        <v>10.475786460700972</v>
      </c>
      <c r="AL29" s="224"/>
      <c r="AM29" s="224">
        <f>AK29-E29</f>
        <v>-67.558716795429135</v>
      </c>
      <c r="AN29" s="146"/>
      <c r="AO29" s="48" t="e">
        <f>'FIRM Load Pull'!#REF!</f>
        <v>#REF!</v>
      </c>
      <c r="AP29" s="216" t="e">
        <f>I29+AG29+AO29</f>
        <v>#REF!</v>
      </c>
      <c r="AQ29" s="48" t="e">
        <f>AP29-E29</f>
        <v>#REF!</v>
      </c>
      <c r="AR29" s="2"/>
      <c r="AS29" s="2"/>
      <c r="AT29" s="2"/>
    </row>
    <row r="30" spans="1:46" ht="16.2" customHeight="1" outlineLevel="2">
      <c r="A30" s="2">
        <v>26</v>
      </c>
      <c r="B30" s="44" t="s">
        <v>107</v>
      </c>
      <c r="C30" s="236" t="s">
        <v>107</v>
      </c>
      <c r="D30" s="313" t="s">
        <v>107</v>
      </c>
      <c r="E30" s="48">
        <f>'Consol Pull'!F30</f>
        <v>67.267898006274379</v>
      </c>
      <c r="F30" s="162"/>
      <c r="G30" s="127">
        <f>IF(ISERROR(E30/'Consol Pull'!T30-1),"-",IF(ABS(E30/'Consol Pull'!T30-1)&gt;1000%," - ",(E30/'Consol Pull'!T30-1)))</f>
        <v>1.4023388607159371</v>
      </c>
      <c r="H30" s="146"/>
      <c r="I30" s="48">
        <f>'FIRM Load Pull'!E30</f>
        <v>29.203711219999999</v>
      </c>
      <c r="J30" s="48">
        <f>'Ship Load Pull'!E30</f>
        <v>0</v>
      </c>
      <c r="K30" s="127" t="str">
        <f>IF(ISERROR(I30/'FIRM Load Pull'!Q30-1),"-",IF(ABS(I30/'FIRM Load Pull'!Q30-1)&gt;1000%," - ",(I30/'FIRM Load Pull'!Q30-1)))</f>
        <v xml:space="preserve"> - </v>
      </c>
      <c r="L30" s="48">
        <f>'FIRM Load Pull'!E30-'FIRM Load Pull'!F30</f>
        <v>0</v>
      </c>
      <c r="M30" s="48">
        <f>'FIRM Load Pull'!E30-'FIRM Load Pull'!G30</f>
        <v>11.454450359999999</v>
      </c>
      <c r="N30" s="216">
        <f>'Consol Pull'!G30</f>
        <v>60.962307207120404</v>
      </c>
      <c r="O30" s="48">
        <f t="shared" si="2"/>
        <v>-31.758595987120405</v>
      </c>
      <c r="P30" s="48">
        <f>I30-'Tracks Pull'!E30</f>
        <v>25.647010481537578</v>
      </c>
      <c r="Q30" s="48">
        <f>M30-'Tracks Pull'!G30</f>
        <v>10.671674592711119</v>
      </c>
      <c r="R30" s="127" t="str">
        <f>IF(ISERROR(#REF!/'RETAIL Load Pull'!N30-1),"-",IF(ABS(#REF!/'RETAIL Load Pull'!N30-1)&gt;1000%," - ",(#REF!/'RETAIL Load Pull'!N30-1)))</f>
        <v>-</v>
      </c>
      <c r="S30" s="127"/>
      <c r="T30" s="127"/>
      <c r="U30" s="258">
        <f>'RETAIL Load Pull'!E30-'RETAIL Load Pull'!F30</f>
        <v>0</v>
      </c>
      <c r="V30" s="48">
        <f>'RETAIL Load Pull'!E30-'RETAIL Load Pull'!G30</f>
        <v>48.756844340000001</v>
      </c>
      <c r="W30" s="48" t="e">
        <f>#REF!-N30</f>
        <v>#REF!</v>
      </c>
      <c r="X30" s="48"/>
      <c r="Y30" s="48" t="e">
        <f>#REF!-'Tracks Pull'!M30</f>
        <v>#REF!</v>
      </c>
      <c r="Z30" s="48"/>
      <c r="AA30" s="126">
        <f>V30-'Tracks Pull'!O30</f>
        <v>47.974068572711118</v>
      </c>
      <c r="AB30" s="146"/>
      <c r="AC30" s="126">
        <f>'Stream Pull'!F30</f>
        <v>9.9696647531632002E-2</v>
      </c>
      <c r="AD30" s="126">
        <f>'Stream Pull'!G30</f>
        <v>6.4847200000000002E-3</v>
      </c>
      <c r="AE30" s="126">
        <f>'Stream Pull'!H30</f>
        <v>9.3211927531632002E-2</v>
      </c>
      <c r="AF30" s="126">
        <f>'Stream Pull'!M30</f>
        <v>8.0489837851111119</v>
      </c>
      <c r="AG30" s="48">
        <f t="shared" si="0"/>
        <v>8.1486804326427436</v>
      </c>
      <c r="AH30" s="216">
        <f>'Consol Pull'!F30-'Consol Pull'!G30</f>
        <v>6.3055907991539755</v>
      </c>
      <c r="AI30" s="48">
        <f t="shared" si="1"/>
        <v>1.8430896334887681</v>
      </c>
      <c r="AJ30" s="146"/>
      <c r="AK30" s="224">
        <f>I30+AG30</f>
        <v>37.352391652642744</v>
      </c>
      <c r="AL30" s="224"/>
      <c r="AM30" s="224">
        <f>AK30-E30</f>
        <v>-29.915506353631635</v>
      </c>
      <c r="AN30" s="146"/>
      <c r="AO30" s="48" t="e">
        <f>'FIRM Load Pull'!#REF!</f>
        <v>#REF!</v>
      </c>
      <c r="AP30" s="216" t="e">
        <f>I30+AG30+AO30</f>
        <v>#REF!</v>
      </c>
      <c r="AQ30" s="48" t="e">
        <f>AP30-E30</f>
        <v>#REF!</v>
      </c>
      <c r="AR30" s="2"/>
      <c r="AS30" s="2"/>
      <c r="AT30" s="2"/>
    </row>
    <row r="31" spans="1:46" ht="16.2" customHeight="1" outlineLevel="2">
      <c r="A31" s="2">
        <v>26</v>
      </c>
      <c r="B31" s="44" t="s">
        <v>236</v>
      </c>
      <c r="C31" s="236" t="s">
        <v>236</v>
      </c>
      <c r="D31" s="313" t="s">
        <v>236</v>
      </c>
      <c r="E31" s="48">
        <f>'Consol Pull'!F31</f>
        <v>34.302743203725839</v>
      </c>
      <c r="F31" s="162"/>
      <c r="G31" s="127">
        <f>IF(ISERROR(E31/'Consol Pull'!T31-1),"-",IF(ABS(E31/'Consol Pull'!T31-1)&gt;1000%," - ",(E31/'Consol Pull'!T31-1)))</f>
        <v>4.5634975282011769E-2</v>
      </c>
      <c r="H31" s="146"/>
      <c r="I31" s="48">
        <f>'FIRM Load Pull'!E31</f>
        <v>1.3247822900000001</v>
      </c>
      <c r="J31" s="48">
        <f>'Ship Load Pull'!E31</f>
        <v>1.35908311</v>
      </c>
      <c r="K31" s="127">
        <f>IF(ISERROR(I31/'FIRM Load Pull'!Q31-1),"-",IF(ABS(I31/'FIRM Load Pull'!Q31-1)&gt;1000%," - ",(I31/'FIRM Load Pull'!Q31-1)))</f>
        <v>0.25476502155567005</v>
      </c>
      <c r="L31" s="48">
        <f>'FIRM Load Pull'!E31-'FIRM Load Pull'!F31</f>
        <v>2.1647250000000007E-2</v>
      </c>
      <c r="M31" s="48">
        <f>'FIRM Load Pull'!E31-'FIRM Load Pull'!G31</f>
        <v>4.8997479999999927E-2</v>
      </c>
      <c r="N31" s="216">
        <f>'Consol Pull'!G31</f>
        <v>25.579059162129699</v>
      </c>
      <c r="O31" s="48">
        <f t="shared" si="2"/>
        <v>-24.254276872129697</v>
      </c>
      <c r="P31" s="48">
        <f>I31-'Tracks Pull'!E31</f>
        <v>-0.16756704484430984</v>
      </c>
      <c r="Q31" s="48">
        <f>M31-'Tracks Pull'!G31</f>
        <v>-0.27944592346464003</v>
      </c>
      <c r="R31" s="127" t="str">
        <f>IF(ISERROR(#REF!/'RETAIL Load Pull'!N31-1),"-",IF(ABS(#REF!/'RETAIL Load Pull'!N31-1)&gt;1000%," - ",(#REF!/'RETAIL Load Pull'!N31-1)))</f>
        <v>-</v>
      </c>
      <c r="S31" s="127"/>
      <c r="T31" s="127"/>
      <c r="U31" s="258">
        <f>'RETAIL Load Pull'!E31-'RETAIL Load Pull'!F31</f>
        <v>2.1647250000000895E-2</v>
      </c>
      <c r="V31" s="48">
        <f>'RETAIL Load Pull'!E31-'RETAIL Load Pull'!G31</f>
        <v>4.3245999999967921E-3</v>
      </c>
      <c r="W31" s="48" t="e">
        <f>#REF!-N31</f>
        <v>#REF!</v>
      </c>
      <c r="X31" s="48"/>
      <c r="Y31" s="48" t="e">
        <f>#REF!-'Tracks Pull'!M31</f>
        <v>#REF!</v>
      </c>
      <c r="Z31" s="48"/>
      <c r="AA31" s="126">
        <f>V31-'Tracks Pull'!O31</f>
        <v>-0.32411880346464317</v>
      </c>
      <c r="AB31" s="146"/>
      <c r="AC31" s="126">
        <f>'Stream Pull'!F31</f>
        <v>0.177167021406548</v>
      </c>
      <c r="AD31" s="126">
        <f>'Stream Pull'!G31</f>
        <v>0</v>
      </c>
      <c r="AE31" s="126">
        <f>'Stream Pull'!H31</f>
        <v>0.177167021406548</v>
      </c>
      <c r="AF31" s="126">
        <f>'Stream Pull'!M31</f>
        <v>9.5717392364444525</v>
      </c>
      <c r="AG31" s="48">
        <f t="shared" si="0"/>
        <v>9.7489062578510008</v>
      </c>
      <c r="AH31" s="216">
        <f>'Consol Pull'!F31-'Consol Pull'!G31</f>
        <v>8.7236840415961403</v>
      </c>
      <c r="AI31" s="48">
        <f t="shared" si="1"/>
        <v>1.0252222162548605</v>
      </c>
      <c r="AJ31" s="146"/>
      <c r="AK31" s="224">
        <f>I31+AG31</f>
        <v>11.073688547851001</v>
      </c>
      <c r="AL31" s="224"/>
      <c r="AM31" s="224">
        <f>AK31-E31</f>
        <v>-23.22905465587484</v>
      </c>
      <c r="AN31" s="146"/>
      <c r="AO31" s="48" t="e">
        <f>'FIRM Load Pull'!#REF!</f>
        <v>#REF!</v>
      </c>
      <c r="AP31" s="216" t="e">
        <f>I31+AG31+AO31</f>
        <v>#REF!</v>
      </c>
      <c r="AQ31" s="48" t="e">
        <f>AP31-E31</f>
        <v>#REF!</v>
      </c>
      <c r="AR31" s="2"/>
      <c r="AS31" s="2"/>
      <c r="AT31" s="2"/>
    </row>
    <row r="32" spans="1:46" ht="16.2" customHeight="1" outlineLevel="2">
      <c r="A32" s="2">
        <v>26</v>
      </c>
      <c r="B32" s="44" t="s">
        <v>237</v>
      </c>
      <c r="C32" s="236" t="s">
        <v>237</v>
      </c>
      <c r="D32" s="313" t="s">
        <v>237</v>
      </c>
      <c r="E32" s="48">
        <f>'Consol Pull'!F32</f>
        <v>64.205524603590547</v>
      </c>
      <c r="F32" s="162"/>
      <c r="G32" s="127">
        <f>IF(ISERROR(E32/'Consol Pull'!T32-1),"-",IF(ABS(E32/'Consol Pull'!T32-1)&gt;1000%," - ",(E32/'Consol Pull'!T32-1)))</f>
        <v>0.33739205847729759</v>
      </c>
      <c r="H32" s="146"/>
      <c r="I32" s="48">
        <f>'FIRM Load Pull'!E32</f>
        <v>1.10725699</v>
      </c>
      <c r="J32" s="48">
        <f>'Ship Load Pull'!E32</f>
        <v>1.1920084499999999</v>
      </c>
      <c r="K32" s="127">
        <f>IF(ISERROR(I32/'FIRM Load Pull'!Q32-1),"-",IF(ABS(I32/'FIRM Load Pull'!Q32-1)&gt;1000%," - ",(I32/'FIRM Load Pull'!Q32-1)))</f>
        <v>-0.877719418481687</v>
      </c>
      <c r="L32" s="48">
        <f>'FIRM Load Pull'!E32-'FIRM Load Pull'!F32</f>
        <v>0.27675312000000007</v>
      </c>
      <c r="M32" s="48">
        <f>'FIRM Load Pull'!E32-'FIRM Load Pull'!G32</f>
        <v>0.55537279000000006</v>
      </c>
      <c r="N32" s="216">
        <f>'Consol Pull'!G32</f>
        <v>49.114134001531298</v>
      </c>
      <c r="O32" s="48">
        <f t="shared" si="2"/>
        <v>-48.006877011531294</v>
      </c>
      <c r="P32" s="48">
        <f>I32-'Tracks Pull'!E32</f>
        <v>-1.75819027856705</v>
      </c>
      <c r="Q32" s="48">
        <f>M32-'Tracks Pull'!G32</f>
        <v>-7.5268596277570099E-2</v>
      </c>
      <c r="R32" s="127" t="str">
        <f>IF(ISERROR(#REF!/'RETAIL Load Pull'!N32-1),"-",IF(ABS(#REF!/'RETAIL Load Pull'!N32-1)&gt;1000%," - ",(#REF!/'RETAIL Load Pull'!N32-1)))</f>
        <v>-</v>
      </c>
      <c r="S32" s="127"/>
      <c r="T32" s="127"/>
      <c r="U32" s="258">
        <f>'RETAIL Load Pull'!E32-'RETAIL Load Pull'!F32</f>
        <v>0.27675312000000218</v>
      </c>
      <c r="V32" s="48">
        <f>'RETAIL Load Pull'!E32-'RETAIL Load Pull'!G32</f>
        <v>0.43670282000000071</v>
      </c>
      <c r="W32" s="48" t="e">
        <f>#REF!-N32</f>
        <v>#REF!</v>
      </c>
      <c r="X32" s="48"/>
      <c r="Y32" s="48" t="e">
        <f>#REF!-'Tracks Pull'!M32</f>
        <v>#REF!</v>
      </c>
      <c r="Z32" s="48"/>
      <c r="AA32" s="126">
        <f>V32-'Tracks Pull'!O32</f>
        <v>-0.19393856627756945</v>
      </c>
      <c r="AB32" s="146"/>
      <c r="AC32" s="126">
        <f>'Stream Pull'!F32</f>
        <v>1.784268332481155</v>
      </c>
      <c r="AD32" s="126">
        <f>'Stream Pull'!G32</f>
        <v>1.8623000000000001E-4</v>
      </c>
      <c r="AE32" s="126">
        <f>'Stream Pull'!H32</f>
        <v>1.7840821024811551</v>
      </c>
      <c r="AF32" s="126">
        <f>'Stream Pull'!M32</f>
        <v>17.413852312888903</v>
      </c>
      <c r="AG32" s="48">
        <f t="shared" si="0"/>
        <v>19.198120645370057</v>
      </c>
      <c r="AH32" s="216">
        <f>'Consol Pull'!F32-'Consol Pull'!G32</f>
        <v>15.091390602059249</v>
      </c>
      <c r="AI32" s="48">
        <f t="shared" si="1"/>
        <v>4.106730043310808</v>
      </c>
      <c r="AJ32" s="146"/>
      <c r="AK32" s="224">
        <f>I32+AG32</f>
        <v>20.305377635370057</v>
      </c>
      <c r="AL32" s="224"/>
      <c r="AM32" s="224">
        <f>AK32-E32</f>
        <v>-43.90014696822049</v>
      </c>
      <c r="AN32" s="146"/>
      <c r="AO32" s="48" t="e">
        <f>'FIRM Load Pull'!#REF!</f>
        <v>#REF!</v>
      </c>
      <c r="AP32" s="216" t="e">
        <f>I32+AG32+AO32</f>
        <v>#REF!</v>
      </c>
      <c r="AQ32" s="48" t="e">
        <f>AP32-E32</f>
        <v>#REF!</v>
      </c>
      <c r="AR32" s="2"/>
      <c r="AS32" s="2"/>
      <c r="AT32" s="2"/>
    </row>
    <row r="33" spans="1:46" ht="16.2" customHeight="1" outlineLevel="2">
      <c r="A33" s="2">
        <v>26</v>
      </c>
      <c r="B33" s="44" t="s">
        <v>163</v>
      </c>
      <c r="C33" s="236" t="s">
        <v>163</v>
      </c>
      <c r="D33" s="313" t="s">
        <v>163</v>
      </c>
      <c r="E33" s="48">
        <f>'Consol Pull'!F33</f>
        <v>74.185651160252959</v>
      </c>
      <c r="F33" s="162"/>
      <c r="G33" s="127">
        <f>IF(ISERROR(E33/'Consol Pull'!T33-1),"-",IF(ABS(E33/'Consol Pull'!T33-1)&gt;1000%," - ",(E33/'Consol Pull'!T33-1)))</f>
        <v>1.4833314890947951</v>
      </c>
      <c r="H33" s="146"/>
      <c r="I33" s="48">
        <f>'FIRM Load Pull'!E33</f>
        <v>15.191307200000001</v>
      </c>
      <c r="J33" s="48">
        <f>'Ship Load Pull'!E33</f>
        <v>1.16815179</v>
      </c>
      <c r="K33" s="127">
        <f>IF(ISERROR(I33/'FIRM Load Pull'!Q33-1),"-",IF(ABS(I33/'FIRM Load Pull'!Q33-1)&gt;1000%," - ",(I33/'FIRM Load Pull'!Q33-1)))</f>
        <v>7.1216264839986803</v>
      </c>
      <c r="L33" s="48">
        <f>'FIRM Load Pull'!E33-'FIRM Load Pull'!F33</f>
        <v>0</v>
      </c>
      <c r="M33" s="48">
        <f>'FIRM Load Pull'!E33-'FIRM Load Pull'!G33</f>
        <v>7.2847312000000004</v>
      </c>
      <c r="N33" s="216">
        <f>'Consol Pull'!G33</f>
        <v>68.2470813195511</v>
      </c>
      <c r="O33" s="48">
        <f t="shared" si="2"/>
        <v>-53.055774119551103</v>
      </c>
      <c r="P33" s="48">
        <f>I33-'Tracks Pull'!E33</f>
        <v>11.209593651947142</v>
      </c>
      <c r="Q33" s="48">
        <f>M33-'Tracks Pull'!G33</f>
        <v>6.4084165739207197</v>
      </c>
      <c r="R33" s="127" t="str">
        <f>IF(ISERROR(#REF!/'RETAIL Load Pull'!N33-1),"-",IF(ABS(#REF!/'RETAIL Load Pull'!N33-1)&gt;1000%," - ",(#REF!/'RETAIL Load Pull'!N33-1)))</f>
        <v>-</v>
      </c>
      <c r="S33" s="127"/>
      <c r="T33" s="127"/>
      <c r="U33" s="258">
        <f>'RETAIL Load Pull'!E33-'RETAIL Load Pull'!F33</f>
        <v>0</v>
      </c>
      <c r="V33" s="48">
        <f>'RETAIL Load Pull'!E33-'RETAIL Load Pull'!G33</f>
        <v>-7.643931539999997</v>
      </c>
      <c r="W33" s="48" t="e">
        <f>#REF!-N33</f>
        <v>#REF!</v>
      </c>
      <c r="X33" s="48"/>
      <c r="Y33" s="48" t="e">
        <f>#REF!-'Tracks Pull'!M33</f>
        <v>#REF!</v>
      </c>
      <c r="Z33" s="48"/>
      <c r="AA33" s="126">
        <f>V33-'Tracks Pull'!O33</f>
        <v>-8.5202461660792768</v>
      </c>
      <c r="AB33" s="146"/>
      <c r="AC33" s="126">
        <f>'Stream Pull'!F33</f>
        <v>0.92507586216005588</v>
      </c>
      <c r="AD33" s="126">
        <f>'Stream Pull'!G33</f>
        <v>-5.7003440000000002E-2</v>
      </c>
      <c r="AE33" s="126">
        <f>'Stream Pull'!H33</f>
        <v>0.98207930216005601</v>
      </c>
      <c r="AF33" s="126">
        <f>'Stream Pull'!M33</f>
        <v>7.3978763221111201</v>
      </c>
      <c r="AG33" s="48">
        <f t="shared" si="0"/>
        <v>8.3229521842711769</v>
      </c>
      <c r="AH33" s="216">
        <f>'Consol Pull'!F33-'Consol Pull'!G33</f>
        <v>5.9385698407018594</v>
      </c>
      <c r="AI33" s="48">
        <f t="shared" si="1"/>
        <v>2.3843823435693174</v>
      </c>
      <c r="AJ33" s="146"/>
      <c r="AK33" s="224">
        <f>I33+AG33</f>
        <v>23.514259384271178</v>
      </c>
      <c r="AL33" s="224"/>
      <c r="AM33" s="224">
        <f>AK33-E33</f>
        <v>-50.671391775981782</v>
      </c>
      <c r="AN33" s="146"/>
      <c r="AO33" s="48" t="e">
        <f>'FIRM Load Pull'!#REF!</f>
        <v>#REF!</v>
      </c>
      <c r="AP33" s="216" t="e">
        <f>I33+AG33+AO33</f>
        <v>#REF!</v>
      </c>
      <c r="AQ33" s="48" t="e">
        <f>AP33-E33</f>
        <v>#REF!</v>
      </c>
      <c r="AR33" s="2"/>
      <c r="AS33" s="2"/>
      <c r="AT33" s="2"/>
    </row>
    <row r="34" spans="1:46" ht="16.2" customHeight="1" outlineLevel="2">
      <c r="A34" s="2">
        <v>26</v>
      </c>
      <c r="B34" s="44" t="s">
        <v>404</v>
      </c>
      <c r="C34" s="236" t="s">
        <v>404</v>
      </c>
      <c r="D34" s="313" t="s">
        <v>404</v>
      </c>
      <c r="E34" s="48">
        <f>'Consol Pull'!F34</f>
        <v>0</v>
      </c>
      <c r="F34" s="162"/>
      <c r="G34" s="127"/>
      <c r="H34" s="146"/>
      <c r="I34" s="48">
        <f>'FIRM Load Pull'!E34</f>
        <v>0</v>
      </c>
      <c r="J34" s="48">
        <f>'Ship Load Pull'!E34</f>
        <v>0</v>
      </c>
      <c r="K34" s="127" t="str">
        <f>IF(ISERROR(I34/'FIRM Load Pull'!Q34-1),"-",IF(ABS(I34/'FIRM Load Pull'!Q34-1)&gt;1000%," - ",(I34/'FIRM Load Pull'!Q34-1)))</f>
        <v>-</v>
      </c>
      <c r="L34" s="48">
        <f>'FIRM Load Pull'!E34-'FIRM Load Pull'!F34</f>
        <v>0</v>
      </c>
      <c r="M34" s="48">
        <f>'FIRM Load Pull'!E34-'FIRM Load Pull'!G34</f>
        <v>0</v>
      </c>
      <c r="N34" s="216">
        <f>'Consol Pull'!G34</f>
        <v>0</v>
      </c>
      <c r="O34" s="48">
        <f t="shared" si="2"/>
        <v>0</v>
      </c>
      <c r="P34" s="48">
        <f>I34-'Tracks Pull'!E34</f>
        <v>0</v>
      </c>
      <c r="Q34" s="48">
        <f>M34-'Tracks Pull'!G34</f>
        <v>0</v>
      </c>
      <c r="R34" s="127"/>
      <c r="S34" s="127"/>
      <c r="T34" s="127"/>
      <c r="U34" s="258"/>
      <c r="V34" s="48"/>
      <c r="W34" s="48"/>
      <c r="X34" s="48"/>
      <c r="Y34" s="48"/>
      <c r="Z34" s="48"/>
      <c r="AA34" s="126"/>
      <c r="AB34" s="146"/>
      <c r="AC34" s="126">
        <f>'Stream Pull'!F34</f>
        <v>0</v>
      </c>
      <c r="AD34" s="126">
        <f>'Stream Pull'!G34</f>
        <v>0</v>
      </c>
      <c r="AE34" s="126">
        <f>'Stream Pull'!H34</f>
        <v>0</v>
      </c>
      <c r="AF34" s="126">
        <f>'Stream Pull'!M34</f>
        <v>0.79</v>
      </c>
      <c r="AG34" s="48"/>
      <c r="AH34" s="216"/>
      <c r="AI34" s="48"/>
      <c r="AJ34" s="146"/>
      <c r="AK34" s="224"/>
      <c r="AL34" s="224"/>
      <c r="AM34" s="224"/>
      <c r="AN34" s="146"/>
      <c r="AO34" s="48"/>
      <c r="AP34" s="216"/>
      <c r="AQ34" s="48"/>
      <c r="AR34" s="2"/>
      <c r="AS34" s="2"/>
      <c r="AT34" s="2"/>
    </row>
    <row r="35" spans="1:46" s="140" customFormat="1" ht="16.2" customHeight="1" outlineLevel="1">
      <c r="A35" s="141">
        <v>26</v>
      </c>
      <c r="B35" s="46" t="s">
        <v>59</v>
      </c>
      <c r="C35" s="236" t="s">
        <v>59</v>
      </c>
      <c r="D35" s="311" t="s">
        <v>59</v>
      </c>
      <c r="E35" s="248">
        <f>'Consol Pull'!F35</f>
        <v>109.75344069943235</v>
      </c>
      <c r="F35" s="246"/>
      <c r="G35" s="127">
        <f>IF(ISERROR(E35/'Consol Pull'!T35-1),"-",IF(ABS(E35/'Consol Pull'!T35-1)&gt;1000%," - ",(E35/'Consol Pull'!T35-1)))</f>
        <v>4.8849214879069125E-2</v>
      </c>
      <c r="H35" s="247"/>
      <c r="I35" s="248">
        <f>'FIRM Load Pull'!E35</f>
        <v>22.30288096</v>
      </c>
      <c r="J35" s="248">
        <f>'Ship Load Pull'!E35</f>
        <v>6.4719127599999995</v>
      </c>
      <c r="K35" s="127">
        <f>IF(ISERROR(I35/'FIRM Load Pull'!Q35-1),"-",IF(ABS(I35/'FIRM Load Pull'!Q35-1)&gt;1000%," - ",(I35/'FIRM Load Pull'!Q35-1)))</f>
        <v>-0.35455551259968321</v>
      </c>
      <c r="L35" s="248">
        <f>'FIRM Load Pull'!E35-'FIRM Load Pull'!F35</f>
        <v>0</v>
      </c>
      <c r="M35" s="248">
        <f>'FIRM Load Pull'!E35-'FIRM Load Pull'!G35</f>
        <v>-2.700000010236181E-7</v>
      </c>
      <c r="N35" s="223">
        <f>'Consol Pull'!G35</f>
        <v>78.851256815017507</v>
      </c>
      <c r="O35" s="248">
        <f t="shared" si="2"/>
        <v>-56.548375855017511</v>
      </c>
      <c r="P35" s="248">
        <f>I35-'Tracks Pull'!E35</f>
        <v>10.120684315057899</v>
      </c>
      <c r="Q35" s="248">
        <f>M35-'Tracks Pull'!G35</f>
        <v>-1.2436605337862012</v>
      </c>
      <c r="R35" s="127" t="str">
        <f>IF(ISERROR(#REF!/'RETAIL Load Pull'!N35-1),"-",IF(ABS(#REF!/'RETAIL Load Pull'!N35-1)&gt;1000%," - ",(#REF!/'RETAIL Load Pull'!N35-1)))</f>
        <v>-</v>
      </c>
      <c r="S35" s="127"/>
      <c r="T35" s="127"/>
      <c r="U35" s="262">
        <f>'RETAIL Load Pull'!E35-'RETAIL Load Pull'!F35</f>
        <v>9.3762000000000043</v>
      </c>
      <c r="V35" s="248">
        <f>'RETAIL Load Pull'!E35-'RETAIL Load Pull'!G35</f>
        <v>10.462199730000002</v>
      </c>
      <c r="W35" s="248" t="e">
        <f>#REF!-N35</f>
        <v>#REF!</v>
      </c>
      <c r="X35" s="248"/>
      <c r="Y35" s="248" t="e">
        <f>#REF!-'Tracks Pull'!M35</f>
        <v>#REF!</v>
      </c>
      <c r="Z35" s="248"/>
      <c r="AA35" s="250">
        <f>V35-'Tracks Pull'!O35</f>
        <v>9.2185394662138016</v>
      </c>
      <c r="AB35" s="247"/>
      <c r="AC35" s="250">
        <f>'Stream Pull'!F35</f>
        <v>4.6391715362432757</v>
      </c>
      <c r="AD35" s="250">
        <f>'Stream Pull'!G35</f>
        <v>0.31194496428511498</v>
      </c>
      <c r="AE35" s="250">
        <f>'Stream Pull'!H35</f>
        <v>4.3272265719581604</v>
      </c>
      <c r="AF35" s="250">
        <f>'Stream Pull'!M35</f>
        <v>27.671000000000003</v>
      </c>
      <c r="AG35" s="248">
        <f t="shared" si="0"/>
        <v>32.310171536243281</v>
      </c>
      <c r="AH35" s="223">
        <f>'Consol Pull'!F35-'Consol Pull'!G35</f>
        <v>30.902183884414839</v>
      </c>
      <c r="AI35" s="248">
        <f t="shared" si="1"/>
        <v>1.4079876518284422</v>
      </c>
      <c r="AJ35" s="247"/>
      <c r="AK35" s="251">
        <f>I35+AG35</f>
        <v>54.613052496243284</v>
      </c>
      <c r="AL35" s="251"/>
      <c r="AM35" s="251">
        <f>AK35-E35</f>
        <v>-55.140388203189062</v>
      </c>
      <c r="AN35" s="247"/>
      <c r="AO35" s="248" t="e">
        <f>'FIRM Load Pull'!#REF!</f>
        <v>#REF!</v>
      </c>
      <c r="AP35" s="223" t="e">
        <f>I35+AG35+AO35</f>
        <v>#REF!</v>
      </c>
      <c r="AQ35" s="248" t="e">
        <f>AP35-E35</f>
        <v>#REF!</v>
      </c>
      <c r="AR35" s="141"/>
      <c r="AS35" s="141"/>
      <c r="AT35" s="141"/>
    </row>
    <row r="36" spans="1:46" s="140" customFormat="1" ht="16.2" customHeight="1" outlineLevel="1">
      <c r="A36" s="141">
        <v>26</v>
      </c>
      <c r="B36" s="46" t="s">
        <v>34</v>
      </c>
      <c r="C36" s="236" t="s">
        <v>34</v>
      </c>
      <c r="D36" s="311" t="s">
        <v>34</v>
      </c>
      <c r="E36" s="248">
        <f>'Consol Pull'!F36</f>
        <v>112.23024927060005</v>
      </c>
      <c r="F36" s="246"/>
      <c r="G36" s="127">
        <f>IF(ISERROR(E36/'Consol Pull'!T36-1),"-",IF(ABS(E36/'Consol Pull'!T36-1)&gt;1000%," - ",(E36/'Consol Pull'!T36-1)))</f>
        <v>-2.6835601868111625E-2</v>
      </c>
      <c r="H36" s="247"/>
      <c r="I36" s="248">
        <f>'FIRM Load Pull'!E36</f>
        <v>2.9723074400000002</v>
      </c>
      <c r="J36" s="248">
        <f>'Ship Load Pull'!E36</f>
        <v>3.1295535600000002</v>
      </c>
      <c r="K36" s="127">
        <f>IF(ISERROR(I36/'FIRM Load Pull'!Q36-1),"-",IF(ABS(I36/'FIRM Load Pull'!Q36-1)&gt;1000%," - ",(I36/'FIRM Load Pull'!Q36-1)))</f>
        <v>-0.35817268153752424</v>
      </c>
      <c r="L36" s="248">
        <f>'FIRM Load Pull'!E36-'FIRM Load Pull'!F36</f>
        <v>0</v>
      </c>
      <c r="M36" s="248">
        <f>'FIRM Load Pull'!E36-'FIRM Load Pull'!G36</f>
        <v>-0.85338133999999988</v>
      </c>
      <c r="N36" s="223">
        <f>'Consol Pull'!G36</f>
        <v>99.597371597822004</v>
      </c>
      <c r="O36" s="248">
        <f t="shared" si="2"/>
        <v>-96.62506415782201</v>
      </c>
      <c r="P36" s="248">
        <f>I36-'Tracks Pull'!E36</f>
        <v>-4.5366940064437884</v>
      </c>
      <c r="Q36" s="248">
        <f>M36-'Tracks Pull'!G36</f>
        <v>-1.2704055914186489</v>
      </c>
      <c r="R36" s="127" t="str">
        <f>IF(ISERROR(#REF!/'RETAIL Load Pull'!N36-1),"-",IF(ABS(#REF!/'RETAIL Load Pull'!N36-1)&gt;1000%," - ",(#REF!/'RETAIL Load Pull'!N36-1)))</f>
        <v>-</v>
      </c>
      <c r="S36" s="127"/>
      <c r="T36" s="127"/>
      <c r="U36" s="262">
        <f>'RETAIL Load Pull'!E36-'RETAIL Load Pull'!F36</f>
        <v>-0.12779641999998148</v>
      </c>
      <c r="V36" s="248">
        <f>'RETAIL Load Pull'!E36-'RETAIL Load Pull'!G36</f>
        <v>158.83687014</v>
      </c>
      <c r="W36" s="248" t="e">
        <f>#REF!-N36</f>
        <v>#REF!</v>
      </c>
      <c r="X36" s="248"/>
      <c r="Y36" s="248" t="e">
        <f>#REF!-'Tracks Pull'!M36</f>
        <v>#REF!</v>
      </c>
      <c r="Z36" s="248"/>
      <c r="AA36" s="250">
        <f>V36-'Tracks Pull'!O36</f>
        <v>158.41984588858136</v>
      </c>
      <c r="AB36" s="247"/>
      <c r="AC36" s="250">
        <f>'Stream Pull'!F36</f>
        <v>5.6558275822615309</v>
      </c>
      <c r="AD36" s="250">
        <f>'Stream Pull'!G36</f>
        <v>6.7216999999999999E-2</v>
      </c>
      <c r="AE36" s="250">
        <f>'Stream Pull'!H36</f>
        <v>5.5886105822615306</v>
      </c>
      <c r="AF36" s="250">
        <f>'Stream Pull'!M36</f>
        <v>14.506302489999991</v>
      </c>
      <c r="AG36" s="248">
        <f t="shared" si="0"/>
        <v>20.162130072261522</v>
      </c>
      <c r="AH36" s="223">
        <f>'Consol Pull'!F36-'Consol Pull'!G36</f>
        <v>12.632877672778051</v>
      </c>
      <c r="AI36" s="248">
        <f t="shared" si="1"/>
        <v>7.5292523994834717</v>
      </c>
      <c r="AJ36" s="247"/>
      <c r="AK36" s="251">
        <f>I36+AG36</f>
        <v>23.134437512261524</v>
      </c>
      <c r="AL36" s="251"/>
      <c r="AM36" s="251">
        <f>AK36-E36</f>
        <v>-89.095811758338527</v>
      </c>
      <c r="AN36" s="247"/>
      <c r="AO36" s="248" t="e">
        <f>'FIRM Load Pull'!#REF!</f>
        <v>#REF!</v>
      </c>
      <c r="AP36" s="223" t="e">
        <f>I36+AG36+AO36</f>
        <v>#REF!</v>
      </c>
      <c r="AQ36" s="248" t="e">
        <f>AP36-E36</f>
        <v>#REF!</v>
      </c>
      <c r="AR36" s="141"/>
      <c r="AS36" s="141"/>
      <c r="AT36" s="141"/>
    </row>
    <row r="37" spans="1:46" s="140" customFormat="1" ht="16.2" customHeight="1" outlineLevel="1">
      <c r="A37" s="2">
        <v>26</v>
      </c>
      <c r="B37" s="44" t="s">
        <v>407</v>
      </c>
      <c r="C37" s="236" t="s">
        <v>399</v>
      </c>
      <c r="D37" s="313" t="s">
        <v>399</v>
      </c>
      <c r="E37" s="248">
        <f>'Consol Pull'!F37</f>
        <v>39.424848706521217</v>
      </c>
      <c r="F37" s="246"/>
      <c r="G37" s="127"/>
      <c r="H37" s="247"/>
      <c r="I37" s="248">
        <f>'FIRM Load Pull'!E37</f>
        <v>-6.1288449999999994E-2</v>
      </c>
      <c r="J37" s="248">
        <f>'Ship Load Pull'!E37</f>
        <v>1.517575E-2</v>
      </c>
      <c r="K37" s="127">
        <f>IF(ISERROR(I37/'FIRM Load Pull'!Q37-1),"-",IF(ABS(I37/'FIRM Load Pull'!Q37-1)&gt;1000%," - ",(I37/'FIRM Load Pull'!Q37-1)))</f>
        <v>-1.0201571703760903</v>
      </c>
      <c r="L37" s="248">
        <f>'FIRM Load Pull'!E37-'FIRM Load Pull'!F37</f>
        <v>0</v>
      </c>
      <c r="M37" s="248">
        <f>'FIRM Load Pull'!E37-'FIRM Load Pull'!G37</f>
        <v>-6.1288509999999997E-2</v>
      </c>
      <c r="N37" s="223">
        <f>'Consol Pull'!G37</f>
        <v>35.695532061938103</v>
      </c>
      <c r="O37" s="248">
        <f t="shared" si="2"/>
        <v>-35.756820511938102</v>
      </c>
      <c r="P37" s="248">
        <f>I37-'Tracks Pull'!E37</f>
        <v>-2.7525020592006602</v>
      </c>
      <c r="Q37" s="248">
        <f>M37-'Tracks Pull'!G37</f>
        <v>-0.2107493069900099</v>
      </c>
      <c r="R37" s="127"/>
      <c r="S37" s="127"/>
      <c r="T37" s="127"/>
      <c r="U37" s="262"/>
      <c r="V37" s="248"/>
      <c r="W37" s="248"/>
      <c r="X37" s="248"/>
      <c r="Y37" s="248"/>
      <c r="Z37" s="248"/>
      <c r="AA37" s="250"/>
      <c r="AB37" s="247"/>
      <c r="AC37" s="250">
        <f>'Stream Pull'!F37</f>
        <v>0.42152157771318</v>
      </c>
      <c r="AD37" s="250">
        <f>'Stream Pull'!G37</f>
        <v>4.5393300000000003E-3</v>
      </c>
      <c r="AE37" s="250">
        <f>'Stream Pull'!H37</f>
        <v>0.41698224771317999</v>
      </c>
      <c r="AF37" s="250">
        <f>'Stream Pull'!M37</f>
        <v>4.3903275449999954</v>
      </c>
      <c r="AG37" s="248"/>
      <c r="AH37" s="223"/>
      <c r="AI37" s="248"/>
      <c r="AJ37" s="247"/>
      <c r="AK37" s="251"/>
      <c r="AL37" s="251"/>
      <c r="AM37" s="251"/>
      <c r="AN37" s="247"/>
      <c r="AO37" s="248"/>
      <c r="AP37" s="223"/>
      <c r="AQ37" s="248"/>
      <c r="AR37" s="141"/>
      <c r="AS37" s="141"/>
      <c r="AT37" s="141"/>
    </row>
    <row r="38" spans="1:46" s="140" customFormat="1" ht="16.2" customHeight="1" outlineLevel="1">
      <c r="A38" s="2">
        <v>26</v>
      </c>
      <c r="B38" s="44" t="s">
        <v>92</v>
      </c>
      <c r="C38" s="236" t="s">
        <v>400</v>
      </c>
      <c r="D38" s="313" t="s">
        <v>400</v>
      </c>
      <c r="E38" s="248">
        <f>'Consol Pull'!F38</f>
        <v>35.712806276012863</v>
      </c>
      <c r="F38" s="246"/>
      <c r="G38" s="127"/>
      <c r="H38" s="247"/>
      <c r="I38" s="248">
        <f>'FIRM Load Pull'!E38</f>
        <v>6.069937999999999E-2</v>
      </c>
      <c r="J38" s="248">
        <f>'Ship Load Pull'!E38</f>
        <v>9.062329999999999E-2</v>
      </c>
      <c r="K38" s="127">
        <f>IF(ISERROR(I38/'FIRM Load Pull'!Q38-1),"-",IF(ABS(I38/'FIRM Load Pull'!Q38-1)&gt;1000%," - ",(I38/'FIRM Load Pull'!Q38-1)))</f>
        <v>-0.93997033198673974</v>
      </c>
      <c r="L38" s="248">
        <f>'FIRM Load Pull'!E38-'FIRM Load Pull'!F38</f>
        <v>0</v>
      </c>
      <c r="M38" s="248">
        <f>'FIRM Load Pull'!E38-'FIRM Load Pull'!G38</f>
        <v>-2.9974720000000003E-2</v>
      </c>
      <c r="N38" s="223">
        <f>'Consol Pull'!G38</f>
        <v>31.279432750801401</v>
      </c>
      <c r="O38" s="248">
        <f t="shared" si="2"/>
        <v>-31.218733370801402</v>
      </c>
      <c r="P38" s="248">
        <f>I38-'Tracks Pull'!E38</f>
        <v>-0.13534929351792901</v>
      </c>
      <c r="Q38" s="248">
        <f>M38-'Tracks Pull'!G38</f>
        <v>-4.0862592628411014E-2</v>
      </c>
      <c r="R38" s="127"/>
      <c r="S38" s="127"/>
      <c r="T38" s="127"/>
      <c r="U38" s="262"/>
      <c r="V38" s="248"/>
      <c r="W38" s="248"/>
      <c r="X38" s="248"/>
      <c r="Y38" s="248"/>
      <c r="Z38" s="248"/>
      <c r="AA38" s="250"/>
      <c r="AB38" s="247"/>
      <c r="AC38" s="250">
        <f>'Stream Pull'!F38</f>
        <v>3.6338327306461897</v>
      </c>
      <c r="AD38" s="250">
        <f>'Stream Pull'!G38</f>
        <v>0</v>
      </c>
      <c r="AE38" s="250">
        <f>'Stream Pull'!H38</f>
        <v>3.6338327306461897</v>
      </c>
      <c r="AF38" s="250">
        <f>'Stream Pull'!M38</f>
        <v>3.8542590749999932</v>
      </c>
      <c r="AG38" s="248"/>
      <c r="AH38" s="223"/>
      <c r="AI38" s="248"/>
      <c r="AJ38" s="247"/>
      <c r="AK38" s="251"/>
      <c r="AL38" s="251"/>
      <c r="AM38" s="251"/>
      <c r="AN38" s="247"/>
      <c r="AO38" s="248"/>
      <c r="AP38" s="223"/>
      <c r="AQ38" s="248"/>
      <c r="AR38" s="141"/>
      <c r="AS38" s="141"/>
      <c r="AT38" s="141"/>
    </row>
    <row r="39" spans="1:46" ht="16.2" customHeight="1" outlineLevel="1">
      <c r="A39" s="2">
        <v>26</v>
      </c>
      <c r="B39" s="44" t="s">
        <v>408</v>
      </c>
      <c r="C39" s="236" t="s">
        <v>401</v>
      </c>
      <c r="D39" s="313" t="s">
        <v>401</v>
      </c>
      <c r="E39" s="48">
        <f>'Consol Pull'!F39</f>
        <v>2.7695171329358863</v>
      </c>
      <c r="F39" s="162"/>
      <c r="G39" s="127">
        <f>IF(ISERROR(E39/'Consol Pull'!T37-1),"-",IF(ABS(E39/'Consol Pull'!T37-1)&gt;1000%," - ",(E39/'Consol Pull'!T37-1)))</f>
        <v>-0.84104031025392789</v>
      </c>
      <c r="H39" s="146"/>
      <c r="I39" s="48">
        <f>'FIRM Load Pull'!E39</f>
        <v>0</v>
      </c>
      <c r="J39" s="48">
        <f>'Ship Load Pull'!E39</f>
        <v>0</v>
      </c>
      <c r="K39" s="127" t="str">
        <f>IF(ISERROR(I39/'FIRM Load Pull'!Q39-1),"-",IF(ABS(I39/'FIRM Load Pull'!Q39-1)&gt;1000%," - ",(I39/'FIRM Load Pull'!Q39-1)))</f>
        <v>-</v>
      </c>
      <c r="L39" s="48">
        <f>'FIRM Load Pull'!E39-'FIRM Load Pull'!F39</f>
        <v>0</v>
      </c>
      <c r="M39" s="48">
        <f>'FIRM Load Pull'!E39-'FIRM Load Pull'!G39</f>
        <v>0</v>
      </c>
      <c r="N39" s="216">
        <f>'Consol Pull'!G39</f>
        <v>2.6003367727239701</v>
      </c>
      <c r="O39" s="48">
        <f t="shared" si="2"/>
        <v>-2.6003367727239701</v>
      </c>
      <c r="P39" s="48">
        <f>I39-'Tracks Pull'!E39</f>
        <v>-2.3582681149272902</v>
      </c>
      <c r="Q39" s="48">
        <f>M39-'Tracks Pull'!G39</f>
        <v>-0.13097014327221013</v>
      </c>
      <c r="R39" s="127" t="str">
        <f>IF(ISERROR(#REF!/'RETAIL Load Pull'!N37-1),"-",IF(ABS(#REF!/'RETAIL Load Pull'!N37-1)&gt;1000%," - ",(#REF!/'RETAIL Load Pull'!N37-1)))</f>
        <v>-</v>
      </c>
      <c r="S39" s="127"/>
      <c r="T39" s="127"/>
      <c r="U39" s="258">
        <f>'RETAIL Load Pull'!E37-'RETAIL Load Pull'!F37</f>
        <v>3.579999999558936E-6</v>
      </c>
      <c r="V39" s="48">
        <f>'RETAIL Load Pull'!E37-'RETAIL Load Pull'!G37</f>
        <v>1.5179270000000855E-2</v>
      </c>
      <c r="W39" s="48" t="e">
        <f>#REF!-N39</f>
        <v>#REF!</v>
      </c>
      <c r="X39" s="48"/>
      <c r="Y39" s="48" t="e">
        <f>#REF!-'Tracks Pull'!#REF!</f>
        <v>#REF!</v>
      </c>
      <c r="Z39" s="48"/>
      <c r="AA39" s="126" t="e">
        <f>V39-'Tracks Pull'!#REF!</f>
        <v>#REF!</v>
      </c>
      <c r="AB39" s="146"/>
      <c r="AC39" s="126">
        <f>'Stream Pull'!F39</f>
        <v>0</v>
      </c>
      <c r="AD39" s="126">
        <f>'Stream Pull'!G39</f>
        <v>0</v>
      </c>
      <c r="AE39" s="126">
        <f>'Stream Pull'!H39</f>
        <v>0</v>
      </c>
      <c r="AF39" s="126">
        <f>'Stream Pull'!M39</f>
        <v>0.28999999999999998</v>
      </c>
      <c r="AG39" s="48">
        <f t="shared" si="0"/>
        <v>0.28999999999999998</v>
      </c>
      <c r="AH39" s="216">
        <f>'Consol Pull'!F37-'Consol Pull'!G37</f>
        <v>3.7293166445831147</v>
      </c>
      <c r="AI39" s="48">
        <f t="shared" si="1"/>
        <v>-3.4393166445831147</v>
      </c>
      <c r="AJ39" s="146"/>
      <c r="AK39" s="224">
        <f>I39+AG39</f>
        <v>0.28999999999999998</v>
      </c>
      <c r="AL39" s="224"/>
      <c r="AM39" s="224">
        <f>AK39-E39</f>
        <v>-2.4795171329358863</v>
      </c>
      <c r="AN39" s="146"/>
      <c r="AO39" s="48" t="e">
        <f>'FIRM Load Pull'!#REF!</f>
        <v>#REF!</v>
      </c>
      <c r="AP39" s="216" t="e">
        <f>I39+AG39+AO39</f>
        <v>#REF!</v>
      </c>
      <c r="AQ39" s="48" t="e">
        <f>AP39-E39</f>
        <v>#REF!</v>
      </c>
      <c r="AR39" s="2"/>
      <c r="AS39" s="2"/>
      <c r="AT39" s="2"/>
    </row>
    <row r="40" spans="1:46" ht="16.2" customHeight="1" outlineLevel="1">
      <c r="A40" s="2">
        <v>26</v>
      </c>
      <c r="B40" s="44" t="s">
        <v>93</v>
      </c>
      <c r="C40" s="236" t="s">
        <v>93</v>
      </c>
      <c r="D40" s="313" t="s">
        <v>93</v>
      </c>
      <c r="E40" s="48">
        <f>'Consol Pull'!F40</f>
        <v>11.019941943191455</v>
      </c>
      <c r="F40" s="162"/>
      <c r="G40" s="127">
        <f>IF(ISERROR(E40/'Consol Pull'!T40-1),"-",IF(ABS(E40/'Consol Pull'!T40-1)&gt;1000%," - ",(E40/'Consol Pull'!T40-1)))</f>
        <v>0.66885637726384384</v>
      </c>
      <c r="H40" s="146"/>
      <c r="I40" s="48">
        <f>'FIRM Load Pull'!E40</f>
        <v>0.83044724999999997</v>
      </c>
      <c r="J40" s="48">
        <f>'Ship Load Pull'!E40</f>
        <v>0.85440589999999994</v>
      </c>
      <c r="K40" s="127" t="str">
        <f>IF(ISERROR(I40/'FIRM Load Pull'!Q40-1),"-",IF(ABS(I40/'FIRM Load Pull'!Q40-1)&gt;1000%," - ",(I40/'FIRM Load Pull'!Q40-1)))</f>
        <v>-</v>
      </c>
      <c r="L40" s="48">
        <f>'FIRM Load Pull'!E40-'FIRM Load Pull'!F40</f>
        <v>0</v>
      </c>
      <c r="M40" s="48">
        <f>'FIRM Load Pull'!E40-'FIRM Load Pull'!G40</f>
        <v>-3.4215459999999975E-2</v>
      </c>
      <c r="N40" s="216">
        <f>'Consol Pull'!G40</f>
        <v>9.9285585867642396</v>
      </c>
      <c r="O40" s="48">
        <f t="shared" si="2"/>
        <v>-9.098111336764239</v>
      </c>
      <c r="P40" s="48">
        <f>I40-'Tracks Pull'!E40</f>
        <v>8.1897769295181E-2</v>
      </c>
      <c r="Q40" s="48">
        <f>M40-'Tracks Pull'!G40</f>
        <v>-7.5787337308477976E-2</v>
      </c>
      <c r="R40" s="127" t="str">
        <f>IF(ISERROR(#REF!/'RETAIL Load Pull'!N40-1),"-",IF(ABS(#REF!/'RETAIL Load Pull'!N40-1)&gt;1000%," - ",(#REF!/'RETAIL Load Pull'!N40-1)))</f>
        <v>-</v>
      </c>
      <c r="S40" s="127"/>
      <c r="T40" s="127"/>
      <c r="U40" s="258">
        <f>'RETAIL Load Pull'!E40-'RETAIL Load Pull'!F40</f>
        <v>0</v>
      </c>
      <c r="V40" s="48">
        <f>'RETAIL Load Pull'!E40-'RETAIL Load Pull'!G40</f>
        <v>159.65054319000001</v>
      </c>
      <c r="W40" s="48" t="e">
        <f>#REF!-N40</f>
        <v>#REF!</v>
      </c>
      <c r="X40" s="48"/>
      <c r="Y40" s="48" t="e">
        <f>#REF!-'Tracks Pull'!M40</f>
        <v>#REF!</v>
      </c>
      <c r="Z40" s="48"/>
      <c r="AA40" s="126">
        <f>V40-'Tracks Pull'!O40</f>
        <v>159.60897131269152</v>
      </c>
      <c r="AB40" s="146"/>
      <c r="AC40" s="126">
        <f>'Stream Pull'!F40</f>
        <v>6.7319353281637004E-2</v>
      </c>
      <c r="AD40" s="126">
        <f>'Stream Pull'!G40</f>
        <v>6.2677670000000005E-2</v>
      </c>
      <c r="AE40" s="126">
        <f>'Stream Pull'!H40</f>
        <v>4.6416832816369999E-3</v>
      </c>
      <c r="AF40" s="126">
        <f>'Stream Pull'!M40</f>
        <v>0.88036123500000008</v>
      </c>
      <c r="AG40" s="48">
        <f t="shared" si="0"/>
        <v>0.94768058828163704</v>
      </c>
      <c r="AH40" s="216">
        <f>'Consol Pull'!F40-'Consol Pull'!G40</f>
        <v>1.0913833564272153</v>
      </c>
      <c r="AI40" s="48">
        <f t="shared" si="1"/>
        <v>-0.14370276814557825</v>
      </c>
      <c r="AJ40" s="146"/>
      <c r="AK40" s="224">
        <f>I40+AG40</f>
        <v>1.778127838281637</v>
      </c>
      <c r="AL40" s="224"/>
      <c r="AM40" s="224">
        <f>AK40-E40</f>
        <v>-9.2418141049098175</v>
      </c>
      <c r="AN40" s="146"/>
      <c r="AO40" s="48" t="e">
        <f>'FIRM Load Pull'!#REF!</f>
        <v>#REF!</v>
      </c>
      <c r="AP40" s="216" t="e">
        <f>I40+AG40+AO40</f>
        <v>#REF!</v>
      </c>
      <c r="AQ40" s="48" t="e">
        <f>AP40-E40</f>
        <v>#REF!</v>
      </c>
      <c r="AR40" s="2"/>
      <c r="AS40" s="2"/>
      <c r="AT40" s="2"/>
    </row>
    <row r="41" spans="1:46" ht="16.2" customHeight="1" outlineLevel="1">
      <c r="A41" s="2">
        <v>26</v>
      </c>
      <c r="B41" s="44" t="s">
        <v>238</v>
      </c>
      <c r="C41" s="236" t="s">
        <v>238</v>
      </c>
      <c r="D41" s="313" t="s">
        <v>238</v>
      </c>
      <c r="E41" s="48">
        <f>'Consol Pull'!F41</f>
        <v>23.303135211938709</v>
      </c>
      <c r="F41" s="162"/>
      <c r="G41" s="127">
        <f>IF(ISERROR(E41/'Consol Pull'!T41-1),"-",IF(ABS(E41/'Consol Pull'!T41-1)&gt;1000%," - ",(E41/'Consol Pull'!T41-1)))</f>
        <v>-0.22464264027439329</v>
      </c>
      <c r="H41" s="146"/>
      <c r="I41" s="48">
        <f>'FIRM Load Pull'!E41</f>
        <v>2.1424492599999998</v>
      </c>
      <c r="J41" s="48">
        <f>'Ship Load Pull'!E41</f>
        <v>2.1693486099999997</v>
      </c>
      <c r="K41" s="127">
        <f>IF(ISERROR(I41/'FIRM Load Pull'!Q41-1),"-",IF(ABS(I41/'FIRM Load Pull'!Q41-1)&gt;1000%," - ",(I41/'FIRM Load Pull'!Q41-1)))</f>
        <v>2.6981935074962213</v>
      </c>
      <c r="L41" s="48">
        <f>'FIRM Load Pull'!E41-'FIRM Load Pull'!F41</f>
        <v>0</v>
      </c>
      <c r="M41" s="48">
        <f>'FIRM Load Pull'!E41-'FIRM Load Pull'!G41</f>
        <v>-0.72790264999999987</v>
      </c>
      <c r="N41" s="216">
        <f>'Consol Pull'!G41</f>
        <v>20.093511425594301</v>
      </c>
      <c r="O41" s="48">
        <f t="shared" si="2"/>
        <v>-17.951062165594301</v>
      </c>
      <c r="P41" s="48">
        <f>I41-'Tracks Pull'!E41</f>
        <v>0.62752769190690971</v>
      </c>
      <c r="Q41" s="48">
        <f>M41-'Tracks Pull'!G41</f>
        <v>-0.81203621121954006</v>
      </c>
      <c r="R41" s="127" t="str">
        <f>IF(ISERROR(#REF!/'RETAIL Load Pull'!N41-1),"-",IF(ABS(#REF!/'RETAIL Load Pull'!N41-1)&gt;1000%," - ",(#REF!/'RETAIL Load Pull'!N41-1)))</f>
        <v>-</v>
      </c>
      <c r="S41" s="127"/>
      <c r="T41" s="127"/>
      <c r="U41" s="258">
        <f>'RETAIL Load Pull'!E41-'RETAIL Load Pull'!F41</f>
        <v>0</v>
      </c>
      <c r="V41" s="48">
        <f>'RETAIL Load Pull'!E41-'RETAIL Load Pull'!G41</f>
        <v>-0.70100330000000355</v>
      </c>
      <c r="W41" s="48" t="e">
        <f>#REF!-N41</f>
        <v>#REF!</v>
      </c>
      <c r="X41" s="48"/>
      <c r="Y41" s="48" t="e">
        <f>#REF!-'Tracks Pull'!M41</f>
        <v>#REF!</v>
      </c>
      <c r="Z41" s="48"/>
      <c r="AA41" s="126">
        <f>V41-'Tracks Pull'!O41</f>
        <v>-0.78513686121954374</v>
      </c>
      <c r="AB41" s="146"/>
      <c r="AC41" s="126">
        <f>'Stream Pull'!F41</f>
        <v>1.533153920620524</v>
      </c>
      <c r="AD41" s="126">
        <f>'Stream Pull'!G41</f>
        <v>0</v>
      </c>
      <c r="AE41" s="126">
        <f>'Stream Pull'!H41</f>
        <v>1.533153920620524</v>
      </c>
      <c r="AF41" s="126">
        <f>'Stream Pull'!M41</f>
        <v>5.0913546350000027</v>
      </c>
      <c r="AG41" s="48">
        <f t="shared" si="0"/>
        <v>6.624508555620527</v>
      </c>
      <c r="AH41" s="216">
        <f>'Consol Pull'!F41-'Consol Pull'!G41</f>
        <v>3.2096237863444088</v>
      </c>
      <c r="AI41" s="48">
        <f t="shared" si="1"/>
        <v>3.4148847692761182</v>
      </c>
      <c r="AJ41" s="146"/>
      <c r="AK41" s="224">
        <f>I41+AG41</f>
        <v>8.7669578156205272</v>
      </c>
      <c r="AL41" s="224"/>
      <c r="AM41" s="224">
        <f>AK41-E41</f>
        <v>-14.536177396318182</v>
      </c>
      <c r="AN41" s="146"/>
      <c r="AO41" s="48" t="e">
        <f>'FIRM Load Pull'!#REF!</f>
        <v>#REF!</v>
      </c>
      <c r="AP41" s="216" t="e">
        <f>I41+AG41+AO41</f>
        <v>#REF!</v>
      </c>
      <c r="AQ41" s="48" t="e">
        <f>AP41-E41</f>
        <v>#REF!</v>
      </c>
      <c r="AR41" s="2"/>
      <c r="AS41" s="2"/>
      <c r="AT41" s="2"/>
    </row>
    <row r="42" spans="1:46" ht="16.2" customHeight="1" outlineLevel="1">
      <c r="A42" s="2">
        <v>26</v>
      </c>
      <c r="B42" s="44" t="s">
        <v>419</v>
      </c>
      <c r="C42" s="236" t="s">
        <v>402</v>
      </c>
      <c r="D42" s="313" t="s">
        <v>419</v>
      </c>
      <c r="E42" s="48">
        <f>'Consol Pull'!F42</f>
        <v>0</v>
      </c>
      <c r="F42" s="162">
        <f>WW!E11</f>
        <v>628.39572295000096</v>
      </c>
      <c r="G42" s="127">
        <f>WW!F11</f>
        <v>0.12269612355322956</v>
      </c>
      <c r="H42" s="146">
        <f>WW!G11</f>
        <v>0</v>
      </c>
      <c r="I42" s="48">
        <f>'FIRM Load Pull'!E42</f>
        <v>0</v>
      </c>
      <c r="J42" s="48">
        <f>'Ship Load Pull'!E42</f>
        <v>0</v>
      </c>
      <c r="K42" s="127" t="str">
        <f>IF(ISERROR(I42/'FIRM Load Pull'!Q42-1),"-",IF(ABS(I42/'FIRM Load Pull'!Q42-1)&gt;1000%," - ",(I42/'FIRM Load Pull'!Q42-1)))</f>
        <v>-</v>
      </c>
      <c r="L42" s="48">
        <f>'FIRM Load Pull'!E42-'FIRM Load Pull'!F42</f>
        <v>0</v>
      </c>
      <c r="M42" s="48">
        <f>'FIRM Load Pull'!E42-'FIRM Load Pull'!G42</f>
        <v>0</v>
      </c>
      <c r="N42" s="216">
        <f>'Consol Pull'!G42</f>
        <v>0</v>
      </c>
      <c r="O42" s="48">
        <f t="shared" si="2"/>
        <v>0</v>
      </c>
      <c r="P42" s="48">
        <f>I42-'Tracks Pull'!E42</f>
        <v>0</v>
      </c>
      <c r="Q42" s="48">
        <f>M42-'Tracks Pull'!G42</f>
        <v>0</v>
      </c>
      <c r="R42" s="127" t="e">
        <f>WW!#REF!</f>
        <v>#REF!</v>
      </c>
      <c r="S42" s="127" t="e">
        <f>WW!#REF!</f>
        <v>#REF!</v>
      </c>
      <c r="T42" s="127" t="e">
        <f>WW!#REF!</f>
        <v>#REF!</v>
      </c>
      <c r="U42" s="258" t="e">
        <f>WW!#REF!</f>
        <v>#REF!</v>
      </c>
      <c r="V42" s="48" t="e">
        <f>WW!#REF!</f>
        <v>#REF!</v>
      </c>
      <c r="W42" s="48" t="e">
        <f>WW!#REF!</f>
        <v>#REF!</v>
      </c>
      <c r="X42" s="48" t="e">
        <f>WW!#REF!</f>
        <v>#REF!</v>
      </c>
      <c r="Y42" s="48" t="e">
        <f>WW!#REF!</f>
        <v>#REF!</v>
      </c>
      <c r="Z42" s="48" t="e">
        <f>WW!#REF!</f>
        <v>#REF!</v>
      </c>
      <c r="AA42" s="126" t="e">
        <f>WW!#REF!</f>
        <v>#REF!</v>
      </c>
      <c r="AB42" s="146" t="e">
        <f>WW!#REF!</f>
        <v>#REF!</v>
      </c>
      <c r="AC42" s="126">
        <f>'Stream Pull'!F42</f>
        <v>0</v>
      </c>
      <c r="AD42" s="126">
        <f>'Stream Pull'!G42</f>
        <v>0</v>
      </c>
      <c r="AE42" s="126">
        <f>'Stream Pull'!H42</f>
        <v>0</v>
      </c>
      <c r="AF42" s="126">
        <f>'Stream Pull'!M42</f>
        <v>0</v>
      </c>
      <c r="AG42" s="48">
        <f>WW!Z11</f>
        <v>195.3430203656136</v>
      </c>
      <c r="AH42" s="216">
        <f>WW!AA11</f>
        <v>217.60495287048934</v>
      </c>
      <c r="AI42" s="48">
        <f>WW!AB11</f>
        <v>-22.261932504875745</v>
      </c>
      <c r="AJ42" s="146">
        <f>WW!AC11</f>
        <v>0</v>
      </c>
      <c r="AK42" s="224">
        <f>WW!AD11</f>
        <v>274.90975070351357</v>
      </c>
      <c r="AL42" s="224">
        <f>WW!AE11</f>
        <v>-0.56252128927143086</v>
      </c>
      <c r="AM42" s="224">
        <f>WW!AF11</f>
        <v>-430.58769150988172</v>
      </c>
      <c r="AN42" s="146"/>
      <c r="AO42" s="48"/>
      <c r="AP42" s="216"/>
      <c r="AQ42" s="48"/>
      <c r="AR42" s="2"/>
      <c r="AS42" s="2"/>
      <c r="AT42" s="2"/>
    </row>
    <row r="43" spans="1:46" s="301" customFormat="1" ht="16.2" customHeight="1">
      <c r="A43" s="2"/>
      <c r="B43" s="44" t="s">
        <v>374</v>
      </c>
      <c r="C43" s="236"/>
      <c r="D43" s="320"/>
      <c r="E43" s="603">
        <f>'Consol Pull'!F43</f>
        <v>0</v>
      </c>
      <c r="F43" s="321"/>
      <c r="G43" s="328"/>
      <c r="H43" s="321"/>
      <c r="I43" s="603">
        <f>'FIRM Load Pull'!E43</f>
        <v>0</v>
      </c>
      <c r="J43" s="603">
        <f>'Ship Load Pull'!E43</f>
        <v>0</v>
      </c>
      <c r="K43" s="127" t="str">
        <f>IF(ISERROR(I43/'FIRM Load Pull'!Q43-1),"-",IF(ABS(I43/'FIRM Load Pull'!Q43-1)&gt;1000%," - ",(I43/'FIRM Load Pull'!Q43-1)))</f>
        <v>-</v>
      </c>
      <c r="L43" s="321">
        <f>'FIRM Load Pull'!E43-'FIRM Load Pull'!F43</f>
        <v>0</v>
      </c>
      <c r="M43" s="321">
        <f>'FIRM Load Pull'!E43-'FIRM Load Pull'!G43</f>
        <v>0</v>
      </c>
      <c r="N43" s="321">
        <f>'Consol Pull'!G43</f>
        <v>0</v>
      </c>
      <c r="O43" s="321">
        <f t="shared" si="2"/>
        <v>0</v>
      </c>
      <c r="P43" s="321">
        <f>I43-'Tracks Pull'!E43</f>
        <v>-174.74552223544717</v>
      </c>
      <c r="Q43" s="321">
        <f>M43-'Tracks Pull'!G43</f>
        <v>-39.714158180355327</v>
      </c>
      <c r="R43" s="322"/>
      <c r="S43" s="321"/>
      <c r="T43" s="321"/>
      <c r="U43" s="321"/>
      <c r="V43" s="321"/>
      <c r="W43" s="321"/>
      <c r="X43" s="321"/>
      <c r="Y43" s="321"/>
      <c r="Z43" s="321"/>
      <c r="AA43" s="321"/>
      <c r="AB43" s="321"/>
      <c r="AC43" s="321">
        <f>'Stream Pull'!F43</f>
        <v>0</v>
      </c>
      <c r="AD43" s="321">
        <f>'Stream Pull'!G43</f>
        <v>0</v>
      </c>
      <c r="AE43" s="321">
        <f>'Stream Pull'!H43</f>
        <v>0</v>
      </c>
      <c r="AF43" s="321">
        <f>'Stream Pull'!M43</f>
        <v>0</v>
      </c>
      <c r="AG43" s="321"/>
      <c r="AH43" s="321"/>
      <c r="AI43" s="321"/>
      <c r="AJ43" s="321"/>
      <c r="AK43" s="321"/>
      <c r="AL43" s="321"/>
      <c r="AM43" s="321"/>
      <c r="AN43" s="323"/>
      <c r="AO43" s="324"/>
      <c r="AP43" s="321"/>
      <c r="AQ43" s="324"/>
    </row>
    <row r="44" spans="1:46" ht="16.2" customHeight="1">
      <c r="A44" s="237" t="s">
        <v>191</v>
      </c>
      <c r="B44" s="236" t="s">
        <v>13</v>
      </c>
      <c r="C44" s="236" t="s">
        <v>13</v>
      </c>
      <c r="D44" s="309" t="s">
        <v>191</v>
      </c>
      <c r="E44" s="314">
        <f>'Consol Pull'!F44</f>
        <v>705.49744221339529</v>
      </c>
      <c r="F44" s="314"/>
      <c r="G44" s="315">
        <f>IF(ISERROR(E44/'Consol Pull'!T44-1),"-",IF(ABS(E44/'Consol Pull'!T44-1)&gt;1000%," - ",(E44/'Consol Pull'!T44-1)))</f>
        <v>0.12269612355322956</v>
      </c>
      <c r="H44" s="146"/>
      <c r="I44" s="314">
        <f>'FIRM Load Pull'!E44</f>
        <v>79.566730337899983</v>
      </c>
      <c r="J44" s="314">
        <f>'Ship Load Pull'!E44</f>
        <v>62.466534951</v>
      </c>
      <c r="K44" s="222">
        <f>IF(ISERROR(I44/'FIRM Load Pull'!Q44-1),"-",IF(ABS(I44/'FIRM Load Pull'!Q44-1)&gt;1000%," - ",(I44/'FIRM Load Pull'!Q44-1)))</f>
        <v>-0.15817060952432749</v>
      </c>
      <c r="L44" s="317">
        <f>'FIRM Load Pull'!E44-'FIRM Load Pull'!F44</f>
        <v>2.5273339988999624</v>
      </c>
      <c r="M44" s="317">
        <f>'FIRM Load Pull'!E44-'FIRM Load Pull'!G44</f>
        <v>11.435571257999968</v>
      </c>
      <c r="N44" s="314">
        <f>'Consol Pull'!G44</f>
        <v>487.89248934290595</v>
      </c>
      <c r="O44" s="317">
        <f t="shared" si="2"/>
        <v>-408.32575900500598</v>
      </c>
      <c r="P44" s="317">
        <f>I44-'Tracks Pull'!E44</f>
        <v>79.566730337899983</v>
      </c>
      <c r="Q44" s="317">
        <f>M44-'Tracks Pull'!G44</f>
        <v>11.435571257999968</v>
      </c>
      <c r="R44" s="315" t="str">
        <f>IF(ISERROR(#REF!/'RETAIL Load Pull'!N44-1),"-",IF(ABS(#REF!/'RETAIL Load Pull'!N44-1)&gt;1000%," - ",(#REF!/'RETAIL Load Pull'!N44-1)))</f>
        <v>-</v>
      </c>
      <c r="S44" s="315"/>
      <c r="T44" s="315"/>
      <c r="U44" s="316">
        <f>'RETAIL Load Pull'!E44-'RETAIL Load Pull'!F44</f>
        <v>14.825573619400103</v>
      </c>
      <c r="V44" s="314">
        <f>'RETAIL Load Pull'!E44-'RETAIL Load Pull'!G44</f>
        <v>54.558178086400062</v>
      </c>
      <c r="W44" s="317" t="e">
        <f>#REF!-N44</f>
        <v>#REF!</v>
      </c>
      <c r="X44" s="317"/>
      <c r="Y44" s="317" t="e">
        <f>#REF!-'Tracks Pull'!M43</f>
        <v>#REF!</v>
      </c>
      <c r="Z44" s="317"/>
      <c r="AA44" s="317">
        <f>V44-'Tracks Pull'!O43</f>
        <v>14.844019906044736</v>
      </c>
      <c r="AB44" s="146"/>
      <c r="AC44" s="317">
        <f>'Stream Pull'!F44</f>
        <v>73.101296043795358</v>
      </c>
      <c r="AD44" s="317">
        <f>'Stream Pull'!G44</f>
        <v>14.195779941798126</v>
      </c>
      <c r="AE44" s="317">
        <f>'Stream Pull'!H44</f>
        <v>58.905516101997222</v>
      </c>
      <c r="AF44" s="317">
        <f>'Stream Pull'!M44</f>
        <v>122.24172432181824</v>
      </c>
      <c r="AG44" s="317">
        <f t="shared" si="0"/>
        <v>195.3430203656136</v>
      </c>
      <c r="AH44" s="314">
        <f>'Consol Pull'!F44-'Consol Pull'!G44</f>
        <v>217.60495287048934</v>
      </c>
      <c r="AI44" s="317">
        <f t="shared" si="1"/>
        <v>-22.261932504875745</v>
      </c>
      <c r="AJ44" s="146"/>
      <c r="AK44" s="317">
        <f>I44+AG44</f>
        <v>274.90975070351357</v>
      </c>
      <c r="AL44" s="317"/>
      <c r="AM44" s="317">
        <f>AK44-E44</f>
        <v>-430.58769150988172</v>
      </c>
      <c r="AN44" s="146"/>
      <c r="AO44" s="317" t="e">
        <f>'FIRM Load Pull'!#REF!</f>
        <v>#REF!</v>
      </c>
      <c r="AP44" s="314" t="e">
        <f>I44+AG44+AO44</f>
        <v>#REF!</v>
      </c>
      <c r="AQ44" s="317" t="e">
        <f>AP44-E44</f>
        <v>#REF!</v>
      </c>
      <c r="AR44" s="2"/>
      <c r="AS44" s="2"/>
      <c r="AT44" s="2"/>
    </row>
    <row r="45" spans="1:46" ht="16.2" customHeight="1" outlineLevel="2">
      <c r="A45" s="2" t="s">
        <v>191</v>
      </c>
      <c r="B45" s="44" t="s">
        <v>243</v>
      </c>
      <c r="C45" s="236" t="s">
        <v>243</v>
      </c>
      <c r="D45" s="310" t="s">
        <v>243</v>
      </c>
      <c r="E45" s="162">
        <f>'Consol Pull'!F45</f>
        <v>705.49744221339529</v>
      </c>
      <c r="F45" s="162"/>
      <c r="G45" s="127">
        <f>IF(ISERROR(E45/'Consol Pull'!T45-1),"-",IF(ABS(E45/'Consol Pull'!T45-1)&gt;1000%," - ",(E45/'Consol Pull'!T45-1)))</f>
        <v>0.12099987970991166</v>
      </c>
      <c r="H45" s="146"/>
      <c r="I45" s="162">
        <f>'FIRM Load Pull'!E45</f>
        <v>0</v>
      </c>
      <c r="J45" s="162">
        <f>'Ship Load Pull'!E45</f>
        <v>0</v>
      </c>
      <c r="K45" s="127" t="str">
        <f>IF(ISERROR(I45/'FIRM Load Pull'!Q45-1),"-",IF(ABS(I45/'FIRM Load Pull'!Q45-1)&gt;1000%," - ",(I45/'FIRM Load Pull'!Q45-1)))</f>
        <v>-</v>
      </c>
      <c r="L45" s="48">
        <f>'FIRM Load Pull'!E45-'FIRM Load Pull'!F45</f>
        <v>0</v>
      </c>
      <c r="M45" s="48">
        <f>'FIRM Load Pull'!E45-'FIRM Load Pull'!G45</f>
        <v>0</v>
      </c>
      <c r="N45" s="216">
        <f>'Consol Pull'!G45</f>
        <v>487.89248934290595</v>
      </c>
      <c r="O45" s="48">
        <f t="shared" si="2"/>
        <v>-487.89248934290595</v>
      </c>
      <c r="P45" s="48">
        <f>I45-'Tracks Pull'!E45</f>
        <v>0</v>
      </c>
      <c r="Q45" s="48">
        <f>M45-'Tracks Pull'!G45</f>
        <v>0</v>
      </c>
      <c r="R45" s="127" t="str">
        <f>IF(ISERROR(#REF!/'RETAIL Load Pull'!N45-1),"-",IF(ABS(#REF!/'RETAIL Load Pull'!N45-1)&gt;1000%," - ",(#REF!/'RETAIL Load Pull'!N45-1)))</f>
        <v>-</v>
      </c>
      <c r="S45" s="127"/>
      <c r="T45" s="127"/>
      <c r="U45" s="258">
        <f>'RETAIL Load Pull'!E45-'RETAIL Load Pull'!F45</f>
        <v>0</v>
      </c>
      <c r="V45" s="48">
        <f>'RETAIL Load Pull'!E45-'RETAIL Load Pull'!G45</f>
        <v>0</v>
      </c>
      <c r="W45" s="48" t="e">
        <f>#REF!-N45</f>
        <v>#REF!</v>
      </c>
      <c r="X45" s="48"/>
      <c r="Y45" s="48" t="e">
        <f>#REF!-'Tracks Pull'!M44</f>
        <v>#REF!</v>
      </c>
      <c r="Z45" s="48"/>
      <c r="AA45" s="126">
        <f>V45-'Tracks Pull'!O44</f>
        <v>0</v>
      </c>
      <c r="AB45" s="146"/>
      <c r="AC45" s="126">
        <f>'Stream Pull'!F45</f>
        <v>0</v>
      </c>
      <c r="AD45" s="126">
        <f>'Stream Pull'!G45</f>
        <v>0</v>
      </c>
      <c r="AE45" s="126">
        <f>'Stream Pull'!H45</f>
        <v>0</v>
      </c>
      <c r="AF45" s="126">
        <f>'Stream Pull'!M45</f>
        <v>0</v>
      </c>
      <c r="AG45" s="48">
        <f t="shared" si="0"/>
        <v>0</v>
      </c>
      <c r="AH45" s="216">
        <f>'Consol Pull'!F45-'Consol Pull'!G45</f>
        <v>217.60495287048934</v>
      </c>
      <c r="AI45" s="48">
        <f t="shared" si="1"/>
        <v>-217.60495287048934</v>
      </c>
      <c r="AJ45" s="146"/>
      <c r="AK45" s="224">
        <f>I45+AG45</f>
        <v>0</v>
      </c>
      <c r="AL45" s="224"/>
      <c r="AM45" s="224">
        <f>AK45-E45</f>
        <v>-705.49744221339529</v>
      </c>
      <c r="AN45" s="146"/>
      <c r="AO45" s="48" t="e">
        <f>'FIRM Load Pull'!#REF!</f>
        <v>#REF!</v>
      </c>
      <c r="AP45" s="216" t="e">
        <f>I45+AG45+AO45</f>
        <v>#REF!</v>
      </c>
      <c r="AQ45" s="48" t="e">
        <f>AP45-E45</f>
        <v>#REF!</v>
      </c>
      <c r="AR45" s="2"/>
      <c r="AS45" s="2"/>
      <c r="AT45" s="2"/>
    </row>
    <row r="46" spans="1:46" ht="16.2" customHeight="1" outlineLevel="2">
      <c r="A46" s="2" t="s">
        <v>191</v>
      </c>
      <c r="B46" s="44" t="s">
        <v>234</v>
      </c>
      <c r="C46" s="236" t="s">
        <v>234</v>
      </c>
      <c r="D46" s="310" t="s">
        <v>234</v>
      </c>
      <c r="E46" s="162">
        <f>'Consol Pull'!F46</f>
        <v>0</v>
      </c>
      <c r="F46" s="162"/>
      <c r="G46" s="127">
        <f>IF(ISERROR(E46/'Consol Pull'!T46-1),"-",IF(ABS(E46/'Consol Pull'!T46-1)&gt;1000%," - ",(E46/'Consol Pull'!T46-1)))</f>
        <v>-1</v>
      </c>
      <c r="H46" s="146"/>
      <c r="I46" s="162">
        <f>'FIRM Load Pull'!E46</f>
        <v>0</v>
      </c>
      <c r="J46" s="162">
        <f>'Ship Load Pull'!E46</f>
        <v>0</v>
      </c>
      <c r="K46" s="127" t="str">
        <f>IF(ISERROR(I46/'FIRM Load Pull'!Q46-1),"-",IF(ABS(I46/'FIRM Load Pull'!Q46-1)&gt;1000%," - ",(I46/'FIRM Load Pull'!Q46-1)))</f>
        <v>-</v>
      </c>
      <c r="L46" s="48">
        <f>'FIRM Load Pull'!E46-'FIRM Load Pull'!F46</f>
        <v>0</v>
      </c>
      <c r="M46" s="48">
        <f>'FIRM Load Pull'!E46-'FIRM Load Pull'!G46</f>
        <v>0</v>
      </c>
      <c r="N46" s="216">
        <f>'Consol Pull'!G46</f>
        <v>0</v>
      </c>
      <c r="O46" s="48">
        <f t="shared" si="2"/>
        <v>0</v>
      </c>
      <c r="P46" s="48">
        <f>I46-'Tracks Pull'!E46</f>
        <v>-59.210039597093136</v>
      </c>
      <c r="Q46" s="48">
        <f>M46-'Tracks Pull'!G46</f>
        <v>-16.765115617804803</v>
      </c>
      <c r="R46" s="127" t="str">
        <f>IF(ISERROR(#REF!/'RETAIL Load Pull'!N46-1),"-",IF(ABS(#REF!/'RETAIL Load Pull'!N46-1)&gt;1000%," - ",(#REF!/'RETAIL Load Pull'!N46-1)))</f>
        <v>-</v>
      </c>
      <c r="S46" s="127"/>
      <c r="T46" s="127"/>
      <c r="U46" s="258">
        <f>'RETAIL Load Pull'!E46-'RETAIL Load Pull'!F46</f>
        <v>0</v>
      </c>
      <c r="V46" s="48">
        <f>'RETAIL Load Pull'!E46-'RETAIL Load Pull'!G46</f>
        <v>0</v>
      </c>
      <c r="W46" s="48" t="e">
        <f>#REF!-N46</f>
        <v>#REF!</v>
      </c>
      <c r="X46" s="48"/>
      <c r="Y46" s="48" t="e">
        <f>#REF!-'Tracks Pull'!M45</f>
        <v>#REF!</v>
      </c>
      <c r="Z46" s="48"/>
      <c r="AA46" s="126">
        <f>V46-'Tracks Pull'!O45</f>
        <v>0</v>
      </c>
      <c r="AB46" s="146"/>
      <c r="AC46" s="126">
        <f>'Stream Pull'!F46</f>
        <v>0</v>
      </c>
      <c r="AD46" s="126">
        <f>'Stream Pull'!G46</f>
        <v>0</v>
      </c>
      <c r="AE46" s="126">
        <f>'Stream Pull'!H46</f>
        <v>0</v>
      </c>
      <c r="AF46" s="126">
        <f>'Stream Pull'!M46</f>
        <v>0</v>
      </c>
      <c r="AG46" s="48">
        <f t="shared" si="0"/>
        <v>0</v>
      </c>
      <c r="AH46" s="216">
        <f>'Consol Pull'!F46-'Consol Pull'!G46</f>
        <v>0</v>
      </c>
      <c r="AI46" s="48">
        <f t="shared" si="1"/>
        <v>0</v>
      </c>
      <c r="AJ46" s="146"/>
      <c r="AK46" s="224">
        <f>I46+AG46</f>
        <v>0</v>
      </c>
      <c r="AL46" s="224"/>
      <c r="AM46" s="224">
        <f>AK46-E46</f>
        <v>0</v>
      </c>
      <c r="AN46" s="146"/>
      <c r="AO46" s="48" t="e">
        <f>'FIRM Load Pull'!#REF!</f>
        <v>#REF!</v>
      </c>
      <c r="AP46" s="216" t="e">
        <f>I46+AG46+AO46</f>
        <v>#REF!</v>
      </c>
      <c r="AQ46" s="48" t="e">
        <f>AP46-E46</f>
        <v>#REF!</v>
      </c>
      <c r="AR46" s="2"/>
      <c r="AS46" s="2"/>
      <c r="AT46" s="2"/>
    </row>
    <row r="47" spans="1:46" s="140" customFormat="1" ht="16.2" customHeight="1" outlineLevel="1">
      <c r="A47" s="141" t="s">
        <v>191</v>
      </c>
      <c r="B47" s="46" t="s">
        <v>58</v>
      </c>
      <c r="C47" s="236" t="s">
        <v>58</v>
      </c>
      <c r="D47" s="311" t="s">
        <v>58</v>
      </c>
      <c r="E47" s="246">
        <f>'Consol Pull'!F47</f>
        <v>310.56693595157122</v>
      </c>
      <c r="F47" s="246"/>
      <c r="G47" s="127">
        <f>IF(ISERROR(E47/'Consol Pull'!T47-1),"-",IF(ABS(E47/'Consol Pull'!T47-1)&gt;1000%," - ",(E47/'Consol Pull'!T47-1)))</f>
        <v>0.2952145578771701</v>
      </c>
      <c r="H47" s="247"/>
      <c r="I47" s="246">
        <f>'FIRM Load Pull'!E47</f>
        <v>16.236899391600005</v>
      </c>
      <c r="J47" s="246">
        <f>'Ship Load Pull'!E47</f>
        <v>19.769533190699988</v>
      </c>
      <c r="K47" s="127">
        <f>IF(ISERROR(I47/'FIRM Load Pull'!Q47-1),"-",IF(ABS(I47/'FIRM Load Pull'!Q47-1)&gt;1000%," - ",(I47/'FIRM Load Pull'!Q47-1)))</f>
        <v>-0.33400527370385735</v>
      </c>
      <c r="L47" s="248">
        <f>'FIRM Load Pull'!E47-'FIRM Load Pull'!F47</f>
        <v>0.15086583730000314</v>
      </c>
      <c r="M47" s="248">
        <f>'FIRM Load Pull'!E47-'FIRM Load Pull'!G47</f>
        <v>4.4218189479000038</v>
      </c>
      <c r="N47" s="223">
        <f>'Consol Pull'!G47</f>
        <v>207.702986194922</v>
      </c>
      <c r="O47" s="248">
        <f t="shared" si="2"/>
        <v>-191.46608680332201</v>
      </c>
      <c r="P47" s="248">
        <f>I47-'Tracks Pull'!E47</f>
        <v>5.6612295842604752</v>
      </c>
      <c r="Q47" s="248">
        <f>M47-'Tracks Pull'!G47</f>
        <v>1.427355031607024</v>
      </c>
      <c r="R47" s="127" t="str">
        <f>IF(ISERROR(#REF!/'RETAIL Load Pull'!N47-1),"-",IF(ABS(#REF!/'RETAIL Load Pull'!N47-1)&gt;1000%," - ",(#REF!/'RETAIL Load Pull'!N47-1)))</f>
        <v>-</v>
      </c>
      <c r="S47" s="127"/>
      <c r="T47" s="127"/>
      <c r="U47" s="262">
        <f>'RETAIL Load Pull'!E47-'RETAIL Load Pull'!F47</f>
        <v>4.658267087899965</v>
      </c>
      <c r="V47" s="248">
        <f>'RETAIL Load Pull'!E47-'RETAIL Load Pull'!G47</f>
        <v>27.270372670099956</v>
      </c>
      <c r="W47" s="248" t="e">
        <f>#REF!-N47</f>
        <v>#REF!</v>
      </c>
      <c r="X47" s="248"/>
      <c r="Y47" s="248" t="e">
        <f>#REF!-'Tracks Pull'!M46</f>
        <v>#REF!</v>
      </c>
      <c r="Z47" s="248"/>
      <c r="AA47" s="250">
        <f>V47-'Tracks Pull'!O46</f>
        <v>10.505257052295153</v>
      </c>
      <c r="AB47" s="247"/>
      <c r="AC47" s="250">
        <f>'Stream Pull'!F47</f>
        <v>34.485316619424999</v>
      </c>
      <c r="AD47" s="250">
        <f>'Stream Pull'!G47</f>
        <v>4.3964095794847236</v>
      </c>
      <c r="AE47" s="250">
        <f>'Stream Pull'!H47</f>
        <v>30.088907039940274</v>
      </c>
      <c r="AF47" s="250">
        <f>'Stream Pull'!M47</f>
        <v>57.297516049999999</v>
      </c>
      <c r="AG47" s="248">
        <f t="shared" si="0"/>
        <v>91.782832669425005</v>
      </c>
      <c r="AH47" s="223">
        <f>'Consol Pull'!F47-'Consol Pull'!G47</f>
        <v>102.86394975664922</v>
      </c>
      <c r="AI47" s="248">
        <f t="shared" si="1"/>
        <v>-11.081117087224214</v>
      </c>
      <c r="AJ47" s="247"/>
      <c r="AK47" s="251">
        <f>I47+AG47</f>
        <v>108.01973206102501</v>
      </c>
      <c r="AL47" s="251"/>
      <c r="AM47" s="251">
        <f>AK47-E47</f>
        <v>-202.5472038905462</v>
      </c>
      <c r="AN47" s="247"/>
      <c r="AO47" s="248" t="e">
        <f>'FIRM Load Pull'!#REF!</f>
        <v>#REF!</v>
      </c>
      <c r="AP47" s="223" t="e">
        <f>I47+AG47+AO47</f>
        <v>#REF!</v>
      </c>
      <c r="AQ47" s="248" t="e">
        <f>AP47-E47</f>
        <v>#REF!</v>
      </c>
      <c r="AR47" s="141"/>
      <c r="AS47" s="141"/>
      <c r="AT47" s="141"/>
    </row>
    <row r="48" spans="1:46" ht="16.2" customHeight="1" outlineLevel="2">
      <c r="A48" s="2" t="s">
        <v>191</v>
      </c>
      <c r="B48" s="44" t="s">
        <v>17</v>
      </c>
      <c r="C48" s="236" t="s">
        <v>17</v>
      </c>
      <c r="D48" s="313" t="s">
        <v>327</v>
      </c>
      <c r="E48" s="162">
        <f>'Consol Pull'!F48</f>
        <v>50.055671578651122</v>
      </c>
      <c r="F48" s="162"/>
      <c r="G48" s="127" t="str">
        <f>IF(ISERROR(E48/'Consol Pull'!T48-1),"-",IF(ABS(E48/'Consol Pull'!T48-1)&gt;1000%," - ",(E48/'Consol Pull'!T48-1)))</f>
        <v>-</v>
      </c>
      <c r="H48" s="146"/>
      <c r="I48" s="162">
        <f>'FIRM Load Pull'!E48</f>
        <v>3.1201138545000004</v>
      </c>
      <c r="J48" s="162">
        <f>'Ship Load Pull'!E48</f>
        <v>1.6130656051000001</v>
      </c>
      <c r="K48" s="127">
        <f>IF(ISERROR(I48/'FIRM Load Pull'!Q48-1),"-",IF(ABS(I48/'FIRM Load Pull'!Q48-1)&gt;1000%," - ",(I48/'FIRM Load Pull'!Q48-1)))</f>
        <v>-0.43362000025479164</v>
      </c>
      <c r="L48" s="48">
        <f>'FIRM Load Pull'!E48-'FIRM Load Pull'!F48</f>
        <v>0</v>
      </c>
      <c r="M48" s="48">
        <f>'FIRM Load Pull'!E48-'FIRM Load Pull'!G48</f>
        <v>1.4226303363000006</v>
      </c>
      <c r="N48" s="216">
        <f>'Consol Pull'!G48</f>
        <v>37.098407887295892</v>
      </c>
      <c r="O48" s="48">
        <f t="shared" si="2"/>
        <v>-33.978294032795894</v>
      </c>
      <c r="P48" s="48">
        <f>I48-'Tracks Pull'!E48</f>
        <v>3.0058420504863856</v>
      </c>
      <c r="Q48" s="48">
        <f>M48-'Tracks Pull'!G48</f>
        <v>1.3902746746726866</v>
      </c>
      <c r="R48" s="127" t="str">
        <f>IF(ISERROR(#REF!/'RETAIL Load Pull'!N48-1),"-",IF(ABS(#REF!/'RETAIL Load Pull'!N48-1)&gt;1000%," - ",(#REF!/'RETAIL Load Pull'!N48-1)))</f>
        <v>-</v>
      </c>
      <c r="S48" s="127"/>
      <c r="T48" s="127"/>
      <c r="U48" s="258">
        <f>'RETAIL Load Pull'!E48-'RETAIL Load Pull'!F48</f>
        <v>0</v>
      </c>
      <c r="V48" s="48">
        <f>'RETAIL Load Pull'!E48-'RETAIL Load Pull'!G48</f>
        <v>1.572630336299996</v>
      </c>
      <c r="W48" s="48" t="e">
        <f>#REF!-N48</f>
        <v>#REF!</v>
      </c>
      <c r="X48" s="48"/>
      <c r="Y48" s="48" t="e">
        <f>#REF!-'Tracks Pull'!M47</f>
        <v>#REF!</v>
      </c>
      <c r="Z48" s="48"/>
      <c r="AA48" s="126">
        <f>V48-'Tracks Pull'!O47</f>
        <v>-1.4218335799929838</v>
      </c>
      <c r="AB48" s="146"/>
      <c r="AC48" s="126">
        <f>'Stream Pull'!F48</f>
        <v>4.8541205041993267</v>
      </c>
      <c r="AD48" s="126">
        <f>'Stream Pull'!G48</f>
        <v>0.54786040710407202</v>
      </c>
      <c r="AE48" s="126">
        <f>'Stream Pull'!H48</f>
        <v>4.3062600970952545</v>
      </c>
      <c r="AF48" s="126">
        <f>'Stream Pull'!M48</f>
        <v>6.18</v>
      </c>
      <c r="AG48" s="48">
        <f t="shared" si="0"/>
        <v>11.034120504199326</v>
      </c>
      <c r="AH48" s="216">
        <f>'Consol Pull'!F48-'Consol Pull'!G48</f>
        <v>12.95726369135523</v>
      </c>
      <c r="AI48" s="48">
        <f t="shared" si="1"/>
        <v>-1.9231431871559046</v>
      </c>
      <c r="AJ48" s="146"/>
      <c r="AK48" s="224">
        <f>I48+AG48</f>
        <v>14.154234358699327</v>
      </c>
      <c r="AL48" s="224"/>
      <c r="AM48" s="224">
        <f>AK48-E48</f>
        <v>-35.901437219951795</v>
      </c>
      <c r="AN48" s="146"/>
      <c r="AO48" s="48" t="e">
        <f>'FIRM Load Pull'!#REF!</f>
        <v>#REF!</v>
      </c>
      <c r="AP48" s="216" t="e">
        <f>I48+AG48+AO48</f>
        <v>#REF!</v>
      </c>
      <c r="AQ48" s="48" t="e">
        <f>AP48-E48</f>
        <v>#REF!</v>
      </c>
      <c r="AR48" s="2"/>
      <c r="AS48" s="2"/>
      <c r="AT48" s="2"/>
    </row>
    <row r="49" spans="1:46" ht="16.2" customHeight="1" outlineLevel="2">
      <c r="A49" s="2" t="s">
        <v>191</v>
      </c>
      <c r="B49" s="44" t="s">
        <v>18</v>
      </c>
      <c r="C49" s="236" t="s">
        <v>18</v>
      </c>
      <c r="D49" s="313" t="s">
        <v>328</v>
      </c>
      <c r="E49" s="162">
        <f>'Consol Pull'!F49</f>
        <v>1.2999330631144423</v>
      </c>
      <c r="F49" s="162"/>
      <c r="G49" s="127" t="str">
        <f>IF(ISERROR(E49/'Consol Pull'!T49-1),"-",IF(ABS(E49/'Consol Pull'!T49-1)&gt;1000%," - ",(E49/'Consol Pull'!T49-1)))</f>
        <v>-</v>
      </c>
      <c r="H49" s="146"/>
      <c r="I49" s="162">
        <f>'FIRM Load Pull'!E49</f>
        <v>8.0696495300000004E-2</v>
      </c>
      <c r="J49" s="162">
        <f>'Ship Load Pull'!E49</f>
        <v>8.0696495300000004E-2</v>
      </c>
      <c r="K49" s="127">
        <f>IF(ISERROR(I49/'FIRM Load Pull'!Q49-1),"-",IF(ABS(I49/'FIRM Load Pull'!Q49-1)&gt;1000%," - ",(I49/'FIRM Load Pull'!Q49-1)))</f>
        <v>-0.95201182849216404</v>
      </c>
      <c r="L49" s="48">
        <f>'FIRM Load Pull'!E49-'FIRM Load Pull'!F49</f>
        <v>0</v>
      </c>
      <c r="M49" s="48">
        <f>'FIRM Load Pull'!E49-'FIRM Load Pull'!G49</f>
        <v>-2.3139699999999985E-3</v>
      </c>
      <c r="N49" s="216">
        <f>'Consol Pull'!G49</f>
        <v>0.40085423169812984</v>
      </c>
      <c r="O49" s="48">
        <f t="shared" si="2"/>
        <v>-0.32015773639812983</v>
      </c>
      <c r="P49" s="48">
        <f>I49-'Tracks Pull'!E49</f>
        <v>-21.200071493644263</v>
      </c>
      <c r="Q49" s="48">
        <f>M49-'Tracks Pull'!G49</f>
        <v>-6.0517389369751937</v>
      </c>
      <c r="R49" s="127" t="str">
        <f>IF(ISERROR(#REF!/'RETAIL Load Pull'!N49-1),"-",IF(ABS(#REF!/'RETAIL Load Pull'!N49-1)&gt;1000%," - ",(#REF!/'RETAIL Load Pull'!N49-1)))</f>
        <v>-</v>
      </c>
      <c r="S49" s="127"/>
      <c r="T49" s="127"/>
      <c r="U49" s="258">
        <f>'RETAIL Load Pull'!E49-'RETAIL Load Pull'!F49</f>
        <v>0</v>
      </c>
      <c r="V49" s="48">
        <f>'RETAIL Load Pull'!E49-'RETAIL Load Pull'!G49</f>
        <v>-2.3139699999999985E-3</v>
      </c>
      <c r="W49" s="48" t="e">
        <f>#REF!-N49</f>
        <v>#REF!</v>
      </c>
      <c r="X49" s="48"/>
      <c r="Y49" s="48" t="e">
        <f>#REF!-'Tracks Pull'!M48</f>
        <v>#REF!</v>
      </c>
      <c r="Z49" s="48"/>
      <c r="AA49" s="126">
        <f>V49-'Tracks Pull'!O48</f>
        <v>-3.4669631627313999E-2</v>
      </c>
      <c r="AB49" s="146"/>
      <c r="AC49" s="126">
        <f>'Stream Pull'!F49</f>
        <v>0</v>
      </c>
      <c r="AD49" s="126">
        <f>'Stream Pull'!G49</f>
        <v>0</v>
      </c>
      <c r="AE49" s="126">
        <f>'Stream Pull'!H49</f>
        <v>0</v>
      </c>
      <c r="AF49" s="126">
        <f>'Stream Pull'!M49</f>
        <v>0.28000000000000003</v>
      </c>
      <c r="AG49" s="48">
        <f t="shared" si="0"/>
        <v>0.28000000000000003</v>
      </c>
      <c r="AH49" s="216">
        <f>'Consol Pull'!F49-'Consol Pull'!G49</f>
        <v>0.89907883141631251</v>
      </c>
      <c r="AI49" s="48">
        <f t="shared" si="1"/>
        <v>-0.61907883141631248</v>
      </c>
      <c r="AJ49" s="146"/>
      <c r="AK49" s="224">
        <f>I49+AG49</f>
        <v>0.36069649530000003</v>
      </c>
      <c r="AL49" s="224"/>
      <c r="AM49" s="224">
        <f>AK49-E49</f>
        <v>-0.93923656781444231</v>
      </c>
      <c r="AN49" s="146"/>
      <c r="AO49" s="48" t="e">
        <f>'FIRM Load Pull'!#REF!</f>
        <v>#REF!</v>
      </c>
      <c r="AP49" s="216" t="e">
        <f>I49+AG49+AO49</f>
        <v>#REF!</v>
      </c>
      <c r="AQ49" s="48" t="e">
        <f>AP49-E49</f>
        <v>#REF!</v>
      </c>
      <c r="AR49" s="2"/>
      <c r="AS49" s="2"/>
      <c r="AT49" s="2"/>
    </row>
    <row r="50" spans="1:46" ht="16.2" customHeight="1" outlineLevel="2">
      <c r="A50" s="2" t="s">
        <v>191</v>
      </c>
      <c r="B50" s="44" t="s">
        <v>19</v>
      </c>
      <c r="C50" s="236" t="s">
        <v>19</v>
      </c>
      <c r="D50" s="313" t="s">
        <v>329</v>
      </c>
      <c r="E50" s="162">
        <f>'Consol Pull'!F50</f>
        <v>109.45059375046287</v>
      </c>
      <c r="F50" s="162"/>
      <c r="G50" s="127" t="str">
        <f>IF(ISERROR(E50/'Consol Pull'!T50-1),"-",IF(ABS(E50/'Consol Pull'!T50-1)&gt;1000%," - ",(E50/'Consol Pull'!T50-1)))</f>
        <v>-</v>
      </c>
      <c r="H50" s="146"/>
      <c r="I50" s="162">
        <f>'FIRM Load Pull'!E50</f>
        <v>9.0891046607000057</v>
      </c>
      <c r="J50" s="162">
        <f>'Ship Load Pull'!E50</f>
        <v>6.3326558249000025</v>
      </c>
      <c r="K50" s="127">
        <f>IF(ISERROR(I50/'FIRM Load Pull'!Q50-1),"-",IF(ABS(I50/'FIRM Load Pull'!Q50-1)&gt;1000%," - ",(I50/'FIRM Load Pull'!Q50-1)))</f>
        <v>0.17640006808309727</v>
      </c>
      <c r="L50" s="48">
        <f>'FIRM Load Pull'!E50-'FIRM Load Pull'!F50</f>
        <v>0.13952082379999986</v>
      </c>
      <c r="M50" s="48">
        <f>'FIRM Load Pull'!E50-'FIRM Load Pull'!G50</f>
        <v>2.2870943522000049</v>
      </c>
      <c r="N50" s="216">
        <f>'Consol Pull'!G50</f>
        <v>74.798863019902228</v>
      </c>
      <c r="O50" s="48">
        <f t="shared" si="2"/>
        <v>-65.709758359202226</v>
      </c>
      <c r="P50" s="48">
        <f>I50-'Tracks Pull'!E50</f>
        <v>1.5663009260010661</v>
      </c>
      <c r="Q50" s="48">
        <f>M50-'Tracks Pull'!G50</f>
        <v>0.15703878661525916</v>
      </c>
      <c r="R50" s="127" t="str">
        <f>IF(ISERROR(#REF!/'RETAIL Load Pull'!N50-1),"-",IF(ABS(#REF!/'RETAIL Load Pull'!N50-1)&gt;1000%," - ",(#REF!/'RETAIL Load Pull'!N50-1)))</f>
        <v>-</v>
      </c>
      <c r="S50" s="127"/>
      <c r="T50" s="127"/>
      <c r="U50" s="258">
        <f>'RETAIL Load Pull'!E50-'RETAIL Load Pull'!F50</f>
        <v>1.7903174200000649E-2</v>
      </c>
      <c r="V50" s="48">
        <f>'RETAIL Load Pull'!E50-'RETAIL Load Pull'!G50</f>
        <v>12.037735255900003</v>
      </c>
      <c r="W50" s="48" t="e">
        <f>#REF!-N50</f>
        <v>#REF!</v>
      </c>
      <c r="X50" s="48"/>
      <c r="Y50" s="48" t="e">
        <f>#REF!-'Tracks Pull'!M49</f>
        <v>#REF!</v>
      </c>
      <c r="Z50" s="48"/>
      <c r="AA50" s="126">
        <f>V50-'Tracks Pull'!O49</f>
        <v>5.9883102889248097</v>
      </c>
      <c r="AB50" s="146"/>
      <c r="AC50" s="126">
        <f>'Stream Pull'!F50</f>
        <v>12.25993158562644</v>
      </c>
      <c r="AD50" s="126">
        <f>'Stream Pull'!G50</f>
        <v>2.25910768419164</v>
      </c>
      <c r="AE50" s="126">
        <f>'Stream Pull'!H50</f>
        <v>10.000823901434799</v>
      </c>
      <c r="AF50" s="126">
        <f>'Stream Pull'!M50</f>
        <v>19.457516049999999</v>
      </c>
      <c r="AG50" s="48">
        <f t="shared" si="0"/>
        <v>31.717447635626439</v>
      </c>
      <c r="AH50" s="216">
        <f>'Consol Pull'!F50-'Consol Pull'!G50</f>
        <v>34.651730730560644</v>
      </c>
      <c r="AI50" s="48">
        <f t="shared" si="1"/>
        <v>-2.9342830949342051</v>
      </c>
      <c r="AJ50" s="146"/>
      <c r="AK50" s="224">
        <f>I50+AG50</f>
        <v>40.806552296326444</v>
      </c>
      <c r="AL50" s="224"/>
      <c r="AM50" s="224">
        <f>AK50-E50</f>
        <v>-68.644041454136428</v>
      </c>
      <c r="AN50" s="146"/>
      <c r="AO50" s="48" t="e">
        <f>'FIRM Load Pull'!#REF!</f>
        <v>#REF!</v>
      </c>
      <c r="AP50" s="216" t="e">
        <f>I50+AG50+AO50</f>
        <v>#REF!</v>
      </c>
      <c r="AQ50" s="48" t="e">
        <f>AP50-E50</f>
        <v>#REF!</v>
      </c>
      <c r="AR50" s="2"/>
      <c r="AS50" s="2"/>
      <c r="AT50" s="2"/>
    </row>
    <row r="51" spans="1:46" ht="16.2" customHeight="1" outlineLevel="2">
      <c r="A51" s="2" t="s">
        <v>191</v>
      </c>
      <c r="B51" s="44" t="s">
        <v>77</v>
      </c>
      <c r="C51" s="236" t="s">
        <v>77</v>
      </c>
      <c r="D51" s="313" t="s">
        <v>330</v>
      </c>
      <c r="E51" s="162">
        <f>'Consol Pull'!F51</f>
        <v>35.410219243391424</v>
      </c>
      <c r="F51" s="162"/>
      <c r="G51" s="127" t="str">
        <f>IF(ISERROR(E51/'Consol Pull'!T51-1),"-",IF(ABS(E51/'Consol Pull'!T51-1)&gt;1000%," - ",(E51/'Consol Pull'!T51-1)))</f>
        <v>-</v>
      </c>
      <c r="H51" s="146"/>
      <c r="I51" s="162">
        <f>'FIRM Load Pull'!E51</f>
        <v>0.99384730100000029</v>
      </c>
      <c r="J51" s="162">
        <f>'Ship Load Pull'!E51</f>
        <v>1.3538473010000001</v>
      </c>
      <c r="K51" s="127">
        <f>IF(ISERROR(I51/'FIRM Load Pull'!Q51-1),"-",IF(ABS(I51/'FIRM Load Pull'!Q51-1)&gt;1000%," - ",(I51/'FIRM Load Pull'!Q51-1)))</f>
        <v>-3.3090228408934359</v>
      </c>
      <c r="L51" s="48">
        <f>'FIRM Load Pull'!E51-'FIRM Load Pull'!F51</f>
        <v>0</v>
      </c>
      <c r="M51" s="48">
        <f>'FIRM Load Pull'!E51-'FIRM Load Pull'!G51</f>
        <v>0.10284482000000039</v>
      </c>
      <c r="N51" s="216">
        <f>'Consol Pull'!G51</f>
        <v>26.3892544387353</v>
      </c>
      <c r="O51" s="48">
        <f t="shared" si="2"/>
        <v>-25.395407137735301</v>
      </c>
      <c r="P51" s="48">
        <f>I51-'Tracks Pull'!E51</f>
        <v>-2.3790041351239779</v>
      </c>
      <c r="Q51" s="48">
        <f>M51-'Tracks Pull'!G51</f>
        <v>-0.85216626719193667</v>
      </c>
      <c r="R51" s="127" t="str">
        <f>IF(ISERROR(#REF!/'RETAIL Load Pull'!N51-1),"-",IF(ABS(#REF!/'RETAIL Load Pull'!N51-1)&gt;1000%," - ",(#REF!/'RETAIL Load Pull'!N51-1)))</f>
        <v>-</v>
      </c>
      <c r="S51" s="127"/>
      <c r="T51" s="127"/>
      <c r="U51" s="258">
        <f>'RETAIL Load Pull'!E51-'RETAIL Load Pull'!F51</f>
        <v>3.3226676971</v>
      </c>
      <c r="V51" s="48">
        <f>'RETAIL Load Pull'!E51-'RETAIL Load Pull'!G51</f>
        <v>3.5155125171000012</v>
      </c>
      <c r="W51" s="48" t="e">
        <f>#REF!-N51</f>
        <v>#REF!</v>
      </c>
      <c r="X51" s="48"/>
      <c r="Y51" s="48" t="e">
        <f>#REF!-'Tracks Pull'!M50</f>
        <v>#REF!</v>
      </c>
      <c r="Z51" s="48"/>
      <c r="AA51" s="126">
        <f>V51-'Tracks Pull'!O50</f>
        <v>1.3854569515152555</v>
      </c>
      <c r="AB51" s="146"/>
      <c r="AC51" s="126">
        <f>'Stream Pull'!F51</f>
        <v>3.7519378773595671</v>
      </c>
      <c r="AD51" s="126">
        <f>'Stream Pull'!G51</f>
        <v>0.17473042594138</v>
      </c>
      <c r="AE51" s="126">
        <f>'Stream Pull'!H51</f>
        <v>3.5772074514181869</v>
      </c>
      <c r="AF51" s="126">
        <f>'Stream Pull'!M51</f>
        <v>4.0199999999999969</v>
      </c>
      <c r="AG51" s="48">
        <f t="shared" si="0"/>
        <v>7.771937877359564</v>
      </c>
      <c r="AH51" s="216">
        <f>'Consol Pull'!F51-'Consol Pull'!G51</f>
        <v>9.0209648046561242</v>
      </c>
      <c r="AI51" s="48">
        <f t="shared" si="1"/>
        <v>-1.2490269272965602</v>
      </c>
      <c r="AJ51" s="146"/>
      <c r="AK51" s="224">
        <f>I51+AG51</f>
        <v>8.7657851783595646</v>
      </c>
      <c r="AL51" s="224"/>
      <c r="AM51" s="224">
        <f>AK51-E51</f>
        <v>-26.644434065031859</v>
      </c>
      <c r="AN51" s="146"/>
      <c r="AO51" s="48" t="e">
        <f>'FIRM Load Pull'!#REF!</f>
        <v>#REF!</v>
      </c>
      <c r="AP51" s="216" t="e">
        <f>I51+AG51+AO51</f>
        <v>#REF!</v>
      </c>
      <c r="AQ51" s="48" t="e">
        <f>AP51-E51</f>
        <v>#REF!</v>
      </c>
      <c r="AR51" s="2"/>
      <c r="AS51" s="2"/>
      <c r="AT51" s="2"/>
    </row>
    <row r="52" spans="1:46" ht="16.2" customHeight="1" outlineLevel="2">
      <c r="A52" s="2" t="s">
        <v>191</v>
      </c>
      <c r="B52" s="44" t="s">
        <v>78</v>
      </c>
      <c r="C52" s="236" t="s">
        <v>78</v>
      </c>
      <c r="D52" s="313" t="s">
        <v>426</v>
      </c>
      <c r="E52" s="162">
        <f>'Consol Pull'!F52</f>
        <v>19.125371143315213</v>
      </c>
      <c r="F52" s="162"/>
      <c r="G52" s="127" t="str">
        <f>IF(ISERROR(E52/'Consol Pull'!T52-1),"-",IF(ABS(E52/'Consol Pull'!T52-1)&gt;1000%," - ",(E52/'Consol Pull'!T52-1)))</f>
        <v>-</v>
      </c>
      <c r="H52" s="146"/>
      <c r="I52" s="162">
        <f>'FIRM Load Pull'!E52</f>
        <v>1.6162015974000004</v>
      </c>
      <c r="J52" s="162">
        <f>'Ship Load Pull'!E52</f>
        <v>1.6845421899000002</v>
      </c>
      <c r="K52" s="127">
        <f>IF(ISERROR(I52/'FIRM Load Pull'!Q52-1),"-",IF(ABS(I52/'FIRM Load Pull'!Q52-1)&gt;1000%," - ",(I52/'FIRM Load Pull'!Q52-1)))</f>
        <v>-3.2148183129214747E-3</v>
      </c>
      <c r="L52" s="48">
        <f>'FIRM Load Pull'!E52-'FIRM Load Pull'!F52</f>
        <v>0</v>
      </c>
      <c r="M52" s="48">
        <f>'FIRM Load Pull'!E52-'FIRM Load Pull'!G52</f>
        <v>0.51694454220000008</v>
      </c>
      <c r="N52" s="216">
        <f>'Consol Pull'!G52</f>
        <v>11.831630582276704</v>
      </c>
      <c r="O52" s="48">
        <f t="shared" si="2"/>
        <v>-10.215428984876704</v>
      </c>
      <c r="P52" s="48">
        <f>I52-'Tracks Pull'!E52</f>
        <v>-0.3040747530936545</v>
      </c>
      <c r="Q52" s="48">
        <f>M52-'Tracks Pull'!G52</f>
        <v>-2.6774990048767711E-2</v>
      </c>
      <c r="R52" s="127" t="str">
        <f>IF(ISERROR(#REF!/'RETAIL Load Pull'!N52-1),"-",IF(ABS(#REF!/'RETAIL Load Pull'!N52-1)&gt;1000%," - ",(#REF!/'RETAIL Load Pull'!N52-1)))</f>
        <v>-</v>
      </c>
      <c r="S52" s="127"/>
      <c r="T52" s="127"/>
      <c r="U52" s="258">
        <f>'RETAIL Load Pull'!E52-'RETAIL Load Pull'!F52</f>
        <v>0</v>
      </c>
      <c r="V52" s="48">
        <f>'RETAIL Load Pull'!E52-'RETAIL Load Pull'!G52</f>
        <v>4.8631257359999989</v>
      </c>
      <c r="W52" s="48" t="e">
        <f>#REF!-N52</f>
        <v>#REF!</v>
      </c>
      <c r="X52" s="48"/>
      <c r="Y52" s="48" t="e">
        <f>#REF!-'Tracks Pull'!#REF!</f>
        <v>#REF!</v>
      </c>
      <c r="Z52" s="48"/>
      <c r="AA52" s="126" t="e">
        <f>V52-'Tracks Pull'!#REF!</f>
        <v>#REF!</v>
      </c>
      <c r="AB52" s="146"/>
      <c r="AC52" s="126">
        <f>'Stream Pull'!F52</f>
        <v>2.2558085348673771</v>
      </c>
      <c r="AD52" s="126">
        <f>'Stream Pull'!G52</f>
        <v>0.16254179194848301</v>
      </c>
      <c r="AE52" s="126">
        <f>'Stream Pull'!H52</f>
        <v>2.0932667429188943</v>
      </c>
      <c r="AF52" s="126">
        <f>'Stream Pull'!M52</f>
        <v>4.03</v>
      </c>
      <c r="AG52" s="48">
        <f t="shared" si="0"/>
        <v>6.2858085348673773</v>
      </c>
      <c r="AH52" s="216">
        <f>'Consol Pull'!F52-'Consol Pull'!G52</f>
        <v>7.2937405610385095</v>
      </c>
      <c r="AI52" s="48">
        <f t="shared" si="1"/>
        <v>-1.0079320261711322</v>
      </c>
      <c r="AJ52" s="146"/>
      <c r="AK52" s="224">
        <f>I52+AG52</f>
        <v>7.9020101322673781</v>
      </c>
      <c r="AL52" s="224"/>
      <c r="AM52" s="224">
        <f>AK52-E52</f>
        <v>-11.223361011047835</v>
      </c>
      <c r="AN52" s="146"/>
      <c r="AO52" s="48" t="e">
        <f>'FIRM Load Pull'!#REF!</f>
        <v>#REF!</v>
      </c>
      <c r="AP52" s="216" t="e">
        <f>I52+AG52+AO52</f>
        <v>#REF!</v>
      </c>
      <c r="AQ52" s="48" t="e">
        <f>AP52-E52</f>
        <v>#REF!</v>
      </c>
      <c r="AR52" s="2"/>
      <c r="AS52" s="2"/>
      <c r="AT52" s="2"/>
    </row>
    <row r="53" spans="1:46" ht="16.2" customHeight="1" outlineLevel="2">
      <c r="A53" s="2" t="s">
        <v>191</v>
      </c>
      <c r="B53" s="44" t="s">
        <v>393</v>
      </c>
      <c r="C53" s="236" t="s">
        <v>393</v>
      </c>
      <c r="D53" s="313" t="s">
        <v>427</v>
      </c>
      <c r="E53" s="162">
        <f>'Consol Pull'!F53</f>
        <v>9.4721772006706111</v>
      </c>
      <c r="F53" s="162"/>
      <c r="G53" s="127" t="str">
        <f>IF(ISERROR(E53/'Consol Pull'!T53-1),"-",IF(ABS(E53/'Consol Pull'!T53-1)&gt;1000%," - ",(E53/'Consol Pull'!T53-1)))</f>
        <v>-</v>
      </c>
      <c r="H53" s="146"/>
      <c r="I53" s="162">
        <f>'FIRM Load Pull'!E53</f>
        <v>0.87073002719999992</v>
      </c>
      <c r="J53" s="162">
        <f>'Ship Load Pull'!E53</f>
        <v>0.87073002719999992</v>
      </c>
      <c r="K53" s="127">
        <f>IF(ISERROR(I53/'FIRM Load Pull'!Q53-1),"-",IF(ABS(I53/'FIRM Load Pull'!Q53-1)&gt;1000%," - ",(I53/'FIRM Load Pull'!Q53-1)))</f>
        <v>2.740526225381938</v>
      </c>
      <c r="L53" s="48">
        <f>'FIRM Load Pull'!E53-'FIRM Load Pull'!F53</f>
        <v>0</v>
      </c>
      <c r="M53" s="48">
        <f>'FIRM Load Pull'!E53-'FIRM Load Pull'!G53</f>
        <v>-1.9700420000000052E-2</v>
      </c>
      <c r="N53" s="216">
        <f>'Consol Pull'!G53</f>
        <v>6.7361402733566296</v>
      </c>
      <c r="O53" s="48">
        <f t="shared" si="2"/>
        <v>-5.86541024615663</v>
      </c>
      <c r="P53" s="48">
        <f>I53-'Tracks Pull'!E53</f>
        <v>-8.4588381023648074E-2</v>
      </c>
      <c r="Q53" s="48">
        <f>M53-'Tracks Pull'!G53</f>
        <v>-0.26634554304244706</v>
      </c>
      <c r="R53" s="127" t="str">
        <f>IF(ISERROR(#REF!/'RETAIL Load Pull'!N53-1),"-",IF(ABS(#REF!/'RETAIL Load Pull'!N53-1)&gt;1000%," - ",(#REF!/'RETAIL Load Pull'!N53-1)))</f>
        <v>-</v>
      </c>
      <c r="S53" s="127"/>
      <c r="T53" s="127"/>
      <c r="U53" s="258">
        <f>'RETAIL Load Pull'!E53-'RETAIL Load Pull'!F53</f>
        <v>0</v>
      </c>
      <c r="V53" s="48">
        <f>'RETAIL Load Pull'!E53-'RETAIL Load Pull'!G53</f>
        <v>-1.9700420000000052E-2</v>
      </c>
      <c r="W53" s="48" t="e">
        <f>#REF!-N53</f>
        <v>#REF!</v>
      </c>
      <c r="X53" s="48"/>
      <c r="Y53" s="48" t="e">
        <f>#REF!-'Tracks Pull'!#REF!</f>
        <v>#REF!</v>
      </c>
      <c r="Z53" s="48"/>
      <c r="AA53" s="126" t="e">
        <f>V53-'Tracks Pull'!#REF!</f>
        <v>#REF!</v>
      </c>
      <c r="AB53" s="146"/>
      <c r="AC53" s="126">
        <f>'Stream Pull'!F53</f>
        <v>0.52778966859806797</v>
      </c>
      <c r="AD53" s="126">
        <f>'Stream Pull'!G53</f>
        <v>0.13147240739785901</v>
      </c>
      <c r="AE53" s="126">
        <f>'Stream Pull'!H53</f>
        <v>0.39631726120020899</v>
      </c>
      <c r="AF53" s="126">
        <f>'Stream Pull'!M53</f>
        <v>0.77</v>
      </c>
      <c r="AG53" s="48">
        <f>AC53+AF53</f>
        <v>1.2977896685980679</v>
      </c>
      <c r="AH53" s="216">
        <f>'Consol Pull'!F53-'Consol Pull'!G53</f>
        <v>2.7360369273139815</v>
      </c>
      <c r="AI53" s="48">
        <f>AG53-AH53</f>
        <v>-1.4382472587159136</v>
      </c>
      <c r="AJ53" s="146"/>
      <c r="AK53" s="224">
        <f>I53+AG53</f>
        <v>2.1685196957980679</v>
      </c>
      <c r="AL53" s="224"/>
      <c r="AM53" s="224">
        <f>AK53-E53</f>
        <v>-7.3036575048725432</v>
      </c>
      <c r="AN53" s="146"/>
      <c r="AO53" s="48"/>
      <c r="AP53" s="216"/>
      <c r="AQ53" s="48"/>
      <c r="AR53" s="2"/>
      <c r="AS53" s="2"/>
      <c r="AT53" s="2"/>
    </row>
    <row r="54" spans="1:46" ht="16.2" customHeight="1" outlineLevel="2">
      <c r="A54" s="2" t="s">
        <v>191</v>
      </c>
      <c r="B54" s="44" t="s">
        <v>80</v>
      </c>
      <c r="C54" s="236" t="s">
        <v>80</v>
      </c>
      <c r="D54" s="313" t="s">
        <v>331</v>
      </c>
      <c r="E54" s="162">
        <f>'Consol Pull'!F54</f>
        <v>21.940748162019275</v>
      </c>
      <c r="F54" s="162"/>
      <c r="G54" s="127" t="str">
        <f>IF(ISERROR(E54/'Consol Pull'!T54-1),"-",IF(ABS(E54/'Consol Pull'!T54-1)&gt;1000%," - ",(E54/'Consol Pull'!T54-1)))</f>
        <v>-</v>
      </c>
      <c r="H54" s="146"/>
      <c r="I54" s="162">
        <f>'FIRM Load Pull'!E54</f>
        <v>-4.3256449400000001</v>
      </c>
      <c r="J54" s="162">
        <f>'Ship Load Pull'!E54</f>
        <v>3.0708591700000003</v>
      </c>
      <c r="K54" s="127">
        <f>IF(ISERROR(I54/'FIRM Load Pull'!Q54-1),"-",IF(ABS(I54/'FIRM Load Pull'!Q54-1)&gt;1000%," - ",(I54/'FIRM Load Pull'!Q54-1)))</f>
        <v>0.41833544149883362</v>
      </c>
      <c r="L54" s="48">
        <f>'FIRM Load Pull'!E54-'FIRM Load Pull'!F54</f>
        <v>0</v>
      </c>
      <c r="M54" s="48">
        <f>'FIRM Load Pull'!E54-'FIRM Load Pull'!G54</f>
        <v>-0.27536396339999936</v>
      </c>
      <c r="N54" s="216">
        <f>'Consol Pull'!G54</f>
        <v>3.2031376105249398</v>
      </c>
      <c r="O54" s="48">
        <f t="shared" si="2"/>
        <v>-7.5287825505249399</v>
      </c>
      <c r="P54" s="48">
        <f>I54-'Tracks Pull'!E54</f>
        <v>-9.1646391050438893</v>
      </c>
      <c r="Q54" s="48">
        <f>M54-'Tracks Pull'!G54</f>
        <v>-1.2776094150537043</v>
      </c>
      <c r="R54" s="127" t="str">
        <f>IF(ISERROR(#REF!/'RETAIL Load Pull'!N54-1),"-",IF(ABS(#REF!/'RETAIL Load Pull'!N54-1)&gt;1000%," - ",(#REF!/'RETAIL Load Pull'!N54-1)))</f>
        <v>-</v>
      </c>
      <c r="S54" s="127"/>
      <c r="T54" s="127"/>
      <c r="U54" s="258">
        <f>'RETAIL Load Pull'!E54-'RETAIL Load Pull'!F54</f>
        <v>0</v>
      </c>
      <c r="V54" s="48">
        <f>'RETAIL Load Pull'!E54-'RETAIL Load Pull'!G54</f>
        <v>3.1202129906000025</v>
      </c>
      <c r="W54" s="48" t="e">
        <f>#REF!-N54</f>
        <v>#REF!</v>
      </c>
      <c r="X54" s="48"/>
      <c r="Y54" s="48" t="e">
        <f>#REF!-'Tracks Pull'!M53</f>
        <v>#REF!</v>
      </c>
      <c r="Z54" s="48"/>
      <c r="AA54" s="126">
        <f>V54-'Tracks Pull'!O53</f>
        <v>2.8735678675575556</v>
      </c>
      <c r="AB54" s="146"/>
      <c r="AC54" s="126">
        <f>'Stream Pull'!F54</f>
        <v>0</v>
      </c>
      <c r="AD54" s="126">
        <f>'Stream Pull'!G54</f>
        <v>0</v>
      </c>
      <c r="AE54" s="126">
        <f>'Stream Pull'!H54</f>
        <v>0</v>
      </c>
      <c r="AF54" s="126">
        <f>'Stream Pull'!M54</f>
        <v>12.89</v>
      </c>
      <c r="AG54" s="48">
        <f t="shared" si="0"/>
        <v>12.89</v>
      </c>
      <c r="AH54" s="216">
        <f>'Consol Pull'!F54-'Consol Pull'!G54</f>
        <v>18.737610551494335</v>
      </c>
      <c r="AI54" s="48">
        <f t="shared" si="1"/>
        <v>-5.8476105514943342</v>
      </c>
      <c r="AJ54" s="146"/>
      <c r="AK54" s="224">
        <f>I54+AG54</f>
        <v>8.5643550600000005</v>
      </c>
      <c r="AL54" s="224"/>
      <c r="AM54" s="224">
        <f>AK54-E54</f>
        <v>-13.376393102019275</v>
      </c>
      <c r="AN54" s="146"/>
      <c r="AO54" s="48" t="e">
        <f>'FIRM Load Pull'!#REF!</f>
        <v>#REF!</v>
      </c>
      <c r="AP54" s="216" t="e">
        <f>I54+AG54+AO54</f>
        <v>#REF!</v>
      </c>
      <c r="AQ54" s="48" t="e">
        <f>AP54-E54</f>
        <v>#REF!</v>
      </c>
      <c r="AR54" s="2"/>
      <c r="AS54" s="2"/>
      <c r="AT54" s="2"/>
    </row>
    <row r="55" spans="1:46" ht="16.2" customHeight="1" outlineLevel="2">
      <c r="A55" s="2" t="s">
        <v>191</v>
      </c>
      <c r="B55" s="44" t="s">
        <v>104</v>
      </c>
      <c r="C55" s="236" t="s">
        <v>104</v>
      </c>
      <c r="D55" s="313" t="s">
        <v>104</v>
      </c>
      <c r="E55" s="162">
        <f>'Consol Pull'!F55</f>
        <v>21.338865408562448</v>
      </c>
      <c r="F55" s="162"/>
      <c r="G55" s="127">
        <f>IF(ISERROR(E55/'Consol Pull'!T55-1),"-",IF(ABS(E55/'Consol Pull'!T55-1)&gt;1000%," - ",(E55/'Consol Pull'!T55-1)))</f>
        <v>-1.1364319133288059E-2</v>
      </c>
      <c r="H55" s="146"/>
      <c r="I55" s="162">
        <f>'FIRM Load Pull'!E55</f>
        <v>0.77670100400000008</v>
      </c>
      <c r="J55" s="162">
        <f>'Ship Load Pull'!E55</f>
        <v>1.2146276688000002</v>
      </c>
      <c r="K55" s="127">
        <f>IF(ISERROR(I55/'FIRM Load Pull'!Q55-1),"-",IF(ABS(I55/'FIRM Load Pull'!Q55-1)&gt;1000%," - ",(I55/'FIRM Load Pull'!Q55-1)))</f>
        <v>-0.68823899840466729</v>
      </c>
      <c r="L55" s="48">
        <f>'FIRM Load Pull'!E55-'FIRM Load Pull'!F55</f>
        <v>0</v>
      </c>
      <c r="M55" s="48">
        <f>'FIRM Load Pull'!E55-'FIRM Load Pull'!G55</f>
        <v>0.59667162560000009</v>
      </c>
      <c r="N55" s="216">
        <f>'Consol Pull'!G55</f>
        <v>14.6913417497484</v>
      </c>
      <c r="O55" s="48">
        <f t="shared" si="2"/>
        <v>-13.9146407457484</v>
      </c>
      <c r="P55" s="48">
        <f>I55-'Tracks Pull'!E55</f>
        <v>-7.8523848982116204</v>
      </c>
      <c r="Q55" s="48">
        <f>M55-'Tracks Pull'!G55</f>
        <v>-2.2145226875877206</v>
      </c>
      <c r="R55" s="127" t="str">
        <f>IF(ISERROR(#REF!/'RETAIL Load Pull'!N55-1),"-",IF(ABS(#REF!/'RETAIL Load Pull'!N55-1)&gt;1000%," - ",(#REF!/'RETAIL Load Pull'!N55-1)))</f>
        <v>-</v>
      </c>
      <c r="S55" s="127"/>
      <c r="T55" s="127"/>
      <c r="U55" s="258">
        <f>'RETAIL Load Pull'!E55-'RETAIL Load Pull'!F55</f>
        <v>0</v>
      </c>
      <c r="V55" s="48">
        <f>'RETAIL Load Pull'!E55-'RETAIL Load Pull'!G55</f>
        <v>1.0844081661000002</v>
      </c>
      <c r="W55" s="48" t="e">
        <f>#REF!-N55</f>
        <v>#REF!</v>
      </c>
      <c r="X55" s="48"/>
      <c r="Y55" s="48" t="e">
        <f>#REF!-'Tracks Pull'!M54</f>
        <v>#REF!</v>
      </c>
      <c r="Z55" s="48"/>
      <c r="AA55" s="126">
        <f>V55-'Tracks Pull'!O54</f>
        <v>8.2162714446295304E-2</v>
      </c>
      <c r="AB55" s="146"/>
      <c r="AC55" s="126">
        <f>'Stream Pull'!F55</f>
        <v>5.6196466242572063</v>
      </c>
      <c r="AD55" s="126">
        <f>'Stream Pull'!G55</f>
        <v>0.16417210645014199</v>
      </c>
      <c r="AE55" s="126">
        <f>'Stream Pull'!H55</f>
        <v>5.4554745178070645</v>
      </c>
      <c r="AF55" s="126">
        <f>'Stream Pull'!M55</f>
        <v>3.79</v>
      </c>
      <c r="AG55" s="48">
        <f t="shared" si="0"/>
        <v>9.4096466242572063</v>
      </c>
      <c r="AH55" s="216">
        <f>'Consol Pull'!F55-'Consol Pull'!G55</f>
        <v>6.6475236588140483</v>
      </c>
      <c r="AI55" s="48">
        <f t="shared" si="1"/>
        <v>2.7621229654431581</v>
      </c>
      <c r="AJ55" s="146"/>
      <c r="AK55" s="224">
        <f>I55+AG55</f>
        <v>10.186347628257206</v>
      </c>
      <c r="AL55" s="224"/>
      <c r="AM55" s="224">
        <f>AK55-E55</f>
        <v>-11.152517780305242</v>
      </c>
      <c r="AN55" s="146"/>
      <c r="AO55" s="48" t="e">
        <f>'FIRM Load Pull'!#REF!</f>
        <v>#REF!</v>
      </c>
      <c r="AP55" s="216" t="e">
        <f>I55+AG55+AO55</f>
        <v>#REF!</v>
      </c>
      <c r="AQ55" s="48" t="e">
        <f>AP55-E55</f>
        <v>#REF!</v>
      </c>
      <c r="AR55" s="2"/>
      <c r="AS55" s="2"/>
      <c r="AT55" s="2"/>
    </row>
    <row r="56" spans="1:46" ht="16.2" customHeight="1" outlineLevel="2">
      <c r="A56" s="2" t="s">
        <v>191</v>
      </c>
      <c r="B56" s="44" t="s">
        <v>105</v>
      </c>
      <c r="C56" s="236" t="s">
        <v>105</v>
      </c>
      <c r="D56" s="313" t="s">
        <v>105</v>
      </c>
      <c r="E56" s="162">
        <f>'Consol Pull'!F56</f>
        <v>42.473356401384102</v>
      </c>
      <c r="F56" s="162"/>
      <c r="G56" s="127">
        <f>IF(ISERROR(E56/'Consol Pull'!T56-1),"-",IF(ABS(E56/'Consol Pull'!T56-1)&gt;1000%," - ",(E56/'Consol Pull'!T56-1)))</f>
        <v>0.20216736986473083</v>
      </c>
      <c r="H56" s="146"/>
      <c r="I56" s="162">
        <f>'FIRM Load Pull'!E56</f>
        <v>4.0151493914999996</v>
      </c>
      <c r="J56" s="162">
        <f>'Ship Load Pull'!E56</f>
        <v>3.5485089085000006</v>
      </c>
      <c r="K56" s="127">
        <f>IF(ISERROR(I56/'FIRM Load Pull'!Q56-1),"-",IF(ABS(I56/'FIRM Load Pull'!Q56-1)&gt;1000%," - ",(I56/'FIRM Load Pull'!Q56-1)))</f>
        <v>-0.53301082248173159</v>
      </c>
      <c r="L56" s="48">
        <f>'FIRM Load Pull'!E56-'FIRM Load Pull'!F56</f>
        <v>1.1345013499999723E-2</v>
      </c>
      <c r="M56" s="48">
        <f>'FIRM Load Pull'!E56-'FIRM Load Pull'!G56</f>
        <v>-0.20698837500000078</v>
      </c>
      <c r="N56" s="216">
        <f>'Consol Pull'!G56</f>
        <v>32.5533564013841</v>
      </c>
      <c r="O56" s="48">
        <f t="shared" si="2"/>
        <v>-28.538207009884101</v>
      </c>
      <c r="P56" s="48">
        <f>I56-'Tracks Pull'!E56</f>
        <v>-55.334863801029329</v>
      </c>
      <c r="Q56" s="48">
        <f>M56-'Tracks Pull'!G56</f>
        <v>-14.541341658750504</v>
      </c>
      <c r="R56" s="127" t="str">
        <f>IF(ISERROR(#REF!/'RETAIL Load Pull'!N56-1),"-",IF(ABS(#REF!/'RETAIL Load Pull'!N56-1)&gt;1000%," - ",(#REF!/'RETAIL Load Pull'!N56-1)))</f>
        <v>-</v>
      </c>
      <c r="S56" s="127"/>
      <c r="T56" s="127"/>
      <c r="U56" s="258">
        <f>'RETAIL Load Pull'!E56-'RETAIL Load Pull'!F56</f>
        <v>1.3176962165999995</v>
      </c>
      <c r="V56" s="48">
        <f>'RETAIL Load Pull'!E56-'RETAIL Load Pull'!G56</f>
        <v>1.0987620580999988</v>
      </c>
      <c r="W56" s="48" t="e">
        <f>#REF!-N56</f>
        <v>#REF!</v>
      </c>
      <c r="X56" s="48"/>
      <c r="Y56" s="48" t="e">
        <f>#REF!-'Tracks Pull'!M55</f>
        <v>#REF!</v>
      </c>
      <c r="Z56" s="48"/>
      <c r="AA56" s="126">
        <f>V56-'Tracks Pull'!O55</f>
        <v>-1.7124322550877218</v>
      </c>
      <c r="AB56" s="146"/>
      <c r="AC56" s="126">
        <f>'Stream Pull'!F56</f>
        <v>5.2160818245170129</v>
      </c>
      <c r="AD56" s="126">
        <f>'Stream Pull'!G56</f>
        <v>0.95652475645114809</v>
      </c>
      <c r="AE56" s="126">
        <f>'Stream Pull'!H56</f>
        <v>4.259557068065865</v>
      </c>
      <c r="AF56" s="126">
        <f>'Stream Pull'!M56</f>
        <v>5.8800000000000008</v>
      </c>
      <c r="AG56" s="48">
        <f t="shared" si="0"/>
        <v>11.096081824517015</v>
      </c>
      <c r="AH56" s="216">
        <f>'Consol Pull'!F56-'Consol Pull'!G56</f>
        <v>9.9200000000000017</v>
      </c>
      <c r="AI56" s="48">
        <f t="shared" si="1"/>
        <v>1.1760818245170128</v>
      </c>
      <c r="AJ56" s="146"/>
      <c r="AK56" s="224">
        <f>I56+AG56</f>
        <v>15.111231216017014</v>
      </c>
      <c r="AL56" s="224"/>
      <c r="AM56" s="224">
        <f>AK56-E56</f>
        <v>-27.362125185367088</v>
      </c>
      <c r="AN56" s="146"/>
      <c r="AO56" s="48" t="e">
        <f>'FIRM Load Pull'!#REF!</f>
        <v>#REF!</v>
      </c>
      <c r="AP56" s="216" t="e">
        <f>I56+AG56+AO56</f>
        <v>#REF!</v>
      </c>
      <c r="AQ56" s="48" t="e">
        <f>AP56-E56</f>
        <v>#REF!</v>
      </c>
      <c r="AR56" s="2"/>
      <c r="AS56" s="2"/>
      <c r="AT56" s="2"/>
    </row>
    <row r="57" spans="1:46" s="140" customFormat="1" ht="16.2" customHeight="1" outlineLevel="1">
      <c r="A57" s="141" t="s">
        <v>191</v>
      </c>
      <c r="B57" s="46" t="s">
        <v>26</v>
      </c>
      <c r="C57" s="236" t="s">
        <v>26</v>
      </c>
      <c r="D57" s="311" t="s">
        <v>26</v>
      </c>
      <c r="E57" s="246">
        <f>'Consol Pull'!F57</f>
        <v>227.88480447982647</v>
      </c>
      <c r="F57" s="246"/>
      <c r="G57" s="127">
        <f>IF(ISERROR(E57/'Consol Pull'!T57-1),"-",IF(ABS(E57/'Consol Pull'!T57-1)&gt;1000%," - ",(E57/'Consol Pull'!T57-1)))</f>
        <v>-6.6744043683965359E-2</v>
      </c>
      <c r="H57" s="247"/>
      <c r="I57" s="246">
        <f>'FIRM Load Pull'!E57</f>
        <v>33.317004514700017</v>
      </c>
      <c r="J57" s="246">
        <f>'Ship Load Pull'!E57</f>
        <v>23.896060005500008</v>
      </c>
      <c r="K57" s="127">
        <f>IF(ISERROR(I57/'FIRM Load Pull'!Q57-1),"-",IF(ABS(I57/'FIRM Load Pull'!Q57-1)&gt;1000%," - ",(I57/'FIRM Load Pull'!Q57-1)))</f>
        <v>-1.9456014834767554E-2</v>
      </c>
      <c r="L57" s="248">
        <f>'FIRM Load Pull'!E57-'FIRM Load Pull'!F57</f>
        <v>1.9723379755999986</v>
      </c>
      <c r="M57" s="248">
        <f>'FIRM Load Pull'!E57-'FIRM Load Pull'!G57</f>
        <v>6.2704183057000016</v>
      </c>
      <c r="N57" s="223">
        <f>'Consol Pull'!G57</f>
        <v>164.65587174905701</v>
      </c>
      <c r="O57" s="248">
        <f t="shared" si="2"/>
        <v>-131.338867234357</v>
      </c>
      <c r="P57" s="248">
        <f>I57-'Tracks Pull'!E57</f>
        <v>9.8956889680363176</v>
      </c>
      <c r="Q57" s="248">
        <f>M57-'Tracks Pull'!G57</f>
        <v>0.61364767741079262</v>
      </c>
      <c r="R57" s="127" t="str">
        <f>IF(ISERROR(#REF!/'RETAIL Load Pull'!N57-1),"-",IF(ABS(#REF!/'RETAIL Load Pull'!N57-1)&gt;1000%," - ",(#REF!/'RETAIL Load Pull'!N57-1)))</f>
        <v>-</v>
      </c>
      <c r="S57" s="127"/>
      <c r="T57" s="127"/>
      <c r="U57" s="262">
        <f>'RETAIL Load Pull'!E57-'RETAIL Load Pull'!F57</f>
        <v>8.9089842430999937</v>
      </c>
      <c r="V57" s="248">
        <f>'RETAIL Load Pull'!E57-'RETAIL Load Pull'!G57</f>
        <v>24.824500435700024</v>
      </c>
      <c r="W57" s="248" t="e">
        <f>#REF!-N57</f>
        <v>#REF!</v>
      </c>
      <c r="X57" s="248"/>
      <c r="Y57" s="248" t="e">
        <f>#REF!-'Tracks Pull'!M56</f>
        <v>#REF!</v>
      </c>
      <c r="Z57" s="248"/>
      <c r="AA57" s="250">
        <f>V57-'Tracks Pull'!O56</f>
        <v>10.490147151949522</v>
      </c>
      <c r="AB57" s="247"/>
      <c r="AC57" s="250">
        <f>'Stream Pull'!F57</f>
        <v>20.177500914350965</v>
      </c>
      <c r="AD57" s="250">
        <f>'Stream Pull'!G57</f>
        <v>4.0815085434232916</v>
      </c>
      <c r="AE57" s="250">
        <f>'Stream Pull'!H57</f>
        <v>16.095992370927675</v>
      </c>
      <c r="AF57" s="250">
        <f>'Stream Pull'!M57</f>
        <v>36.924716661818188</v>
      </c>
      <c r="AG57" s="248">
        <f t="shared" si="0"/>
        <v>57.102217576169153</v>
      </c>
      <c r="AH57" s="223">
        <f>'Consol Pull'!F57-'Consol Pull'!G57</f>
        <v>63.228932730769458</v>
      </c>
      <c r="AI57" s="248">
        <f t="shared" si="1"/>
        <v>-6.1267151546003049</v>
      </c>
      <c r="AJ57" s="247"/>
      <c r="AK57" s="251">
        <f>I57+AG57</f>
        <v>90.41922209086917</v>
      </c>
      <c r="AL57" s="251"/>
      <c r="AM57" s="251">
        <f>AK57-E57</f>
        <v>-137.4655823889573</v>
      </c>
      <c r="AN57" s="247"/>
      <c r="AO57" s="248" t="e">
        <f>'FIRM Load Pull'!#REF!</f>
        <v>#REF!</v>
      </c>
      <c r="AP57" s="223" t="e">
        <f>I57+AG57+AO57</f>
        <v>#REF!</v>
      </c>
      <c r="AQ57" s="248" t="e">
        <f>AP57-E57</f>
        <v>#REF!</v>
      </c>
      <c r="AR57" s="141"/>
      <c r="AS57" s="141"/>
      <c r="AT57" s="141"/>
    </row>
    <row r="58" spans="1:46" ht="16.2" customHeight="1" outlineLevel="2">
      <c r="A58" s="2" t="s">
        <v>191</v>
      </c>
      <c r="B58" s="44" t="s">
        <v>235</v>
      </c>
      <c r="C58" s="236" t="s">
        <v>235</v>
      </c>
      <c r="D58" s="313" t="s">
        <v>235</v>
      </c>
      <c r="E58" s="162">
        <f>'Consol Pull'!F58</f>
        <v>69.368104654698087</v>
      </c>
      <c r="F58" s="162"/>
      <c r="G58" s="127">
        <f>IF(ISERROR(E58/'Consol Pull'!T58-1),"-",IF(ABS(E58/'Consol Pull'!T58-1)&gt;1000%," - ",(E58/'Consol Pull'!T58-1)))</f>
        <v>-9.7886259496566153E-2</v>
      </c>
      <c r="H58" s="146"/>
      <c r="I58" s="162">
        <f>'FIRM Load Pull'!E58</f>
        <v>3.4876260877999998</v>
      </c>
      <c r="J58" s="162">
        <f>'Ship Load Pull'!E58</f>
        <v>4.4614372942999987</v>
      </c>
      <c r="K58" s="127">
        <f>IF(ISERROR(I58/'FIRM Load Pull'!Q58-1),"-",IF(ABS(I58/'FIRM Load Pull'!Q58-1)&gt;1000%," - ",(I58/'FIRM Load Pull'!Q58-1)))</f>
        <v>-0.18138847773335842</v>
      </c>
      <c r="L58" s="48">
        <f>'FIRM Load Pull'!E58-'FIRM Load Pull'!F58</f>
        <v>0</v>
      </c>
      <c r="M58" s="48">
        <f>'FIRM Load Pull'!E58-'FIRM Load Pull'!G58</f>
        <v>-1.5084715656999999</v>
      </c>
      <c r="N58" s="216">
        <f>'Consol Pull'!G58</f>
        <v>52.927924274838297</v>
      </c>
      <c r="O58" s="48">
        <f t="shared" si="2"/>
        <v>-49.440298187038294</v>
      </c>
      <c r="P58" s="48">
        <f>I58-'Tracks Pull'!E58</f>
        <v>-2.3545579282338194</v>
      </c>
      <c r="Q58" s="48">
        <f>M58-'Tracks Pull'!G58</f>
        <v>-2.9194894430313196</v>
      </c>
      <c r="R58" s="127" t="str">
        <f>IF(ISERROR(#REF!/'RETAIL Load Pull'!N58-1),"-",IF(ABS(#REF!/'RETAIL Load Pull'!N58-1)&gt;1000%," - ",(#REF!/'RETAIL Load Pull'!N58-1)))</f>
        <v>-</v>
      </c>
      <c r="S58" s="127"/>
      <c r="T58" s="127"/>
      <c r="U58" s="258">
        <f>'RETAIL Load Pull'!E58-'RETAIL Load Pull'!F58</f>
        <v>0</v>
      </c>
      <c r="V58" s="48">
        <f>'RETAIL Load Pull'!E58-'RETAIL Load Pull'!G58</f>
        <v>2.2187424214000018</v>
      </c>
      <c r="W58" s="48" t="e">
        <f>#REF!-N58</f>
        <v>#REF!</v>
      </c>
      <c r="X58" s="48"/>
      <c r="Y58" s="48" t="e">
        <f>#REF!-'Tracks Pull'!M57</f>
        <v>#REF!</v>
      </c>
      <c r="Z58" s="48"/>
      <c r="AA58" s="126">
        <f>V58-'Tracks Pull'!O57</f>
        <v>-3.4380282068892072</v>
      </c>
      <c r="AB58" s="146"/>
      <c r="AC58" s="126">
        <f>'Stream Pull'!F58</f>
        <v>4.305418749502242</v>
      </c>
      <c r="AD58" s="126">
        <f>'Stream Pull'!G58</f>
        <v>0.66368268448272194</v>
      </c>
      <c r="AE58" s="126">
        <f>'Stream Pull'!H58</f>
        <v>3.6417360650195203</v>
      </c>
      <c r="AF58" s="126">
        <f>'Stream Pull'!M58</f>
        <v>8.6489345818181906</v>
      </c>
      <c r="AG58" s="48">
        <f t="shared" si="0"/>
        <v>12.954353331320434</v>
      </c>
      <c r="AH58" s="216">
        <f>'Consol Pull'!F58-'Consol Pull'!G58</f>
        <v>16.44018037985979</v>
      </c>
      <c r="AI58" s="48">
        <f t="shared" si="1"/>
        <v>-3.4858270485393561</v>
      </c>
      <c r="AJ58" s="146"/>
      <c r="AK58" s="224">
        <f>I58+AG58</f>
        <v>16.441979419120432</v>
      </c>
      <c r="AL58" s="224"/>
      <c r="AM58" s="224">
        <f>AK58-E58</f>
        <v>-52.926125235577658</v>
      </c>
      <c r="AN58" s="146"/>
      <c r="AO58" s="48" t="e">
        <f>'FIRM Load Pull'!#REF!</f>
        <v>#REF!</v>
      </c>
      <c r="AP58" s="216" t="e">
        <f>I58+AG58+AO58</f>
        <v>#REF!</v>
      </c>
      <c r="AQ58" s="48" t="e">
        <f>AP58-E58</f>
        <v>#REF!</v>
      </c>
      <c r="AR58" s="2"/>
      <c r="AS58" s="2"/>
      <c r="AT58" s="2"/>
    </row>
    <row r="59" spans="1:46" ht="16.2" customHeight="1" outlineLevel="2">
      <c r="A59" s="2" t="s">
        <v>191</v>
      </c>
      <c r="B59" s="44" t="s">
        <v>106</v>
      </c>
      <c r="C59" s="236" t="s">
        <v>106</v>
      </c>
      <c r="D59" s="313" t="s">
        <v>106</v>
      </c>
      <c r="E59" s="162">
        <f>'Consol Pull'!F59</f>
        <v>19.501147246740821</v>
      </c>
      <c r="F59" s="162"/>
      <c r="G59" s="127">
        <f>IF(ISERROR(E59/'Consol Pull'!T59-1),"-",IF(ABS(E59/'Consol Pull'!T59-1)&gt;1000%," - ",(E59/'Consol Pull'!T59-1)))</f>
        <v>-6.0048740038381343E-2</v>
      </c>
      <c r="H59" s="146"/>
      <c r="I59" s="162">
        <f>'FIRM Load Pull'!E59</f>
        <v>2.884572831799999</v>
      </c>
      <c r="J59" s="162">
        <f>'Ship Load Pull'!E59</f>
        <v>1.6171942819000003</v>
      </c>
      <c r="K59" s="127">
        <f>IF(ISERROR(I59/'FIRM Load Pull'!Q59-1),"-",IF(ABS(I59/'FIRM Load Pull'!Q59-1)&gt;1000%," - ",(I59/'FIRM Load Pull'!Q59-1)))</f>
        <v>0.61517360319698944</v>
      </c>
      <c r="L59" s="48">
        <f>'FIRM Load Pull'!E59-'FIRM Load Pull'!F59</f>
        <v>0.1038867989999992</v>
      </c>
      <c r="M59" s="48">
        <f>'FIRM Load Pull'!E59-'FIRM Load Pull'!G59</f>
        <v>0.5510408642999991</v>
      </c>
      <c r="N59" s="216">
        <f>'Consol Pull'!G59</f>
        <v>13.202276045691899</v>
      </c>
      <c r="O59" s="48">
        <f t="shared" si="2"/>
        <v>-10.3177032138919</v>
      </c>
      <c r="P59" s="48">
        <f>I59-'Tracks Pull'!E59</f>
        <v>-4.1456029102390604</v>
      </c>
      <c r="Q59" s="48">
        <f>M59-'Tracks Pull'!G59</f>
        <v>-1.1469035389528806</v>
      </c>
      <c r="R59" s="127" t="str">
        <f>IF(ISERROR(#REF!/'RETAIL Load Pull'!N59-1),"-",IF(ABS(#REF!/'RETAIL Load Pull'!N59-1)&gt;1000%," - ",(#REF!/'RETAIL Load Pull'!N59-1)))</f>
        <v>-</v>
      </c>
      <c r="S59" s="127"/>
      <c r="T59" s="127"/>
      <c r="U59" s="258">
        <f>'RETAIL Load Pull'!E59-'RETAIL Load Pull'!F59</f>
        <v>0.10388679899999609</v>
      </c>
      <c r="V59" s="48">
        <f>'RETAIL Load Pull'!E59-'RETAIL Load Pull'!G59</f>
        <v>0.87895223429999625</v>
      </c>
      <c r="W59" s="48" t="e">
        <f>#REF!-N59</f>
        <v>#REF!</v>
      </c>
      <c r="X59" s="48"/>
      <c r="Y59" s="48" t="e">
        <f>#REF!-'Tracks Pull'!M58</f>
        <v>#REF!</v>
      </c>
      <c r="Z59" s="48"/>
      <c r="AA59" s="126">
        <f>V59-'Tracks Pull'!O58</f>
        <v>-0.53206564303132353</v>
      </c>
      <c r="AB59" s="146"/>
      <c r="AC59" s="126">
        <f>'Stream Pull'!F59</f>
        <v>1.834421880526248</v>
      </c>
      <c r="AD59" s="126">
        <f>'Stream Pull'!G59</f>
        <v>0.48033698349436799</v>
      </c>
      <c r="AE59" s="126">
        <f>'Stream Pull'!H59</f>
        <v>1.35408489703188</v>
      </c>
      <c r="AF59" s="126">
        <f>'Stream Pull'!M59</f>
        <v>3.8667311063636394</v>
      </c>
      <c r="AG59" s="48">
        <f t="shared" si="0"/>
        <v>5.7011529868898876</v>
      </c>
      <c r="AH59" s="216">
        <f>'Consol Pull'!F59-'Consol Pull'!G59</f>
        <v>6.2988712010489216</v>
      </c>
      <c r="AI59" s="48">
        <f t="shared" si="1"/>
        <v>-0.59771821415903403</v>
      </c>
      <c r="AJ59" s="146"/>
      <c r="AK59" s="224">
        <f>I59+AG59</f>
        <v>8.5857258186898875</v>
      </c>
      <c r="AL59" s="224"/>
      <c r="AM59" s="224">
        <f>AK59-E59</f>
        <v>-10.915421428050934</v>
      </c>
      <c r="AN59" s="146"/>
      <c r="AO59" s="48" t="e">
        <f>'FIRM Load Pull'!#REF!</f>
        <v>#REF!</v>
      </c>
      <c r="AP59" s="216" t="e">
        <f>I59+AG59+AO59</f>
        <v>#REF!</v>
      </c>
      <c r="AQ59" s="48" t="e">
        <f>AP59-E59</f>
        <v>#REF!</v>
      </c>
      <c r="AR59" s="2"/>
      <c r="AS59" s="2"/>
      <c r="AT59" s="2"/>
    </row>
    <row r="60" spans="1:46" ht="16.2" customHeight="1" outlineLevel="2">
      <c r="A60" s="2" t="s">
        <v>191</v>
      </c>
      <c r="B60" s="44" t="s">
        <v>87</v>
      </c>
      <c r="C60" s="236" t="s">
        <v>87</v>
      </c>
      <c r="D60" s="313" t="s">
        <v>87</v>
      </c>
      <c r="E60" s="162">
        <f>'Consol Pull'!F60</f>
        <v>24.845238782763129</v>
      </c>
      <c r="F60" s="162"/>
      <c r="G60" s="127">
        <f>IF(ISERROR(E60/'Consol Pull'!T60-1),"-",IF(ABS(E60/'Consol Pull'!T60-1)&gt;1000%," - ",(E60/'Consol Pull'!T60-1)))</f>
        <v>-0.17423299148340909</v>
      </c>
      <c r="H60" s="146"/>
      <c r="I60" s="162">
        <f>'FIRM Load Pull'!E60</f>
        <v>0.61233872619999996</v>
      </c>
      <c r="J60" s="162">
        <f>'Ship Load Pull'!E60</f>
        <v>1.0911333461999999</v>
      </c>
      <c r="K60" s="127">
        <f>IF(ISERROR(I60/'FIRM Load Pull'!Q60-1),"-",IF(ABS(I60/'FIRM Load Pull'!Q60-1)&gt;1000%," - ",(I60/'FIRM Load Pull'!Q60-1)))</f>
        <v>-0.87690454095881154</v>
      </c>
      <c r="L60" s="48">
        <f>'FIRM Load Pull'!E60-'FIRM Load Pull'!F60</f>
        <v>0</v>
      </c>
      <c r="M60" s="48">
        <f>'FIRM Load Pull'!E60-'FIRM Load Pull'!G60</f>
        <v>-0.31778236999999998</v>
      </c>
      <c r="N60" s="216">
        <f>'Consol Pull'!G60</f>
        <v>15.886921832896499</v>
      </c>
      <c r="O60" s="48">
        <f t="shared" si="2"/>
        <v>-15.2745831066965</v>
      </c>
      <c r="P60" s="48">
        <f>I60-'Tracks Pull'!E60</f>
        <v>-3.89139314465457</v>
      </c>
      <c r="Q60" s="48">
        <f>M60-'Tracks Pull'!G60</f>
        <v>-1.4055341708747904</v>
      </c>
      <c r="R60" s="127" t="str">
        <f>IF(ISERROR(#REF!/'RETAIL Load Pull'!N60-1),"-",IF(ABS(#REF!/'RETAIL Load Pull'!N60-1)&gt;1000%," - ",(#REF!/'RETAIL Load Pull'!N60-1)))</f>
        <v>-</v>
      </c>
      <c r="S60" s="127"/>
      <c r="T60" s="127"/>
      <c r="U60" s="258">
        <f>'RETAIL Load Pull'!E60-'RETAIL Load Pull'!F60</f>
        <v>7.3383717323999997</v>
      </c>
      <c r="V60" s="48">
        <f>'RETAIL Load Pull'!E60-'RETAIL Load Pull'!G60</f>
        <v>7.4241771324000005</v>
      </c>
      <c r="W60" s="48" t="e">
        <f>#REF!-N60</f>
        <v>#REF!</v>
      </c>
      <c r="X60" s="48"/>
      <c r="Y60" s="48" t="e">
        <f>#REF!-'Tracks Pull'!M59</f>
        <v>#REF!</v>
      </c>
      <c r="Z60" s="48"/>
      <c r="AA60" s="126">
        <f>V60-'Tracks Pull'!O59</f>
        <v>5.7262327291471209</v>
      </c>
      <c r="AB60" s="146"/>
      <c r="AC60" s="126">
        <f>'Stream Pull'!F60</f>
        <v>2.1814355269022569</v>
      </c>
      <c r="AD60" s="126">
        <f>'Stream Pull'!G60</f>
        <v>0.23564059164377998</v>
      </c>
      <c r="AE60" s="126">
        <f>'Stream Pull'!H60</f>
        <v>1.9457949352584769</v>
      </c>
      <c r="AF60" s="126">
        <f>'Stream Pull'!M60</f>
        <v>5.3004825436363587</v>
      </c>
      <c r="AG60" s="48">
        <f t="shared" si="0"/>
        <v>7.4819180705386152</v>
      </c>
      <c r="AH60" s="216">
        <f>'Consol Pull'!F60-'Consol Pull'!G60</f>
        <v>8.9583169498666297</v>
      </c>
      <c r="AI60" s="48">
        <f t="shared" si="1"/>
        <v>-1.4763988793280145</v>
      </c>
      <c r="AJ60" s="146"/>
      <c r="AK60" s="224">
        <f>I60+AG60</f>
        <v>8.0942567967386161</v>
      </c>
      <c r="AL60" s="224"/>
      <c r="AM60" s="224">
        <f>AK60-E60</f>
        <v>-16.750981986024513</v>
      </c>
      <c r="AN60" s="146"/>
      <c r="AO60" s="48" t="e">
        <f>'FIRM Load Pull'!#REF!</f>
        <v>#REF!</v>
      </c>
      <c r="AP60" s="216" t="e">
        <f>I60+AG60+AO60</f>
        <v>#REF!</v>
      </c>
      <c r="AQ60" s="48" t="e">
        <f>AP60-E60</f>
        <v>#REF!</v>
      </c>
      <c r="AR60" s="2"/>
      <c r="AS60" s="2"/>
      <c r="AT60" s="2"/>
    </row>
    <row r="61" spans="1:46" ht="16.2" customHeight="1" outlineLevel="2">
      <c r="A61" s="2" t="s">
        <v>191</v>
      </c>
      <c r="B61" s="44" t="s">
        <v>107</v>
      </c>
      <c r="C61" s="236" t="s">
        <v>107</v>
      </c>
      <c r="D61" s="313" t="s">
        <v>107</v>
      </c>
      <c r="E61" s="162">
        <f>'Consol Pull'!F61</f>
        <v>15.367584189138389</v>
      </c>
      <c r="F61" s="162"/>
      <c r="G61" s="127">
        <f>IF(ISERROR(E61/'Consol Pull'!T61-1),"-",IF(ABS(E61/'Consol Pull'!T61-1)&gt;1000%," - ",(E61/'Consol Pull'!T61-1)))</f>
        <v>-2.9984769819797474E-3</v>
      </c>
      <c r="H61" s="146"/>
      <c r="I61" s="162">
        <f>'FIRM Load Pull'!E61</f>
        <v>2.0193427515</v>
      </c>
      <c r="J61" s="162">
        <f>'Ship Load Pull'!E61</f>
        <v>1.8638561878</v>
      </c>
      <c r="K61" s="127">
        <f>IF(ISERROR(I61/'FIRM Load Pull'!Q61-1),"-",IF(ABS(I61/'FIRM Load Pull'!Q61-1)&gt;1000%," - ",(I61/'FIRM Load Pull'!Q61-1)))</f>
        <v>3.4432142447842207E-2</v>
      </c>
      <c r="L61" s="48">
        <f>'FIRM Load Pull'!E61-'FIRM Load Pull'!F61</f>
        <v>0.31753408109999981</v>
      </c>
      <c r="M61" s="48">
        <f>'FIRM Load Pull'!E61-'FIRM Load Pull'!G61</f>
        <v>0.14119655359999994</v>
      </c>
      <c r="N61" s="216">
        <f>'Consol Pull'!G61</f>
        <v>10.177617006177201</v>
      </c>
      <c r="O61" s="48">
        <f t="shared" si="2"/>
        <v>-8.1582742546772007</v>
      </c>
      <c r="P61" s="48">
        <f>I61-'Tracks Pull'!E61</f>
        <v>-1.3724155862151397</v>
      </c>
      <c r="Q61" s="48">
        <f>M61-'Tracks Pull'!G61</f>
        <v>-0.67798881217571072</v>
      </c>
      <c r="R61" s="127" t="str">
        <f>IF(ISERROR(#REF!/'RETAIL Load Pull'!N61-1),"-",IF(ABS(#REF!/'RETAIL Load Pull'!N61-1)&gt;1000%," - ",(#REF!/'RETAIL Load Pull'!N61-1)))</f>
        <v>-</v>
      </c>
      <c r="S61" s="127"/>
      <c r="T61" s="127"/>
      <c r="U61" s="258">
        <f>'RETAIL Load Pull'!E61-'RETAIL Load Pull'!F61</f>
        <v>1.0454602450999992</v>
      </c>
      <c r="V61" s="48">
        <f>'RETAIL Load Pull'!E61-'RETAIL Load Pull'!G61</f>
        <v>1.1540576426999998</v>
      </c>
      <c r="W61" s="48" t="e">
        <f>#REF!-N61</f>
        <v>#REF!</v>
      </c>
      <c r="X61" s="48"/>
      <c r="Y61" s="48" t="e">
        <f>#REF!-'Tracks Pull'!M60</f>
        <v>#REF!</v>
      </c>
      <c r="Z61" s="48"/>
      <c r="AA61" s="126">
        <f>V61-'Tracks Pull'!O60</f>
        <v>6.6305841825209377E-2</v>
      </c>
      <c r="AB61" s="146"/>
      <c r="AC61" s="126">
        <f>'Stream Pull'!F61</f>
        <v>1.199698523964962</v>
      </c>
      <c r="AD61" s="126">
        <f>'Stream Pull'!G61</f>
        <v>0.31152766658631903</v>
      </c>
      <c r="AE61" s="126">
        <f>'Stream Pull'!H61</f>
        <v>0.88817085737864299</v>
      </c>
      <c r="AF61" s="126">
        <f>'Stream Pull'!M61</f>
        <v>3.4554899672727282</v>
      </c>
      <c r="AG61" s="48">
        <f t="shared" si="0"/>
        <v>4.6551884912376904</v>
      </c>
      <c r="AH61" s="216">
        <f>'Consol Pull'!F61-'Consol Pull'!G61</f>
        <v>5.1899671829611886</v>
      </c>
      <c r="AI61" s="48">
        <f t="shared" si="1"/>
        <v>-0.53477869172349823</v>
      </c>
      <c r="AJ61" s="146"/>
      <c r="AK61" s="224">
        <f>I61+AG61</f>
        <v>6.6745312427376904</v>
      </c>
      <c r="AL61" s="224"/>
      <c r="AM61" s="224">
        <f>AK61-E61</f>
        <v>-8.693052946400698</v>
      </c>
      <c r="AN61" s="146"/>
      <c r="AO61" s="48" t="e">
        <f>'FIRM Load Pull'!#REF!</f>
        <v>#REF!</v>
      </c>
      <c r="AP61" s="216" t="e">
        <f>I61+AG61+AO61</f>
        <v>#REF!</v>
      </c>
      <c r="AQ61" s="48" t="e">
        <f>AP61-E61</f>
        <v>#REF!</v>
      </c>
      <c r="AR61" s="2"/>
      <c r="AS61" s="2"/>
      <c r="AT61" s="2"/>
    </row>
    <row r="62" spans="1:46" ht="16.2" customHeight="1" outlineLevel="2">
      <c r="A62" s="2" t="s">
        <v>191</v>
      </c>
      <c r="B62" s="44" t="s">
        <v>236</v>
      </c>
      <c r="C62" s="236" t="s">
        <v>236</v>
      </c>
      <c r="D62" s="313" t="s">
        <v>236</v>
      </c>
      <c r="E62" s="162">
        <f>'Consol Pull'!F62</f>
        <v>11.3019331987787</v>
      </c>
      <c r="F62" s="162"/>
      <c r="G62" s="127">
        <f>IF(ISERROR(E62/'Consol Pull'!T62-1),"-",IF(ABS(E62/'Consol Pull'!T62-1)&gt;1000%," - ",(E62/'Consol Pull'!T62-1)))</f>
        <v>-0.14747808623265901</v>
      </c>
      <c r="H62" s="146"/>
      <c r="I62" s="162">
        <f>'FIRM Load Pull'!E62</f>
        <v>11.235183052499998</v>
      </c>
      <c r="J62" s="162">
        <f>'Ship Load Pull'!E62</f>
        <v>3.2745553985999996</v>
      </c>
      <c r="K62" s="127">
        <f>IF(ISERROR(I62/'FIRM Load Pull'!Q62-1),"-",IF(ABS(I62/'FIRM Load Pull'!Q62-1)&gt;1000%," - ",(I62/'FIRM Load Pull'!Q62-1)))</f>
        <v>2.7994046526289695</v>
      </c>
      <c r="L62" s="48">
        <f>'FIRM Load Pull'!E62-'FIRM Load Pull'!F62</f>
        <v>1.5509170954999991</v>
      </c>
      <c r="M62" s="48">
        <f>'FIRM Load Pull'!E62-'FIRM Load Pull'!G62</f>
        <v>6.9173969870999983</v>
      </c>
      <c r="N62" s="216">
        <f>'Consol Pull'!G62</f>
        <v>7.6647585443897199</v>
      </c>
      <c r="O62" s="48">
        <f t="shared" si="2"/>
        <v>3.5704245081102783</v>
      </c>
      <c r="P62" s="48">
        <f>I62-'Tracks Pull'!E62</f>
        <v>11.235183052499998</v>
      </c>
      <c r="Q62" s="48">
        <f>M62-'Tracks Pull'!G62</f>
        <v>6.9173969870999983</v>
      </c>
      <c r="R62" s="127" t="str">
        <f>IF(ISERROR(#REF!/'RETAIL Load Pull'!N62-1),"-",IF(ABS(#REF!/'RETAIL Load Pull'!N62-1)&gt;1000%," - ",(#REF!/'RETAIL Load Pull'!N62-1)))</f>
        <v>-</v>
      </c>
      <c r="S62" s="127"/>
      <c r="T62" s="127"/>
      <c r="U62" s="258">
        <f>'RETAIL Load Pull'!E62-'RETAIL Load Pull'!F62</f>
        <v>0.27474012960000138</v>
      </c>
      <c r="V62" s="48">
        <f>'RETAIL Load Pull'!E62-'RETAIL Load Pull'!G62</f>
        <v>11.509898771399996</v>
      </c>
      <c r="W62" s="48" t="e">
        <f>#REF!-N62</f>
        <v>#REF!</v>
      </c>
      <c r="X62" s="48"/>
      <c r="Y62" s="48" t="e">
        <f>#REF!-'Tracks Pull'!M61</f>
        <v>#REF!</v>
      </c>
      <c r="Z62" s="48"/>
      <c r="AA62" s="126">
        <f>V62-'Tracks Pull'!O61</f>
        <v>10.690713405624285</v>
      </c>
      <c r="AB62" s="146"/>
      <c r="AC62" s="126">
        <f>'Stream Pull'!F62</f>
        <v>2.714269843762291</v>
      </c>
      <c r="AD62" s="126">
        <f>'Stream Pull'!G62</f>
        <v>0.81112784925857795</v>
      </c>
      <c r="AE62" s="126">
        <f>'Stream Pull'!H62</f>
        <v>1.9031419945037129</v>
      </c>
      <c r="AF62" s="126">
        <f>'Stream Pull'!M62</f>
        <v>2.2398666009090897</v>
      </c>
      <c r="AG62" s="48">
        <f t="shared" si="0"/>
        <v>4.9541364446713807</v>
      </c>
      <c r="AH62" s="216">
        <f>'Consol Pull'!F62-'Consol Pull'!G62</f>
        <v>3.6371746543889802</v>
      </c>
      <c r="AI62" s="48">
        <f t="shared" si="1"/>
        <v>1.3169617902824005</v>
      </c>
      <c r="AJ62" s="146"/>
      <c r="AK62" s="224">
        <f>I62+AG62</f>
        <v>16.189319497171379</v>
      </c>
      <c r="AL62" s="224"/>
      <c r="AM62" s="224">
        <f>AK62-E62</f>
        <v>4.8873862983926788</v>
      </c>
      <c r="AN62" s="146"/>
      <c r="AO62" s="48" t="e">
        <f>'FIRM Load Pull'!#REF!</f>
        <v>#REF!</v>
      </c>
      <c r="AP62" s="216" t="e">
        <f>I62+AG62+AO62</f>
        <v>#REF!</v>
      </c>
      <c r="AQ62" s="48" t="e">
        <f>AP62-E62</f>
        <v>#REF!</v>
      </c>
      <c r="AR62" s="2"/>
      <c r="AS62" s="2"/>
      <c r="AT62" s="2"/>
    </row>
    <row r="63" spans="1:46" ht="16.2" customHeight="1" outlineLevel="2">
      <c r="A63" s="2" t="s">
        <v>191</v>
      </c>
      <c r="B63" s="44" t="s">
        <v>237</v>
      </c>
      <c r="C63" s="236" t="s">
        <v>237</v>
      </c>
      <c r="D63" s="313" t="s">
        <v>237</v>
      </c>
      <c r="E63" s="162">
        <f>'Consol Pull'!F63</f>
        <v>44.465200638648085</v>
      </c>
      <c r="F63" s="162"/>
      <c r="G63" s="127">
        <f>IF(ISERROR(E63/'Consol Pull'!T63-1),"-",IF(ABS(E63/'Consol Pull'!T63-1)&gt;1000%," - ",(E63/'Consol Pull'!T63-1)))</f>
        <v>-1.4419072377773068E-2</v>
      </c>
      <c r="H63" s="146"/>
      <c r="I63" s="162">
        <f>'FIRM Load Pull'!E63</f>
        <v>7.5138675608000005</v>
      </c>
      <c r="J63" s="162">
        <f>'Ship Load Pull'!E63</f>
        <v>5.6941118682999994</v>
      </c>
      <c r="K63" s="127">
        <f>IF(ISERROR(I63/'FIRM Load Pull'!Q63-1),"-",IF(ABS(I63/'FIRM Load Pull'!Q63-1)&gt;1000%," - ",(I63/'FIRM Load Pull'!Q63-1)))</f>
        <v>-0.24690886282646596</v>
      </c>
      <c r="L63" s="48">
        <f>'FIRM Load Pull'!E63-'FIRM Load Pull'!F63</f>
        <v>0</v>
      </c>
      <c r="M63" s="48">
        <f>'FIRM Load Pull'!E63-'FIRM Load Pull'!G63</f>
        <v>1.6282083882000009</v>
      </c>
      <c r="N63" s="216">
        <f>'Consol Pull'!G63</f>
        <v>30.535608619246698</v>
      </c>
      <c r="O63" s="48">
        <f t="shared" si="2"/>
        <v>-23.021741058446697</v>
      </c>
      <c r="P63" s="48">
        <f>I63-'Tracks Pull'!E63</f>
        <v>-7.6469801184230386</v>
      </c>
      <c r="Q63" s="48">
        <f>M63-'Tracks Pull'!G63</f>
        <v>-2.0334748200265871</v>
      </c>
      <c r="R63" s="127" t="str">
        <f>IF(ISERROR(#REF!/'RETAIL Load Pull'!N63-1),"-",IF(ABS(#REF!/'RETAIL Load Pull'!N63-1)&gt;1000%," - ",(#REF!/'RETAIL Load Pull'!N63-1)))</f>
        <v>-</v>
      </c>
      <c r="S63" s="127"/>
      <c r="T63" s="127"/>
      <c r="U63" s="258">
        <f>'RETAIL Load Pull'!E63-'RETAIL Load Pull'!F63</f>
        <v>0.75007256579999648</v>
      </c>
      <c r="V63" s="48">
        <f>'RETAIL Load Pull'!E63-'RETAIL Load Pull'!G63</f>
        <v>3.6060340089999965</v>
      </c>
      <c r="W63" s="48" t="e">
        <f>#REF!-N63</f>
        <v>#REF!</v>
      </c>
      <c r="X63" s="48"/>
      <c r="Y63" s="48" t="e">
        <f>#REF!-'Tracks Pull'!M62</f>
        <v>#REF!</v>
      </c>
      <c r="Z63" s="48"/>
      <c r="AA63" s="126">
        <f>V63-'Tracks Pull'!O62</f>
        <v>3.6060340089999965</v>
      </c>
      <c r="AB63" s="146"/>
      <c r="AC63" s="126">
        <f>'Stream Pull'!F63</f>
        <v>0</v>
      </c>
      <c r="AD63" s="126">
        <f>'Stream Pull'!G63</f>
        <v>0</v>
      </c>
      <c r="AE63" s="126">
        <f>'Stream Pull'!H63</f>
        <v>0</v>
      </c>
      <c r="AF63" s="126">
        <f>'Stream Pull'!M63</f>
        <v>0</v>
      </c>
      <c r="AG63" s="48">
        <f t="shared" si="0"/>
        <v>0</v>
      </c>
      <c r="AH63" s="216">
        <f>'Consol Pull'!F63-'Consol Pull'!G63</f>
        <v>13.929592019401387</v>
      </c>
      <c r="AI63" s="48">
        <f t="shared" si="1"/>
        <v>-13.929592019401387</v>
      </c>
      <c r="AJ63" s="146"/>
      <c r="AK63" s="224">
        <f>I63+AG63</f>
        <v>7.5138675608000005</v>
      </c>
      <c r="AL63" s="224"/>
      <c r="AM63" s="224">
        <f>AK63-E63</f>
        <v>-36.951333077848084</v>
      </c>
      <c r="AN63" s="146"/>
      <c r="AO63" s="48" t="e">
        <f>'FIRM Load Pull'!#REF!</f>
        <v>#REF!</v>
      </c>
      <c r="AP63" s="216" t="e">
        <f>I63+AG63+AO63</f>
        <v>#REF!</v>
      </c>
      <c r="AQ63" s="48" t="e">
        <f>AP63-E63</f>
        <v>#REF!</v>
      </c>
      <c r="AR63" s="2"/>
      <c r="AS63" s="2"/>
      <c r="AT63" s="2"/>
    </row>
    <row r="64" spans="1:46" ht="16.2" customHeight="1" outlineLevel="2">
      <c r="A64" s="2" t="s">
        <v>191</v>
      </c>
      <c r="B64" s="44" t="s">
        <v>163</v>
      </c>
      <c r="C64" s="236" t="s">
        <v>163</v>
      </c>
      <c r="D64" s="313" t="s">
        <v>163</v>
      </c>
      <c r="E64" s="162">
        <f>'Consol Pull'!F64</f>
        <v>43.035595769059157</v>
      </c>
      <c r="F64" s="162"/>
      <c r="G64" s="127">
        <f>IF(ISERROR(E64/'Consol Pull'!T64-1),"-",IF(ABS(E64/'Consol Pull'!T64-1)&gt;1000%," - ",(E64/'Consol Pull'!T64-1)))</f>
        <v>8.2342946632174563E-3</v>
      </c>
      <c r="H64" s="146"/>
      <c r="I64" s="162">
        <f>'FIRM Load Pull'!E64</f>
        <v>5.5640735040999996</v>
      </c>
      <c r="J64" s="162">
        <f>'Ship Load Pull'!E64</f>
        <v>5.8937716283999988</v>
      </c>
      <c r="K64" s="127">
        <f>IF(ISERROR(I64/'FIRM Load Pull'!Q64-1),"-",IF(ABS(I64/'FIRM Load Pull'!Q64-1)&gt;1000%," - ",(I64/'FIRM Load Pull'!Q64-1)))</f>
        <v>-0.31057980445356159</v>
      </c>
      <c r="L64" s="48">
        <f>'FIRM Load Pull'!E64-'FIRM Load Pull'!F64</f>
        <v>0</v>
      </c>
      <c r="M64" s="48">
        <f>'FIRM Load Pull'!E64-'FIRM Load Pull'!G64</f>
        <v>-1.141170551800001</v>
      </c>
      <c r="N64" s="216">
        <f>'Consol Pull'!G64</f>
        <v>34.260765425816601</v>
      </c>
      <c r="O64" s="48">
        <f t="shared" si="2"/>
        <v>-28.696691921716599</v>
      </c>
      <c r="P64" s="48">
        <f>I64-'Tracks Pull'!E64</f>
        <v>5.5640735040999996</v>
      </c>
      <c r="Q64" s="48">
        <f>M64-'Tracks Pull'!G64</f>
        <v>-1.141170551800001</v>
      </c>
      <c r="R64" s="127" t="str">
        <f>IF(ISERROR(#REF!/'RETAIL Load Pull'!N64-1),"-",IF(ABS(#REF!/'RETAIL Load Pull'!N64-1)&gt;1000%," - ",(#REF!/'RETAIL Load Pull'!N64-1)))</f>
        <v>-</v>
      </c>
      <c r="S64" s="127"/>
      <c r="T64" s="127"/>
      <c r="U64" s="258">
        <f>'RETAIL Load Pull'!E64-'RETAIL Load Pull'!F64</f>
        <v>-0.60354722880000011</v>
      </c>
      <c r="V64" s="48">
        <f>'RETAIL Load Pull'!E64-'RETAIL Load Pull'!G64</f>
        <v>-1.9673617754999988</v>
      </c>
      <c r="W64" s="48" t="e">
        <f>#REF!-N64</f>
        <v>#REF!</v>
      </c>
      <c r="X64" s="48"/>
      <c r="Y64" s="48" t="e">
        <f>#REF!-'Tracks Pull'!M63</f>
        <v>#REF!</v>
      </c>
      <c r="Z64" s="48"/>
      <c r="AA64" s="126">
        <f>V64-'Tracks Pull'!O63</f>
        <v>-5.6290449837265868</v>
      </c>
      <c r="AB64" s="146"/>
      <c r="AC64" s="126">
        <f>'Stream Pull'!F64</f>
        <v>0</v>
      </c>
      <c r="AD64" s="126">
        <f>'Stream Pull'!G64</f>
        <v>0</v>
      </c>
      <c r="AE64" s="126">
        <f>'Stream Pull'!H64</f>
        <v>0</v>
      </c>
      <c r="AF64" s="126">
        <f>'Stream Pull'!M64</f>
        <v>0</v>
      </c>
      <c r="AG64" s="48">
        <f t="shared" si="0"/>
        <v>0</v>
      </c>
      <c r="AH64" s="216">
        <f>'Consol Pull'!F64-'Consol Pull'!G64</f>
        <v>8.7748303432425558</v>
      </c>
      <c r="AI64" s="48">
        <f t="shared" si="1"/>
        <v>-8.7748303432425558</v>
      </c>
      <c r="AJ64" s="146"/>
      <c r="AK64" s="224">
        <f>I64+AG64</f>
        <v>5.5640735040999996</v>
      </c>
      <c r="AL64" s="224"/>
      <c r="AM64" s="224">
        <f>AK64-E64</f>
        <v>-37.471522264959155</v>
      </c>
      <c r="AN64" s="146"/>
      <c r="AO64" s="48" t="e">
        <f>'FIRM Load Pull'!#REF!</f>
        <v>#REF!</v>
      </c>
      <c r="AP64" s="216" t="e">
        <f>I64+AG64+AO64</f>
        <v>#REF!</v>
      </c>
      <c r="AQ64" s="48" t="e">
        <f>AP64-E64</f>
        <v>#REF!</v>
      </c>
      <c r="AR64" s="2"/>
      <c r="AS64" s="2"/>
      <c r="AT64" s="2"/>
    </row>
    <row r="65" spans="1:46" ht="16.2" customHeight="1" outlineLevel="2">
      <c r="A65" s="2" t="s">
        <v>191</v>
      </c>
      <c r="B65" s="44" t="s">
        <v>404</v>
      </c>
      <c r="C65" s="236" t="s">
        <v>404</v>
      </c>
      <c r="D65" s="313" t="s">
        <v>404</v>
      </c>
      <c r="E65" s="162">
        <f>'Consol Pull'!F65</f>
        <v>0</v>
      </c>
      <c r="F65" s="162"/>
      <c r="G65" s="127"/>
      <c r="H65" s="146"/>
      <c r="I65" s="162">
        <f>'FIRM Load Pull'!E65</f>
        <v>0</v>
      </c>
      <c r="J65" s="162">
        <f>'Ship Load Pull'!E65</f>
        <v>0</v>
      </c>
      <c r="K65" s="127" t="str">
        <f>IF(ISERROR(I65/'FIRM Load Pull'!Q65-1),"-",IF(ABS(I65/'FIRM Load Pull'!Q65-1)&gt;1000%," - ",(I65/'FIRM Load Pull'!Q65-1)))</f>
        <v>-</v>
      </c>
      <c r="L65" s="48">
        <f>'FIRM Load Pull'!E65-'FIRM Load Pull'!F65</f>
        <v>0</v>
      </c>
      <c r="M65" s="48">
        <f>'FIRM Load Pull'!E65-'FIRM Load Pull'!G65</f>
        <v>0</v>
      </c>
      <c r="N65" s="216">
        <f>'Consol Pull'!G65</f>
        <v>0</v>
      </c>
      <c r="O65" s="48">
        <f t="shared" si="2"/>
        <v>0</v>
      </c>
      <c r="P65" s="48">
        <f>I65-'Tracks Pull'!E65</f>
        <v>-17.8492699252722</v>
      </c>
      <c r="Q65" s="48">
        <f>M65-'Tracks Pull'!G65</f>
        <v>-3.0620485998396898</v>
      </c>
      <c r="R65" s="127"/>
      <c r="S65" s="127"/>
      <c r="T65" s="127"/>
      <c r="U65" s="258"/>
      <c r="V65" s="48"/>
      <c r="W65" s="48"/>
      <c r="X65" s="48"/>
      <c r="Y65" s="48"/>
      <c r="Z65" s="48"/>
      <c r="AA65" s="126"/>
      <c r="AB65" s="146"/>
      <c r="AC65" s="126">
        <f>'Stream Pull'!F65</f>
        <v>0</v>
      </c>
      <c r="AD65" s="126">
        <f>'Stream Pull'!G65</f>
        <v>0</v>
      </c>
      <c r="AE65" s="126">
        <f>'Stream Pull'!H65</f>
        <v>0</v>
      </c>
      <c r="AF65" s="126">
        <f>'Stream Pull'!M65</f>
        <v>-3.2178181818179998E-3</v>
      </c>
      <c r="AG65" s="48"/>
      <c r="AH65" s="216"/>
      <c r="AI65" s="48"/>
      <c r="AJ65" s="146"/>
      <c r="AK65" s="224"/>
      <c r="AL65" s="224"/>
      <c r="AM65" s="224"/>
      <c r="AN65" s="146"/>
      <c r="AO65" s="48"/>
      <c r="AP65" s="216"/>
      <c r="AQ65" s="48"/>
      <c r="AR65" s="2"/>
      <c r="AS65" s="2"/>
      <c r="AT65" s="2"/>
    </row>
    <row r="66" spans="1:46" s="140" customFormat="1" ht="16.2" customHeight="1" outlineLevel="1">
      <c r="A66" s="141" t="s">
        <v>191</v>
      </c>
      <c r="B66" s="46" t="s">
        <v>59</v>
      </c>
      <c r="C66" s="236" t="s">
        <v>59</v>
      </c>
      <c r="D66" s="311" t="s">
        <v>59</v>
      </c>
      <c r="E66" s="248">
        <f>'Consol Pull'!F66</f>
        <v>57.554960806266251</v>
      </c>
      <c r="F66" s="246"/>
      <c r="G66" s="127">
        <f>IF(ISERROR(E66/'Consol Pull'!T66-1),"-",IF(ABS(E66/'Consol Pull'!T66-1)&gt;1000%," - ",(E66/'Consol Pull'!T66-1)))</f>
        <v>0.13254019924346028</v>
      </c>
      <c r="H66" s="247"/>
      <c r="I66" s="248">
        <f>'FIRM Load Pull'!E66</f>
        <v>16.121618462500003</v>
      </c>
      <c r="J66" s="248">
        <f>'Ship Load Pull'!E66</f>
        <v>9.3355670474000014</v>
      </c>
      <c r="K66" s="127">
        <f>IF(ISERROR(I66/'FIRM Load Pull'!Q66-1),"-",IF(ABS(I66/'FIRM Load Pull'!Q66-1)&gt;1000%," - ",(I66/'FIRM Load Pull'!Q66-1)))</f>
        <v>0.25230970009383147</v>
      </c>
      <c r="L66" s="248">
        <f>'FIRM Load Pull'!E66-'FIRM Load Pull'!F66</f>
        <v>0.34316649850000225</v>
      </c>
      <c r="M66" s="248">
        <f>'FIRM Load Pull'!E66-'FIRM Load Pull'!G66</f>
        <v>0.12639758490000119</v>
      </c>
      <c r="N66" s="223">
        <f>'Consol Pull'!G66</f>
        <v>34.505810734239802</v>
      </c>
      <c r="O66" s="248">
        <f t="shared" si="2"/>
        <v>-18.384192271739799</v>
      </c>
      <c r="P66" s="248">
        <f>I66-'Tracks Pull'!E66</f>
        <v>-22.214581058052502</v>
      </c>
      <c r="Q66" s="248">
        <f>M66-'Tracks Pull'!G66</f>
        <v>-5.4262430940603288</v>
      </c>
      <c r="R66" s="127" t="str">
        <f>IF(ISERROR(#REF!/'RETAIL Load Pull'!N66-1),"-",IF(ABS(#REF!/'RETAIL Load Pull'!N66-1)&gt;1000%," - ",(#REF!/'RETAIL Load Pull'!N66-1)))</f>
        <v>-</v>
      </c>
      <c r="S66" s="127"/>
      <c r="T66" s="127"/>
      <c r="U66" s="262">
        <f>'RETAIL Load Pull'!E66-'RETAIL Load Pull'!F66</f>
        <v>1.3526654212000047</v>
      </c>
      <c r="V66" s="248">
        <f>'RETAIL Load Pull'!E66-'RETAIL Load Pull'!G66</f>
        <v>1.5596431696000082</v>
      </c>
      <c r="W66" s="248" t="e">
        <f>#REF!-N66</f>
        <v>#REF!</v>
      </c>
      <c r="X66" s="248"/>
      <c r="Y66" s="248" t="e">
        <f>#REF!-'Tracks Pull'!M65</f>
        <v>#REF!</v>
      </c>
      <c r="Z66" s="248"/>
      <c r="AA66" s="250">
        <f>V66-'Tracks Pull'!O65</f>
        <v>-1.5024054302396816</v>
      </c>
      <c r="AB66" s="247"/>
      <c r="AC66" s="250">
        <f>'Stream Pull'!F66</f>
        <v>4.867388057445913</v>
      </c>
      <c r="AD66" s="250">
        <f>'Stream Pull'!G66</f>
        <v>3.1210472006888099</v>
      </c>
      <c r="AE66" s="250">
        <f>'Stream Pull'!H66</f>
        <v>1.746340856757103</v>
      </c>
      <c r="AF66" s="250">
        <f>'Stream Pull'!M66</f>
        <v>13.67</v>
      </c>
      <c r="AG66" s="248">
        <f t="shared" si="0"/>
        <v>18.537388057445913</v>
      </c>
      <c r="AH66" s="223">
        <f>'Consol Pull'!F66-'Consol Pull'!G66</f>
        <v>23.04915007202645</v>
      </c>
      <c r="AI66" s="248">
        <f t="shared" si="1"/>
        <v>-4.5117620145805368</v>
      </c>
      <c r="AJ66" s="247"/>
      <c r="AK66" s="251">
        <f>I66+AG66</f>
        <v>34.659006519945919</v>
      </c>
      <c r="AL66" s="251"/>
      <c r="AM66" s="251">
        <f>AK66-E66</f>
        <v>-22.895954286320332</v>
      </c>
      <c r="AN66" s="247"/>
      <c r="AO66" s="248" t="e">
        <f>'FIRM Load Pull'!#REF!</f>
        <v>#REF!</v>
      </c>
      <c r="AP66" s="223" t="e">
        <f>I66+AG66+AO66</f>
        <v>#REF!</v>
      </c>
      <c r="AQ66" s="248" t="e">
        <f>AP66-E66</f>
        <v>#REF!</v>
      </c>
      <c r="AR66" s="141"/>
      <c r="AS66" s="141"/>
      <c r="AT66" s="141"/>
    </row>
    <row r="67" spans="1:46" s="140" customFormat="1" ht="16.2" customHeight="1" outlineLevel="1">
      <c r="A67" s="141" t="s">
        <v>191</v>
      </c>
      <c r="B67" s="46" t="s">
        <v>34</v>
      </c>
      <c r="C67" s="236" t="s">
        <v>34</v>
      </c>
      <c r="D67" s="311" t="s">
        <v>34</v>
      </c>
      <c r="E67" s="248">
        <f>'Consol Pull'!F67</f>
        <v>109.49074097573151</v>
      </c>
      <c r="F67" s="246"/>
      <c r="G67" s="127">
        <f>IF(ISERROR(E67/'Consol Pull'!T67-1),"-",IF(ABS(E67/'Consol Pull'!T67-1)&gt;1000%," - ",(E67/'Consol Pull'!T67-1)))</f>
        <v>0.15784321375434751</v>
      </c>
      <c r="H67" s="247"/>
      <c r="I67" s="248">
        <f>'FIRM Load Pull'!E67</f>
        <v>13.891207969100003</v>
      </c>
      <c r="J67" s="248">
        <f>'Ship Load Pull'!E67</f>
        <v>9.4653747074000005</v>
      </c>
      <c r="K67" s="127">
        <f>IF(ISERROR(I67/'FIRM Load Pull'!Q67-1),"-",IF(ABS(I67/'FIRM Load Pull'!Q67-1)&gt;1000%," - ",(I67/'FIRM Load Pull'!Q67-1)))</f>
        <v>-0.4034253137069358</v>
      </c>
      <c r="L67" s="248">
        <f>'FIRM Load Pull'!E67-'FIRM Load Pull'!F67</f>
        <v>6.0963687499999253E-2</v>
      </c>
      <c r="M67" s="248">
        <f>'FIRM Load Pull'!E67-'FIRM Load Pull'!G67</f>
        <v>0.61693641950000178</v>
      </c>
      <c r="N67" s="223">
        <f>'Consol Pull'!G67</f>
        <v>81.027820664687098</v>
      </c>
      <c r="O67" s="248">
        <f t="shared" si="2"/>
        <v>-67.13661269558709</v>
      </c>
      <c r="P67" s="248">
        <f>I67-'Tracks Pull'!E67</f>
        <v>3.7411398317262528</v>
      </c>
      <c r="Q67" s="248">
        <f>M67-'Tracks Pull'!G67</f>
        <v>-0.72240469553501896</v>
      </c>
      <c r="R67" s="127" t="str">
        <f>IF(ISERROR(#REF!/'RETAIL Load Pull'!N67-1),"-",IF(ABS(#REF!/'RETAIL Load Pull'!N67-1)&gt;1000%," - ",(#REF!/'RETAIL Load Pull'!N67-1)))</f>
        <v>-</v>
      </c>
      <c r="S67" s="127"/>
      <c r="T67" s="127"/>
      <c r="U67" s="262">
        <f>'RETAIL Load Pull'!E67-'RETAIL Load Pull'!F67</f>
        <v>-9.4343132800002394E-2</v>
      </c>
      <c r="V67" s="248">
        <f>'RETAIL Load Pull'!E67-'RETAIL Load Pull'!G67</f>
        <v>0.9036618109999992</v>
      </c>
      <c r="W67" s="248" t="e">
        <f>#REF!-N67</f>
        <v>#REF!</v>
      </c>
      <c r="X67" s="248"/>
      <c r="Y67" s="248" t="e">
        <f>#REF!-'Tracks Pull'!M66</f>
        <v>#REF!</v>
      </c>
      <c r="Z67" s="248"/>
      <c r="AA67" s="250">
        <f>V67-'Tracks Pull'!O66</f>
        <v>-4.6489788679603308</v>
      </c>
      <c r="AB67" s="247"/>
      <c r="AC67" s="250">
        <f>'Stream Pull'!F67</f>
        <v>13.57109045257349</v>
      </c>
      <c r="AD67" s="250">
        <f>'Stream Pull'!G67</f>
        <v>2.596814618201305</v>
      </c>
      <c r="AE67" s="250">
        <f>'Stream Pull'!H67</f>
        <v>10.974275834372186</v>
      </c>
      <c r="AF67" s="250">
        <f>'Stream Pull'!M67</f>
        <v>14.349491610000008</v>
      </c>
      <c r="AG67" s="248">
        <f t="shared" si="0"/>
        <v>27.920582062573498</v>
      </c>
      <c r="AH67" s="223">
        <f>'Consol Pull'!F67-'Consol Pull'!G67</f>
        <v>28.462920311044414</v>
      </c>
      <c r="AI67" s="248">
        <f t="shared" si="1"/>
        <v>-0.54233824847091583</v>
      </c>
      <c r="AJ67" s="247"/>
      <c r="AK67" s="251">
        <f>I67+AG67</f>
        <v>41.811790031673503</v>
      </c>
      <c r="AL67" s="251"/>
      <c r="AM67" s="251">
        <f>AK67-E67</f>
        <v>-67.678950944058016</v>
      </c>
      <c r="AN67" s="247"/>
      <c r="AO67" s="248" t="e">
        <f>'FIRM Load Pull'!#REF!</f>
        <v>#REF!</v>
      </c>
      <c r="AP67" s="223" t="e">
        <f>I67+AG67+AO67</f>
        <v>#REF!</v>
      </c>
      <c r="AQ67" s="248" t="e">
        <f>AP67-E67</f>
        <v>#REF!</v>
      </c>
      <c r="AR67" s="141"/>
      <c r="AS67" s="141"/>
      <c r="AT67" s="141"/>
    </row>
    <row r="68" spans="1:46" s="140" customFormat="1" ht="16.2" customHeight="1" outlineLevel="1">
      <c r="A68" s="141" t="s">
        <v>191</v>
      </c>
      <c r="B68" s="46" t="s">
        <v>407</v>
      </c>
      <c r="C68" s="236" t="s">
        <v>399</v>
      </c>
      <c r="D68" s="313" t="s">
        <v>399</v>
      </c>
      <c r="E68" s="248">
        <f>'Consol Pull'!F68</f>
        <v>32.085913999251424</v>
      </c>
      <c r="F68" s="246"/>
      <c r="G68" s="127"/>
      <c r="H68" s="247"/>
      <c r="I68" s="248">
        <f>'FIRM Load Pull'!E68</f>
        <v>5.2196543235999995</v>
      </c>
      <c r="J68" s="248">
        <f>'Ship Load Pull'!E68</f>
        <v>5.0122286708999999</v>
      </c>
      <c r="K68" s="127">
        <f>IF(ISERROR(I68/'FIRM Load Pull'!Q68-1),"-",IF(ABS(I68/'FIRM Load Pull'!Q68-1)&gt;1000%," - ",(I68/'FIRM Load Pull'!Q68-1)))</f>
        <v>-0.18244910154708693</v>
      </c>
      <c r="L68" s="248">
        <f>'FIRM Load Pull'!E68-'FIRM Load Pull'!F68</f>
        <v>0</v>
      </c>
      <c r="M68" s="248">
        <f>'FIRM Load Pull'!E68-'FIRM Load Pull'!G68</f>
        <v>1.8003186326999998</v>
      </c>
      <c r="N68" s="223">
        <f>'Consol Pull'!G68</f>
        <v>23.609576264605401</v>
      </c>
      <c r="O68" s="248">
        <f t="shared" si="2"/>
        <v>-18.389921941005401</v>
      </c>
      <c r="P68" s="248">
        <f>I68-'Tracks Pull'!E68</f>
        <v>5.2196543235999995</v>
      </c>
      <c r="Q68" s="248">
        <f>M68-'Tracks Pull'!G68</f>
        <v>1.8003186326999998</v>
      </c>
      <c r="R68" s="127"/>
      <c r="S68" s="127"/>
      <c r="T68" s="127"/>
      <c r="U68" s="262"/>
      <c r="V68" s="248"/>
      <c r="W68" s="248"/>
      <c r="X68" s="248"/>
      <c r="Y68" s="248"/>
      <c r="Z68" s="248"/>
      <c r="AA68" s="250"/>
      <c r="AB68" s="247"/>
      <c r="AC68" s="250">
        <f>'Stream Pull'!F68</f>
        <v>4.1414202332113357</v>
      </c>
      <c r="AD68" s="250">
        <f>'Stream Pull'!G68</f>
        <v>1.257272362898421</v>
      </c>
      <c r="AE68" s="250">
        <f>'Stream Pull'!H68</f>
        <v>2.8841478703129151</v>
      </c>
      <c r="AF68" s="250">
        <f>'Stream Pull'!M68</f>
        <v>4.3702447500000101</v>
      </c>
      <c r="AG68" s="248"/>
      <c r="AH68" s="223"/>
      <c r="AI68" s="248"/>
      <c r="AJ68" s="247"/>
      <c r="AK68" s="251"/>
      <c r="AL68" s="251"/>
      <c r="AM68" s="251"/>
      <c r="AN68" s="247"/>
      <c r="AO68" s="248"/>
      <c r="AP68" s="223"/>
      <c r="AQ68" s="248"/>
      <c r="AR68" s="141"/>
      <c r="AS68" s="141"/>
      <c r="AT68" s="141"/>
    </row>
    <row r="69" spans="1:46" ht="16.2" customHeight="1" outlineLevel="2">
      <c r="A69" s="2" t="s">
        <v>191</v>
      </c>
      <c r="B69" s="44" t="s">
        <v>92</v>
      </c>
      <c r="C69" s="236" t="s">
        <v>400</v>
      </c>
      <c r="D69" s="313" t="s">
        <v>400</v>
      </c>
      <c r="E69" s="48">
        <f>'Consol Pull'!F69</f>
        <v>13.782718344500401</v>
      </c>
      <c r="F69" s="162"/>
      <c r="G69" s="127">
        <f>IF(ISERROR(E69/'Consol Pull'!T68-1),"-",IF(ABS(E69/'Consol Pull'!T68-1)&gt;1000%," - ",(E69/'Consol Pull'!T68-1)))</f>
        <v>-0.51035152855658472</v>
      </c>
      <c r="H69" s="146"/>
      <c r="I69" s="48">
        <f>'FIRM Load Pull'!E69</f>
        <v>0.43985423070000007</v>
      </c>
      <c r="J69" s="48">
        <f>'Ship Load Pull'!E69</f>
        <v>0.47911556070000005</v>
      </c>
      <c r="K69" s="127">
        <f>IF(ISERROR(I69/'FIRM Load Pull'!Q69-1),"-",IF(ABS(I69/'FIRM Load Pull'!Q69-1)&gt;1000%," - ",(I69/'FIRM Load Pull'!Q69-1)))</f>
        <v>1.3901633050607876E-2</v>
      </c>
      <c r="L69" s="48">
        <f>'FIRM Load Pull'!E69-'FIRM Load Pull'!F69</f>
        <v>0</v>
      </c>
      <c r="M69" s="48">
        <f>'FIRM Load Pull'!E69-'FIRM Load Pull'!G69</f>
        <v>-8.6229540000000049E-2</v>
      </c>
      <c r="N69" s="216">
        <f>'Consol Pull'!G69</f>
        <v>10.459295636997901</v>
      </c>
      <c r="O69" s="48">
        <f t="shared" si="2"/>
        <v>-10.019441406297901</v>
      </c>
      <c r="P69" s="48">
        <f>I69-'Tracks Pull'!E69</f>
        <v>0.43985423070000007</v>
      </c>
      <c r="Q69" s="48">
        <f>M69-'Tracks Pull'!G69</f>
        <v>-8.6229540000000049E-2</v>
      </c>
      <c r="R69" s="127" t="str">
        <f>IF(ISERROR(#REF!/'RETAIL Load Pull'!N68-1),"-",IF(ABS(#REF!/'RETAIL Load Pull'!N68-1)&gt;1000%," - ",(#REF!/'RETAIL Load Pull'!N68-1)))</f>
        <v>-</v>
      </c>
      <c r="S69" s="127"/>
      <c r="T69" s="127"/>
      <c r="U69" s="258">
        <f>'RETAIL Load Pull'!E68-'RETAIL Load Pull'!F68</f>
        <v>0</v>
      </c>
      <c r="V69" s="48">
        <f>'RETAIL Load Pull'!E68-'RETAIL Load Pull'!G68</f>
        <v>1.8784562723999998</v>
      </c>
      <c r="W69" s="48" t="e">
        <f>#REF!-N69</f>
        <v>#REF!</v>
      </c>
      <c r="X69" s="48"/>
      <c r="Y69" s="48" t="e">
        <f>#REF!-'Tracks Pull'!M67</f>
        <v>#REF!</v>
      </c>
      <c r="Z69" s="48"/>
      <c r="AA69" s="126">
        <f>V69-'Tracks Pull'!O67</f>
        <v>0.53911515736497906</v>
      </c>
      <c r="AB69" s="146"/>
      <c r="AC69" s="126">
        <f>'Stream Pull'!F69</f>
        <v>1.3372388406285429</v>
      </c>
      <c r="AD69" s="126">
        <f>'Stream Pull'!G69</f>
        <v>0.14084515</v>
      </c>
      <c r="AE69" s="126">
        <f>'Stream Pull'!H69</f>
        <v>1.1963936906285428</v>
      </c>
      <c r="AF69" s="126">
        <f>'Stream Pull'!M69</f>
        <v>2.54673668</v>
      </c>
      <c r="AG69" s="48">
        <f t="shared" si="0"/>
        <v>3.8839755206285429</v>
      </c>
      <c r="AH69" s="216">
        <f>'Consol Pull'!F68-'Consol Pull'!G68</f>
        <v>8.4763377346460231</v>
      </c>
      <c r="AI69" s="48">
        <f t="shared" si="1"/>
        <v>-4.5923622140174807</v>
      </c>
      <c r="AJ69" s="146"/>
      <c r="AK69" s="224">
        <f>I69+AG69</f>
        <v>4.3238297513285433</v>
      </c>
      <c r="AL69" s="224"/>
      <c r="AM69" s="224">
        <f>AK69-E69</f>
        <v>-9.4588885931718565</v>
      </c>
      <c r="AN69" s="146"/>
      <c r="AO69" s="48" t="e">
        <f>'FIRM Load Pull'!#REF!</f>
        <v>#REF!</v>
      </c>
      <c r="AP69" s="216" t="e">
        <f>I69+AG69+AO69</f>
        <v>#REF!</v>
      </c>
      <c r="AQ69" s="48" t="e">
        <f>AP69-E69</f>
        <v>#REF!</v>
      </c>
      <c r="AR69" s="2"/>
      <c r="AS69" s="2"/>
      <c r="AT69" s="2"/>
    </row>
    <row r="70" spans="1:46" ht="16.2" customHeight="1" outlineLevel="2">
      <c r="A70" s="2" t="s">
        <v>191</v>
      </c>
      <c r="B70" s="44" t="s">
        <v>408</v>
      </c>
      <c r="C70" s="236" t="s">
        <v>401</v>
      </c>
      <c r="D70" s="313" t="s">
        <v>401</v>
      </c>
      <c r="E70" s="48">
        <f>'Consol Pull'!F70</f>
        <v>26.872563341448313</v>
      </c>
      <c r="F70" s="162"/>
      <c r="G70" s="127"/>
      <c r="H70" s="146"/>
      <c r="I70" s="48">
        <f>'FIRM Load Pull'!E70</f>
        <v>6.5712911258000002</v>
      </c>
      <c r="J70" s="48">
        <f>'Ship Load Pull'!E70</f>
        <v>2.7896126019000009</v>
      </c>
      <c r="K70" s="127">
        <f>IF(ISERROR(I70/'FIRM Load Pull'!Q70-1),"-",IF(ABS(I70/'FIRM Load Pull'!Q70-1)&gt;1000%," - ",(I70/'FIRM Load Pull'!Q70-1)))</f>
        <v>-0.46426616685668298</v>
      </c>
      <c r="L70" s="48">
        <f>'FIRM Load Pull'!E70-'FIRM Load Pull'!F70</f>
        <v>6.0963687500000141E-2</v>
      </c>
      <c r="M70" s="48">
        <f>'FIRM Load Pull'!E70-'FIRM Load Pull'!G70</f>
        <v>1.3637805073999996</v>
      </c>
      <c r="N70" s="216">
        <f>'Consol Pull'!G70</f>
        <v>20.762476514270102</v>
      </c>
      <c r="O70" s="48">
        <f t="shared" si="2"/>
        <v>-14.191185388470101</v>
      </c>
      <c r="P70" s="48">
        <f>I70-'Tracks Pull'!E70</f>
        <v>-1.5892757495576095</v>
      </c>
      <c r="Q70" s="48">
        <f>M70-'Tracks Pull'!G70</f>
        <v>0.28113311951785036</v>
      </c>
      <c r="R70" s="127"/>
      <c r="S70" s="127"/>
      <c r="T70" s="127"/>
      <c r="U70" s="258"/>
      <c r="V70" s="48"/>
      <c r="W70" s="48"/>
      <c r="X70" s="48"/>
      <c r="Y70" s="48"/>
      <c r="Z70" s="48"/>
      <c r="AA70" s="126"/>
      <c r="AB70" s="146"/>
      <c r="AC70" s="126">
        <f>'Stream Pull'!F70</f>
        <v>1.933903189190497</v>
      </c>
      <c r="AD70" s="126">
        <f>'Stream Pull'!G70</f>
        <v>0.34409931917778103</v>
      </c>
      <c r="AE70" s="126">
        <f>'Stream Pull'!H70</f>
        <v>1.5898038700127159</v>
      </c>
      <c r="AF70" s="126">
        <f>'Stream Pull'!M70</f>
        <v>1.9729498999999999</v>
      </c>
      <c r="AG70" s="48"/>
      <c r="AH70" s="216"/>
      <c r="AI70" s="48"/>
      <c r="AJ70" s="146"/>
      <c r="AK70" s="224"/>
      <c r="AL70" s="224"/>
      <c r="AM70" s="224"/>
      <c r="AN70" s="146"/>
      <c r="AO70" s="48"/>
      <c r="AP70" s="216"/>
      <c r="AQ70" s="48"/>
      <c r="AR70" s="2"/>
      <c r="AS70" s="2"/>
      <c r="AT70" s="2"/>
    </row>
    <row r="71" spans="1:46" ht="16.2" customHeight="1" outlineLevel="2">
      <c r="A71" s="2" t="s">
        <v>191</v>
      </c>
      <c r="B71" s="44" t="s">
        <v>93</v>
      </c>
      <c r="C71" s="236" t="s">
        <v>93</v>
      </c>
      <c r="D71" s="313" t="s">
        <v>93</v>
      </c>
      <c r="E71" s="48">
        <f>'Consol Pull'!F71</f>
        <v>20.05909228111673</v>
      </c>
      <c r="F71" s="162"/>
      <c r="G71" s="127">
        <f>IF(ISERROR(E71/'Consol Pull'!T71-1),"-",IF(ABS(E71/'Consol Pull'!T71-1)&gt;1000%," - ",(E71/'Consol Pull'!T71-1)))</f>
        <v>0.67005484157263417</v>
      </c>
      <c r="H71" s="146"/>
      <c r="I71" s="48">
        <f>'FIRM Load Pull'!E71</f>
        <v>0.56562500899999968</v>
      </c>
      <c r="J71" s="48">
        <f>'Ship Load Pull'!E71</f>
        <v>-0.13764126610000013</v>
      </c>
      <c r="K71" s="127">
        <f>IF(ISERROR(I71/'FIRM Load Pull'!Q71-1),"-",IF(ABS(I71/'FIRM Load Pull'!Q71-1)&gt;1000%," - ",(I71/'FIRM Load Pull'!Q71-1)))</f>
        <v>-0.65142246159194905</v>
      </c>
      <c r="L71" s="48">
        <f>'FIRM Load Pull'!E71-'FIRM Load Pull'!F71</f>
        <v>0</v>
      </c>
      <c r="M71" s="48">
        <f>'FIRM Load Pull'!E71-'FIRM Load Pull'!G71</f>
        <v>-2.1180793506</v>
      </c>
      <c r="N71" s="216">
        <f>'Consol Pull'!G71</f>
        <v>14.9348015556291</v>
      </c>
      <c r="O71" s="48">
        <f t="shared" si="2"/>
        <v>-14.369176546629101</v>
      </c>
      <c r="P71" s="48">
        <f>I71-'Tracks Pull'!E71</f>
        <v>-7.6619657608904905</v>
      </c>
      <c r="Q71" s="48">
        <f>M71-'Tracks Pull'!G71</f>
        <v>-3.1584701971712206</v>
      </c>
      <c r="R71" s="127" t="str">
        <f>IF(ISERROR(#REF!/'RETAIL Load Pull'!N71-1),"-",IF(ABS(#REF!/'RETAIL Load Pull'!N71-1)&gt;1000%," - ",(#REF!/'RETAIL Load Pull'!N71-1)))</f>
        <v>-</v>
      </c>
      <c r="S71" s="127"/>
      <c r="T71" s="127"/>
      <c r="U71" s="258">
        <f>'RETAIL Load Pull'!E71-'RETAIL Load Pull'!F71</f>
        <v>0</v>
      </c>
      <c r="V71" s="48">
        <f>'RETAIL Load Pull'!E71-'RETAIL Load Pull'!G71</f>
        <v>-1.4231759506000006</v>
      </c>
      <c r="W71" s="48" t="e">
        <f>#REF!-N71</f>
        <v>#REF!</v>
      </c>
      <c r="X71" s="48"/>
      <c r="Y71" s="48" t="e">
        <f>#REF!-'Tracks Pull'!M70</f>
        <v>#REF!</v>
      </c>
      <c r="Z71" s="48"/>
      <c r="AA71" s="126">
        <f>V71-'Tracks Pull'!O70</f>
        <v>-2.5058233384821498</v>
      </c>
      <c r="AB71" s="146"/>
      <c r="AC71" s="126">
        <f>'Stream Pull'!F71</f>
        <v>2.5596312778557788</v>
      </c>
      <c r="AD71" s="126">
        <f>'Stream Pull'!G71</f>
        <v>0.44732227322972895</v>
      </c>
      <c r="AE71" s="126">
        <f>'Stream Pull'!H71</f>
        <v>2.11230900462605</v>
      </c>
      <c r="AF71" s="126">
        <f>'Stream Pull'!M71</f>
        <v>2.8135391900000002</v>
      </c>
      <c r="AG71" s="48">
        <f t="shared" si="0"/>
        <v>5.373170467855779</v>
      </c>
      <c r="AH71" s="216">
        <f>'Consol Pull'!F71-'Consol Pull'!G71</f>
        <v>5.1242907254876293</v>
      </c>
      <c r="AI71" s="48">
        <f t="shared" si="1"/>
        <v>0.24887974236814969</v>
      </c>
      <c r="AJ71" s="146"/>
      <c r="AK71" s="224">
        <f>I71+AG71</f>
        <v>5.9387954768557787</v>
      </c>
      <c r="AL71" s="224"/>
      <c r="AM71" s="224">
        <f>AK71-E71</f>
        <v>-14.120296804260951</v>
      </c>
      <c r="AN71" s="146"/>
      <c r="AO71" s="48" t="e">
        <f>'FIRM Load Pull'!#REF!</f>
        <v>#REF!</v>
      </c>
      <c r="AP71" s="216" t="e">
        <f>I71+AG71+AO71</f>
        <v>#REF!</v>
      </c>
      <c r="AQ71" s="48" t="e">
        <f>AP71-E71</f>
        <v>#REF!</v>
      </c>
      <c r="AR71" s="2"/>
      <c r="AS71" s="2"/>
      <c r="AT71" s="2"/>
    </row>
    <row r="72" spans="1:46" ht="16.2" customHeight="1" outlineLevel="2">
      <c r="A72" s="2" t="s">
        <v>191</v>
      </c>
      <c r="B72" s="44" t="s">
        <v>238</v>
      </c>
      <c r="C72" s="236" t="s">
        <v>238</v>
      </c>
      <c r="D72" s="313" t="s">
        <v>238</v>
      </c>
      <c r="E72" s="48">
        <f>'Consol Pull'!F72</f>
        <v>21.46454714200015</v>
      </c>
      <c r="F72" s="162"/>
      <c r="G72" s="127">
        <f>IF(ISERROR(E72/'Consol Pull'!T72-1),"-",IF(ABS(E72/'Consol Pull'!T72-1)&gt;1000%," - ",(E72/'Consol Pull'!T72-1)))</f>
        <v>6.3759569319425946E-3</v>
      </c>
      <c r="H72" s="146"/>
      <c r="I72" s="48">
        <f>'FIRM Load Pull'!E72</f>
        <v>1.0947832799999999</v>
      </c>
      <c r="J72" s="48">
        <f>'Ship Load Pull'!E72</f>
        <v>1.3220591399999997</v>
      </c>
      <c r="K72" s="127">
        <f>IF(ISERROR(I72/'FIRM Load Pull'!Q72-1),"-",IF(ABS(I72/'FIRM Load Pull'!Q72-1)&gt;1000%," - ",(I72/'FIRM Load Pull'!Q72-1)))</f>
        <v>-0.57533467652925196</v>
      </c>
      <c r="L72" s="48">
        <f>'FIRM Load Pull'!E72-'FIRM Load Pull'!F72</f>
        <v>0</v>
      </c>
      <c r="M72" s="48">
        <f>'FIRM Load Pull'!E72-'FIRM Load Pull'!G72</f>
        <v>-0.34285382999999969</v>
      </c>
      <c r="N72" s="216">
        <f>'Consol Pull'!G72</f>
        <v>16.035764825770102</v>
      </c>
      <c r="O72" s="48">
        <f t="shared" si="2"/>
        <v>-14.940981545770102</v>
      </c>
      <c r="P72" s="48">
        <f>I72-'Tracks Pull'!E72</f>
        <v>1.0947832799999999</v>
      </c>
      <c r="Q72" s="48">
        <f>M72-'Tracks Pull'!G72</f>
        <v>-0.34285382999999969</v>
      </c>
      <c r="R72" s="127" t="str">
        <f>IF(ISERROR(#REF!/'RETAIL Load Pull'!N72-1),"-",IF(ABS(#REF!/'RETAIL Load Pull'!N72-1)&gt;1000%," - ",(#REF!/'RETAIL Load Pull'!N72-1)))</f>
        <v>-</v>
      </c>
      <c r="S72" s="127"/>
      <c r="T72" s="127"/>
      <c r="U72" s="258">
        <f>'RETAIL Load Pull'!E72-'RETAIL Load Pull'!F72</f>
        <v>0</v>
      </c>
      <c r="V72" s="48">
        <f>'RETAIL Load Pull'!E72-'RETAIL Load Pull'!G72</f>
        <v>-5.1312499999999872E-2</v>
      </c>
      <c r="W72" s="48" t="e">
        <f>#REF!-N72</f>
        <v>#REF!</v>
      </c>
      <c r="X72" s="48"/>
      <c r="Y72" s="48" t="e">
        <f>#REF!-'Tracks Pull'!M71</f>
        <v>#REF!</v>
      </c>
      <c r="Z72" s="48"/>
      <c r="AA72" s="126">
        <f>V72-'Tracks Pull'!O71</f>
        <v>-1.0917033465712205</v>
      </c>
      <c r="AB72" s="146"/>
      <c r="AC72" s="126">
        <f>'Stream Pull'!F72</f>
        <v>3.5988969116873362</v>
      </c>
      <c r="AD72" s="126">
        <f>'Stream Pull'!G72</f>
        <v>0.407275512895374</v>
      </c>
      <c r="AE72" s="126">
        <f>'Stream Pull'!H72</f>
        <v>3.1916213987919622</v>
      </c>
      <c r="AF72" s="126">
        <f>'Stream Pull'!M72</f>
        <v>2.6460210900000001</v>
      </c>
      <c r="AG72" s="48">
        <f t="shared" si="0"/>
        <v>6.2449180016873367</v>
      </c>
      <c r="AH72" s="216">
        <f>'Consol Pull'!F72-'Consol Pull'!G72</f>
        <v>5.4287823162300484</v>
      </c>
      <c r="AI72" s="48">
        <f t="shared" si="1"/>
        <v>0.81613568545728832</v>
      </c>
      <c r="AJ72" s="146"/>
      <c r="AK72" s="224">
        <f>I72+AG72</f>
        <v>7.3397012816873364</v>
      </c>
      <c r="AL72" s="224"/>
      <c r="AM72" s="224">
        <f>AK72-E72</f>
        <v>-14.124845860312814</v>
      </c>
      <c r="AN72" s="146"/>
      <c r="AO72" s="48" t="e">
        <f>'FIRM Load Pull'!#REF!</f>
        <v>#REF!</v>
      </c>
      <c r="AP72" s="216" t="e">
        <f>I72+AG72+AO72</f>
        <v>#REF!</v>
      </c>
      <c r="AQ72" s="48" t="e">
        <f>AP72-E72</f>
        <v>#REF!</v>
      </c>
      <c r="AR72" s="2"/>
      <c r="AS72" s="2"/>
      <c r="AT72" s="2"/>
    </row>
    <row r="73" spans="1:46" ht="16.2" customHeight="1" outlineLevel="2">
      <c r="A73" s="2" t="s">
        <v>191</v>
      </c>
      <c r="B73" s="44" t="s">
        <v>419</v>
      </c>
      <c r="C73" s="236" t="s">
        <v>402</v>
      </c>
      <c r="D73" s="313" t="s">
        <v>419</v>
      </c>
      <c r="E73" s="48">
        <f>'Consol Pull'!F73</f>
        <v>-4.7740941325855504</v>
      </c>
      <c r="F73" s="162">
        <f>WW!E12</f>
        <v>938.76305822000006</v>
      </c>
      <c r="G73" s="127">
        <f>WW!F12</f>
        <v>-0.10855255129142227</v>
      </c>
      <c r="H73" s="146">
        <f>WW!G12</f>
        <v>0</v>
      </c>
      <c r="I73" s="48">
        <f>'FIRM Load Pull'!E73</f>
        <v>0</v>
      </c>
      <c r="J73" s="48">
        <f>'Ship Load Pull'!E73</f>
        <v>0</v>
      </c>
      <c r="K73" s="127" t="str">
        <f>IF(ISERROR(I73/'FIRM Load Pull'!Q73-1),"-",IF(ABS(I73/'FIRM Load Pull'!Q73-1)&gt;1000%," - ",(I73/'FIRM Load Pull'!Q73-1)))</f>
        <v>-</v>
      </c>
      <c r="L73" s="48">
        <f>'FIRM Load Pull'!E73-'FIRM Load Pull'!F73</f>
        <v>0</v>
      </c>
      <c r="M73" s="48">
        <f>'FIRM Load Pull'!E73-'FIRM Load Pull'!G73</f>
        <v>0</v>
      </c>
      <c r="N73" s="216">
        <f>'Consol Pull'!G73</f>
        <v>-4.7740941325855504</v>
      </c>
      <c r="O73" s="48">
        <f t="shared" si="2"/>
        <v>4.7740941325855504</v>
      </c>
      <c r="P73" s="48">
        <f>I73-'Tracks Pull'!E73</f>
        <v>-407.69262076024188</v>
      </c>
      <c r="Q73" s="48">
        <f>M73-'Tracks Pull'!G73</f>
        <v>-82.172915556470628</v>
      </c>
      <c r="R73" s="127" t="e">
        <f>WW!#REF!</f>
        <v>#REF!</v>
      </c>
      <c r="S73" s="127" t="e">
        <f>WW!#REF!</f>
        <v>#REF!</v>
      </c>
      <c r="T73" s="127" t="e">
        <f>WW!#REF!</f>
        <v>#REF!</v>
      </c>
      <c r="U73" s="258" t="e">
        <f>WW!#REF!</f>
        <v>#REF!</v>
      </c>
      <c r="V73" s="48" t="e">
        <f>WW!#REF!</f>
        <v>#REF!</v>
      </c>
      <c r="W73" s="48" t="e">
        <f>WW!#REF!</f>
        <v>#REF!</v>
      </c>
      <c r="X73" s="48" t="e">
        <f>WW!#REF!</f>
        <v>#REF!</v>
      </c>
      <c r="Y73" s="48" t="e">
        <f>WW!#REF!</f>
        <v>#REF!</v>
      </c>
      <c r="Z73" s="48" t="e">
        <f>WW!#REF!</f>
        <v>#REF!</v>
      </c>
      <c r="AA73" s="126" t="e">
        <f>WW!#REF!</f>
        <v>#REF!</v>
      </c>
      <c r="AB73" s="146" t="e">
        <f>WW!#REF!</f>
        <v>#REF!</v>
      </c>
      <c r="AC73" s="126">
        <f>'Stream Pull'!F73</f>
        <v>0</v>
      </c>
      <c r="AD73" s="126">
        <f>'Stream Pull'!G73</f>
        <v>0</v>
      </c>
      <c r="AE73" s="126">
        <f>'Stream Pull'!H73</f>
        <v>0</v>
      </c>
      <c r="AF73" s="126">
        <f>'Stream Pull'!M73</f>
        <v>0</v>
      </c>
      <c r="AG73" s="48">
        <f>WW!Z12</f>
        <v>60.094630444956124</v>
      </c>
      <c r="AH73" s="216">
        <f>WW!AA12</f>
        <v>21.21979088002206</v>
      </c>
      <c r="AI73" s="48">
        <f>WW!AB12</f>
        <v>38.874839564934064</v>
      </c>
      <c r="AJ73" s="146">
        <f>WW!AC12</f>
        <v>0</v>
      </c>
      <c r="AK73" s="224">
        <f>WW!AD12</f>
        <v>294.09434143065619</v>
      </c>
      <c r="AL73" s="224">
        <f>WW!AE12</f>
        <v>-0.68672143747508341</v>
      </c>
      <c r="AM73" s="224">
        <f>WW!AF12</f>
        <v>-542.76359176142489</v>
      </c>
      <c r="AN73" s="146"/>
      <c r="AO73" s="48"/>
      <c r="AP73" s="216"/>
      <c r="AQ73" s="48"/>
      <c r="AR73" s="2"/>
      <c r="AS73" s="2"/>
      <c r="AT73" s="2"/>
    </row>
    <row r="74" spans="1:46" s="301" customFormat="1" ht="16.2" customHeight="1">
      <c r="A74" s="2"/>
      <c r="B74" s="44"/>
      <c r="C74" s="236"/>
      <c r="D74" s="320"/>
      <c r="E74" s="321">
        <f>'Consol Pull'!F74</f>
        <v>0</v>
      </c>
      <c r="F74" s="321"/>
      <c r="G74" s="328"/>
      <c r="H74" s="321"/>
      <c r="I74" s="321">
        <f>'FIRM Load Pull'!E74</f>
        <v>0</v>
      </c>
      <c r="J74" s="321">
        <f>'Ship Load Pull'!E74</f>
        <v>0</v>
      </c>
      <c r="K74" s="127" t="str">
        <f>IF(ISERROR(I74/'FIRM Load Pull'!Q74-1),"-",IF(ABS(I74/'FIRM Load Pull'!Q74-1)&gt;1000%," - ",(I74/'FIRM Load Pull'!Q74-1)))</f>
        <v>-</v>
      </c>
      <c r="L74" s="321">
        <f>'FIRM Load Pull'!E74-'FIRM Load Pull'!F74</f>
        <v>0</v>
      </c>
      <c r="M74" s="321">
        <f>'FIRM Load Pull'!E74-'FIRM Load Pull'!G74</f>
        <v>0</v>
      </c>
      <c r="N74" s="321">
        <f>'Consol Pull'!G74</f>
        <v>0</v>
      </c>
      <c r="O74" s="321">
        <f t="shared" si="2"/>
        <v>0</v>
      </c>
      <c r="P74" s="321">
        <f>I74-'Tracks Pull'!E74</f>
        <v>0</v>
      </c>
      <c r="Q74" s="321">
        <f>M74-'Tracks Pull'!G74</f>
        <v>0</v>
      </c>
      <c r="R74" s="322"/>
      <c r="S74" s="321"/>
      <c r="T74" s="321"/>
      <c r="U74" s="321"/>
      <c r="V74" s="321"/>
      <c r="W74" s="321"/>
      <c r="X74" s="321"/>
      <c r="Y74" s="321"/>
      <c r="Z74" s="321"/>
      <c r="AA74" s="321"/>
      <c r="AB74" s="321"/>
      <c r="AC74" s="321">
        <f>'Stream Pull'!F74</f>
        <v>0</v>
      </c>
      <c r="AD74" s="321">
        <f>'Stream Pull'!G74</f>
        <v>0</v>
      </c>
      <c r="AE74" s="321">
        <f>'Stream Pull'!H74</f>
        <v>0</v>
      </c>
      <c r="AF74" s="321">
        <f>'Stream Pull'!M74</f>
        <v>0</v>
      </c>
      <c r="AG74" s="321"/>
      <c r="AH74" s="321"/>
      <c r="AI74" s="321"/>
      <c r="AJ74" s="321"/>
      <c r="AK74" s="321"/>
      <c r="AL74" s="321"/>
      <c r="AM74" s="321"/>
      <c r="AN74" s="323"/>
      <c r="AO74" s="324"/>
      <c r="AP74" s="321"/>
      <c r="AQ74" s="324"/>
    </row>
    <row r="75" spans="1:46" ht="16.2" customHeight="1">
      <c r="A75" s="237" t="s">
        <v>218</v>
      </c>
      <c r="B75" s="236" t="s">
        <v>13</v>
      </c>
      <c r="C75" s="236" t="s">
        <v>13</v>
      </c>
      <c r="D75" s="309" t="s">
        <v>250</v>
      </c>
      <c r="E75" s="221">
        <f>'Consol Pull'!F75</f>
        <v>836.85793319208108</v>
      </c>
      <c r="F75" s="221"/>
      <c r="G75" s="222">
        <f>IF(ISERROR(E75/'Consol Pull'!T75-1),"-",IF(ABS(E75/'Consol Pull'!T75-1)&gt;1000%," - ",(E75/'Consol Pull'!T75-1)))</f>
        <v>-0.10855255129142227</v>
      </c>
      <c r="H75" s="146"/>
      <c r="I75" s="221">
        <f>'FIRM Load Pull'!E75</f>
        <v>233.99971098570003</v>
      </c>
      <c r="J75" s="221">
        <f>'Ship Load Pull'!E75</f>
        <v>159.49733518009984</v>
      </c>
      <c r="K75" s="222">
        <f>IF(ISERROR(I75/'FIRM Load Pull'!Q75-1),"-",IF(ABS(I75/'FIRM Load Pull'!Q75-1)&gt;1000%," - ",(I75/'FIRM Load Pull'!Q75-1)))</f>
        <v>0.1052554727165409</v>
      </c>
      <c r="L75" s="223">
        <f>'FIRM Load Pull'!E75-'FIRM Load Pull'!F75</f>
        <v>9.1554589400000452</v>
      </c>
      <c r="M75" s="223">
        <f>'FIRM Load Pull'!E75-'FIRM Load Pull'!G75</f>
        <v>19.927301798400094</v>
      </c>
      <c r="N75" s="223">
        <f>'Consol Pull'!G75</f>
        <v>815.63814231205902</v>
      </c>
      <c r="O75" s="223">
        <f t="shared" si="2"/>
        <v>-581.63843132635895</v>
      </c>
      <c r="P75" s="223">
        <f>I75-'Tracks Pull'!E75</f>
        <v>233.99971098570003</v>
      </c>
      <c r="Q75" s="223">
        <f>M75-'Tracks Pull'!G75</f>
        <v>19.927301798400094</v>
      </c>
      <c r="R75" s="222" t="e">
        <f>#REF!/'RETAIL Load Pull'!N75</f>
        <v>#REF!</v>
      </c>
      <c r="S75" s="222"/>
      <c r="T75" s="222"/>
      <c r="U75" s="257">
        <f>'RETAIL Load Pull'!E75-'RETAIL Load Pull'!F75</f>
        <v>12.107496007999998</v>
      </c>
      <c r="V75" s="221">
        <f>'RETAIL Load Pull'!E75-'RETAIL Load Pull'!G75</f>
        <v>48.63534006869952</v>
      </c>
      <c r="W75" s="223" t="e">
        <f>#REF!-N75</f>
        <v>#REF!</v>
      </c>
      <c r="X75" s="223"/>
      <c r="Y75" s="223" t="e">
        <f>#REF!-'Tracks Pull'!M73</f>
        <v>#REF!</v>
      </c>
      <c r="Z75" s="223"/>
      <c r="AA75" s="223">
        <f>V75-'Tracks Pull'!O73</f>
        <v>-33.537575487771107</v>
      </c>
      <c r="AB75" s="146"/>
      <c r="AC75" s="223">
        <f>'Stream Pull'!F75</f>
        <v>39.879982899999987</v>
      </c>
      <c r="AD75" s="223">
        <f>'Stream Pull'!G75</f>
        <v>-0.12001710000000901</v>
      </c>
      <c r="AE75" s="223">
        <f>'Stream Pull'!H75</f>
        <v>0</v>
      </c>
      <c r="AF75" s="223">
        <f>'Stream Pull'!M75</f>
        <v>20.334664644956145</v>
      </c>
      <c r="AG75" s="223">
        <f>AC75+AF75</f>
        <v>60.214647544956136</v>
      </c>
      <c r="AH75" s="329">
        <f>'Consol Pull'!F75-'Consol Pull'!G75+AC75</f>
        <v>61.099773780022048</v>
      </c>
      <c r="AI75" s="223">
        <f>AG75-AH75</f>
        <v>-0.88512623506591126</v>
      </c>
      <c r="AJ75" s="146"/>
      <c r="AK75" s="223">
        <f>I75+AG75</f>
        <v>294.21435853065617</v>
      </c>
      <c r="AL75" s="223"/>
      <c r="AM75" s="223">
        <f>AK75-E75</f>
        <v>-542.64357466142496</v>
      </c>
      <c r="AN75" s="146"/>
      <c r="AO75" s="223" t="e">
        <f>'FIRM Load Pull'!#REF!</f>
        <v>#REF!</v>
      </c>
      <c r="AP75" s="221" t="e">
        <f>I75+AG75+AO75</f>
        <v>#REF!</v>
      </c>
      <c r="AQ75" s="223" t="e">
        <f>AP75-E75</f>
        <v>#REF!</v>
      </c>
      <c r="AR75" s="2"/>
      <c r="AS75" s="2"/>
      <c r="AT75" s="2"/>
    </row>
    <row r="76" spans="1:46" ht="16.2" customHeight="1" outlineLevel="2">
      <c r="A76" s="2" t="s">
        <v>218</v>
      </c>
      <c r="B76" s="44" t="s">
        <v>243</v>
      </c>
      <c r="C76" s="236" t="s">
        <v>243</v>
      </c>
      <c r="D76" s="310" t="s">
        <v>243</v>
      </c>
      <c r="E76" s="48">
        <f>'Consol Pull'!F76</f>
        <v>794.91777760591413</v>
      </c>
      <c r="F76" s="162"/>
      <c r="G76" s="127">
        <f>IF(ISERROR(E76/'Consol Pull'!T76-1),"-",IF(ABS(E76/'Consol Pull'!T76-1)&gt;1000%," - ",(E76/'Consol Pull'!T76-1)))</f>
        <v>-0.11508200466264185</v>
      </c>
      <c r="H76" s="146"/>
      <c r="I76" s="48">
        <f>'FIRM Load Pull'!E76</f>
        <v>0</v>
      </c>
      <c r="J76" s="48">
        <f>'Ship Load Pull'!E76</f>
        <v>0</v>
      </c>
      <c r="K76" s="127" t="str">
        <f>IF(ISERROR(I76/'FIRM Load Pull'!Q76-1),"-",IF(ABS(I76/'FIRM Load Pull'!Q76-1)&gt;1000%," - ",(I76/'FIRM Load Pull'!Q76-1)))</f>
        <v>-</v>
      </c>
      <c r="L76" s="48">
        <f>'FIRM Load Pull'!E76-'FIRM Load Pull'!F76</f>
        <v>0</v>
      </c>
      <c r="M76" s="48">
        <f>'FIRM Load Pull'!E76-'FIRM Load Pull'!G76</f>
        <v>0</v>
      </c>
      <c r="N76" s="216">
        <f>'Consol Pull'!G76</f>
        <v>773.69798672589206</v>
      </c>
      <c r="O76" s="48">
        <f t="shared" si="2"/>
        <v>-773.69798672589206</v>
      </c>
      <c r="P76" s="48">
        <f>I76-'Tracks Pull'!E76</f>
        <v>-159.82799841112856</v>
      </c>
      <c r="Q76" s="48">
        <f>M76-'Tracks Pull'!G76</f>
        <v>-30.01102389809725</v>
      </c>
      <c r="R76" s="127" t="str">
        <f>IF(ISERROR(#REF!/'RETAIL Load Pull'!N76-1),"-",IF(ABS(#REF!/'RETAIL Load Pull'!N76-1)&gt;1000%," - ",(#REF!/'RETAIL Load Pull'!N76-1)))</f>
        <v>-</v>
      </c>
      <c r="S76" s="127"/>
      <c r="T76" s="127"/>
      <c r="U76" s="258">
        <f>'RETAIL Load Pull'!E76-'RETAIL Load Pull'!F76</f>
        <v>0</v>
      </c>
      <c r="V76" s="48">
        <f>'RETAIL Load Pull'!E76-'RETAIL Load Pull'!G76</f>
        <v>0</v>
      </c>
      <c r="W76" s="48" t="e">
        <f>#REF!-N76</f>
        <v>#REF!</v>
      </c>
      <c r="X76" s="48"/>
      <c r="Y76" s="48" t="e">
        <f>#REF!-'Tracks Pull'!M74</f>
        <v>#REF!</v>
      </c>
      <c r="Z76" s="48"/>
      <c r="AA76" s="126">
        <f>V76-'Tracks Pull'!O74</f>
        <v>0</v>
      </c>
      <c r="AB76" s="146"/>
      <c r="AC76" s="126">
        <f>'Stream Pull'!F76</f>
        <v>0</v>
      </c>
      <c r="AD76" s="126">
        <f>'Stream Pull'!G76</f>
        <v>0</v>
      </c>
      <c r="AE76" s="126">
        <f>'Stream Pull'!H76</f>
        <v>0</v>
      </c>
      <c r="AF76" s="126">
        <f>'Stream Pull'!M76</f>
        <v>0</v>
      </c>
      <c r="AG76" s="126">
        <f t="shared" ref="AG76:AG138" si="3">AC76+AF76</f>
        <v>0</v>
      </c>
      <c r="AH76" s="216">
        <f>'Consol Pull'!F76-'Consol Pull'!G76</f>
        <v>21.21979088002206</v>
      </c>
      <c r="AI76" s="48">
        <f t="shared" si="1"/>
        <v>-21.21979088002206</v>
      </c>
      <c r="AJ76" s="146"/>
      <c r="AK76" s="224">
        <f>I76+AG76</f>
        <v>0</v>
      </c>
      <c r="AL76" s="224"/>
      <c r="AM76" s="224">
        <f>AK76-E76</f>
        <v>-794.91777760591413</v>
      </c>
      <c r="AN76" s="146"/>
      <c r="AO76" s="48" t="e">
        <f>'FIRM Load Pull'!#REF!</f>
        <v>#REF!</v>
      </c>
      <c r="AP76" s="216" t="e">
        <f>I76+AG76+AO76</f>
        <v>#REF!</v>
      </c>
      <c r="AQ76" s="48" t="e">
        <f>AP76-E76</f>
        <v>#REF!</v>
      </c>
      <c r="AR76" s="2"/>
      <c r="AS76" s="2"/>
      <c r="AT76" s="2"/>
    </row>
    <row r="77" spans="1:46" ht="16.2" customHeight="1" outlineLevel="2">
      <c r="A77" s="2" t="s">
        <v>218</v>
      </c>
      <c r="B77" s="44" t="s">
        <v>234</v>
      </c>
      <c r="C77" s="236" t="s">
        <v>234</v>
      </c>
      <c r="D77" s="310" t="s">
        <v>234</v>
      </c>
      <c r="E77" s="48">
        <f>'Consol Pull'!F77</f>
        <v>41.940155586166902</v>
      </c>
      <c r="F77" s="162"/>
      <c r="G77" s="127">
        <f>IF(ISERROR(E77/'Consol Pull'!T77-1),"-",IF(ABS(E77/'Consol Pull'!T77-1)&gt;1000%," - ",(E77/'Consol Pull'!T77-1)))</f>
        <v>-0.1384294054200661</v>
      </c>
      <c r="H77" s="146"/>
      <c r="I77" s="48">
        <f>'FIRM Load Pull'!E77</f>
        <v>0</v>
      </c>
      <c r="J77" s="48">
        <f>'Ship Load Pull'!E77</f>
        <v>0</v>
      </c>
      <c r="K77" s="127" t="str">
        <f>IF(ISERROR(I77/'FIRM Load Pull'!Q77-1),"-",IF(ABS(I77/'FIRM Load Pull'!Q77-1)&gt;1000%," - ",(I77/'FIRM Load Pull'!Q77-1)))</f>
        <v>-</v>
      </c>
      <c r="L77" s="48">
        <f>'FIRM Load Pull'!E77-'FIRM Load Pull'!F77</f>
        <v>0</v>
      </c>
      <c r="M77" s="48">
        <f>'FIRM Load Pull'!E77-'FIRM Load Pull'!G77</f>
        <v>0</v>
      </c>
      <c r="N77" s="216">
        <f>'Consol Pull'!G77</f>
        <v>41.940155586166902</v>
      </c>
      <c r="O77" s="48">
        <f t="shared" si="2"/>
        <v>-41.940155586166902</v>
      </c>
      <c r="P77" s="48">
        <f>I77-'Tracks Pull'!E77</f>
        <v>-21.951207055228149</v>
      </c>
      <c r="Q77" s="48">
        <f>M77-'Tracks Pull'!G77</f>
        <v>-4.1877762728545171</v>
      </c>
      <c r="R77" s="127" t="str">
        <f>IF(ISERROR(#REF!/'RETAIL Load Pull'!N77-1),"-",IF(ABS(#REF!/'RETAIL Load Pull'!N77-1)&gt;1000%," - ",(#REF!/'RETAIL Load Pull'!N77-1)))</f>
        <v>-</v>
      </c>
      <c r="S77" s="127"/>
      <c r="T77" s="127"/>
      <c r="U77" s="258">
        <f>'RETAIL Load Pull'!E77-'RETAIL Load Pull'!F77</f>
        <v>0</v>
      </c>
      <c r="V77" s="48">
        <f>'RETAIL Load Pull'!E77-'RETAIL Load Pull'!G77</f>
        <v>0</v>
      </c>
      <c r="W77" s="48" t="e">
        <f>#REF!-N77</f>
        <v>#REF!</v>
      </c>
      <c r="X77" s="48"/>
      <c r="Y77" s="48" t="e">
        <f>#REF!-'Tracks Pull'!M75</f>
        <v>#REF!</v>
      </c>
      <c r="Z77" s="48"/>
      <c r="AA77" s="126">
        <f>V77-'Tracks Pull'!O75</f>
        <v>0</v>
      </c>
      <c r="AB77" s="146"/>
      <c r="AC77" s="126">
        <f>'Stream Pull'!F77</f>
        <v>40</v>
      </c>
      <c r="AD77" s="126">
        <f>'Stream Pull'!G77</f>
        <v>0</v>
      </c>
      <c r="AE77" s="126">
        <f>'Stream Pull'!H77</f>
        <v>0</v>
      </c>
      <c r="AF77" s="126">
        <f>'Stream Pull'!M77</f>
        <v>0</v>
      </c>
      <c r="AG77" s="126">
        <f t="shared" si="3"/>
        <v>40</v>
      </c>
      <c r="AH77" s="216">
        <f>'Consol Pull'!F77-'Consol Pull'!G77</f>
        <v>0</v>
      </c>
      <c r="AI77" s="48">
        <f t="shared" si="1"/>
        <v>40</v>
      </c>
      <c r="AJ77" s="146"/>
      <c r="AK77" s="224">
        <f>I77+AG77</f>
        <v>40</v>
      </c>
      <c r="AL77" s="224"/>
      <c r="AM77" s="224">
        <f>AK77-E77</f>
        <v>-1.9401555861669024</v>
      </c>
      <c r="AN77" s="146"/>
      <c r="AO77" s="48" t="e">
        <f>'FIRM Load Pull'!#REF!</f>
        <v>#REF!</v>
      </c>
      <c r="AP77" s="216" t="e">
        <f>I77+AG77+AO77</f>
        <v>#REF!</v>
      </c>
      <c r="AQ77" s="48" t="e">
        <f>AP77-E77</f>
        <v>#REF!</v>
      </c>
      <c r="AR77" s="2"/>
      <c r="AS77" s="2"/>
      <c r="AT77" s="2"/>
    </row>
    <row r="78" spans="1:46" s="140" customFormat="1" ht="16.2" customHeight="1" outlineLevel="1">
      <c r="A78" s="141" t="s">
        <v>218</v>
      </c>
      <c r="B78" s="46" t="s">
        <v>58</v>
      </c>
      <c r="C78" s="236" t="s">
        <v>58</v>
      </c>
      <c r="D78" s="311" t="s">
        <v>58</v>
      </c>
      <c r="E78" s="248">
        <f>'Consol Pull'!F78</f>
        <v>357.79324748163515</v>
      </c>
      <c r="F78" s="246"/>
      <c r="G78" s="127">
        <f>IF(ISERROR(E78/'Consol Pull'!T78-1),"-",IF(ABS(E78/'Consol Pull'!T78-1)&gt;1000%," - ",(E78/'Consol Pull'!T78-1)))</f>
        <v>-5.3950121128525375E-3</v>
      </c>
      <c r="H78" s="247"/>
      <c r="I78" s="248">
        <f>'FIRM Load Pull'!E78</f>
        <v>97.061502254100077</v>
      </c>
      <c r="J78" s="248">
        <f>'Ship Load Pull'!E78</f>
        <v>68.55202117230003</v>
      </c>
      <c r="K78" s="127">
        <f>IF(ISERROR(I78/'FIRM Load Pull'!Q78-1),"-",IF(ABS(I78/'FIRM Load Pull'!Q78-1)&gt;1000%," - ",(I78/'FIRM Load Pull'!Q78-1)))</f>
        <v>7.3660264669715092E-2</v>
      </c>
      <c r="L78" s="248">
        <f>'FIRM Load Pull'!E78-'FIRM Load Pull'!F78</f>
        <v>3.2462507200000061</v>
      </c>
      <c r="M78" s="248">
        <f>'FIRM Load Pull'!E78-'FIRM Load Pull'!G78</f>
        <v>3.2044904214999974</v>
      </c>
      <c r="N78" s="223">
        <f>'Consol Pull'!G78</f>
        <v>350.96596433844002</v>
      </c>
      <c r="O78" s="248">
        <f t="shared" si="2"/>
        <v>-253.90446208433994</v>
      </c>
      <c r="P78" s="248">
        <f>I78-'Tracks Pull'!E78</f>
        <v>97.044060131205086</v>
      </c>
      <c r="Q78" s="248">
        <f>M78-'Tracks Pull'!G78</f>
        <v>3.2033176986185632</v>
      </c>
      <c r="R78" s="127" t="str">
        <f>IF(ISERROR(#REF!/'RETAIL Load Pull'!N78-1),"-",IF(ABS(#REF!/'RETAIL Load Pull'!N78-1)&gt;1000%," - ",(#REF!/'RETAIL Load Pull'!N78-1)))</f>
        <v>-</v>
      </c>
      <c r="S78" s="127"/>
      <c r="T78" s="127"/>
      <c r="U78" s="262">
        <f>'RETAIL Load Pull'!E78-'RETAIL Load Pull'!F78</f>
        <v>0.21596277419996568</v>
      </c>
      <c r="V78" s="248">
        <f>'RETAIL Load Pull'!E78-'RETAIL Load Pull'!G78</f>
        <v>-1.4226306037000427</v>
      </c>
      <c r="W78" s="248" t="e">
        <f>#REF!-N78</f>
        <v>#REF!</v>
      </c>
      <c r="X78" s="248"/>
      <c r="Y78" s="248" t="e">
        <f>#REF!-'Tracks Pull'!M76</f>
        <v>#REF!</v>
      </c>
      <c r="Z78" s="248"/>
      <c r="AA78" s="250">
        <f>V78-'Tracks Pull'!O76</f>
        <v>-31.433654501797292</v>
      </c>
      <c r="AB78" s="247"/>
      <c r="AC78" s="250">
        <f>'Stream Pull'!F78</f>
        <v>-0.12772239000000901</v>
      </c>
      <c r="AD78" s="250">
        <f>'Stream Pull'!G78</f>
        <v>-0.12772239000000901</v>
      </c>
      <c r="AE78" s="250">
        <f>'Stream Pull'!H78</f>
        <v>0</v>
      </c>
      <c r="AF78" s="250">
        <f>'Stream Pull'!M78</f>
        <v>6.6008708306951949</v>
      </c>
      <c r="AG78" s="250">
        <f t="shared" si="3"/>
        <v>6.4731484406951862</v>
      </c>
      <c r="AH78" s="223">
        <f>'Consol Pull'!F78-'Consol Pull'!G78</f>
        <v>6.8272831431951317</v>
      </c>
      <c r="AI78" s="248">
        <f t="shared" si="1"/>
        <v>-0.3541347024999455</v>
      </c>
      <c r="AJ78" s="247"/>
      <c r="AK78" s="251">
        <f>I78+AG78</f>
        <v>103.53465069479526</v>
      </c>
      <c r="AL78" s="251"/>
      <c r="AM78" s="251">
        <f>AK78-E78</f>
        <v>-254.25859678683989</v>
      </c>
      <c r="AN78" s="247"/>
      <c r="AO78" s="248" t="e">
        <f>'FIRM Load Pull'!#REF!</f>
        <v>#REF!</v>
      </c>
      <c r="AP78" s="223" t="e">
        <f>I78+AG78+AO78</f>
        <v>#REF!</v>
      </c>
      <c r="AQ78" s="248" t="e">
        <f>AP78-E78</f>
        <v>#REF!</v>
      </c>
      <c r="AR78" s="141"/>
      <c r="AS78" s="141"/>
      <c r="AT78" s="141"/>
    </row>
    <row r="79" spans="1:46" ht="16.2" customHeight="1" outlineLevel="2">
      <c r="A79" s="2" t="s">
        <v>218</v>
      </c>
      <c r="B79" s="44" t="s">
        <v>17</v>
      </c>
      <c r="C79" s="236" t="s">
        <v>17</v>
      </c>
      <c r="D79" s="313" t="s">
        <v>327</v>
      </c>
      <c r="E79" s="48">
        <f>'Consol Pull'!F79</f>
        <v>49.711035731834897</v>
      </c>
      <c r="F79" s="162"/>
      <c r="G79" s="127" t="str">
        <f>IF(ISERROR(E79/'Consol Pull'!T79-1),"-",IF(ABS(E79/'Consol Pull'!T79-1)&gt;1000%," - ",(E79/'Consol Pull'!T79-1)))</f>
        <v>-</v>
      </c>
      <c r="H79" s="146"/>
      <c r="I79" s="48">
        <f>'FIRM Load Pull'!E79</f>
        <v>30.183916118699997</v>
      </c>
      <c r="J79" s="48">
        <f>'Ship Load Pull'!E79</f>
        <v>13.795128378700001</v>
      </c>
      <c r="K79" s="127">
        <f>IF(ISERROR(I79/'FIRM Load Pull'!Q79-1),"-",IF(ABS(I79/'FIRM Load Pull'!Q79-1)&gt;1000%," - ",(I79/'FIRM Load Pull'!Q79-1)))</f>
        <v>1.728671513803488</v>
      </c>
      <c r="L79" s="48">
        <f>'FIRM Load Pull'!E79-'FIRM Load Pull'!F79</f>
        <v>2.7737486800000006</v>
      </c>
      <c r="M79" s="48">
        <f>'FIRM Load Pull'!E79-'FIRM Load Pull'!G79</f>
        <v>1.6842227500000035</v>
      </c>
      <c r="N79" s="216">
        <f>'Consol Pull'!G79</f>
        <v>49.257960063254458</v>
      </c>
      <c r="O79" s="48">
        <f t="shared" ref="O79:O104" si="4">I79-N79</f>
        <v>-19.074043944554461</v>
      </c>
      <c r="P79" s="48">
        <f>I79-'Tracks Pull'!E79</f>
        <v>4.3947139325281981</v>
      </c>
      <c r="Q79" s="48">
        <f>M79-'Tracks Pull'!G79</f>
        <v>-2.9244007437537149</v>
      </c>
      <c r="R79" s="127" t="str">
        <f>IF(ISERROR(#REF!/'RETAIL Load Pull'!N79-1),"-",IF(ABS(#REF!/'RETAIL Load Pull'!N79-1)&gt;1000%," - ",(#REF!/'RETAIL Load Pull'!N79-1)))</f>
        <v>-</v>
      </c>
      <c r="S79" s="127"/>
      <c r="T79" s="127"/>
      <c r="U79" s="258">
        <f>'RETAIL Load Pull'!E79-'RETAIL Load Pull'!F79</f>
        <v>1.0079052000008915E-2</v>
      </c>
      <c r="V79" s="48">
        <f>'RETAIL Load Pull'!E79-'RETAIL Load Pull'!G79</f>
        <v>2.0363766820000109</v>
      </c>
      <c r="W79" s="48" t="e">
        <f>#REF!-N79</f>
        <v>#REF!</v>
      </c>
      <c r="X79" s="48"/>
      <c r="Y79" s="48" t="e">
        <f>#REF!-'Tracks Pull'!M77</f>
        <v>#REF!</v>
      </c>
      <c r="Z79" s="48"/>
      <c r="AA79" s="126">
        <f>V79-'Tracks Pull'!O77</f>
        <v>-2.1513995908545063</v>
      </c>
      <c r="AB79" s="146"/>
      <c r="AC79" s="126">
        <f>'Stream Pull'!F79</f>
        <v>-0.12922272000001001</v>
      </c>
      <c r="AD79" s="126">
        <f>'Stream Pull'!G79</f>
        <v>-0.12922272000001001</v>
      </c>
      <c r="AE79" s="126">
        <f>'Stream Pull'!H79</f>
        <v>0</v>
      </c>
      <c r="AF79" s="126">
        <f>'Stream Pull'!M79</f>
        <v>1.3223082048092099</v>
      </c>
      <c r="AG79" s="126">
        <f t="shared" si="3"/>
        <v>1.1930854848091998</v>
      </c>
      <c r="AH79" s="216">
        <f>'Consol Pull'!F79-'Consol Pull'!G79</f>
        <v>0.45307566858043913</v>
      </c>
      <c r="AI79" s="48">
        <f t="shared" si="1"/>
        <v>0.74000981622876072</v>
      </c>
      <c r="AJ79" s="146"/>
      <c r="AK79" s="224">
        <f>I79+AG79</f>
        <v>31.377001603509196</v>
      </c>
      <c r="AL79" s="224"/>
      <c r="AM79" s="224">
        <f>AK79-E79</f>
        <v>-18.334034128325701</v>
      </c>
      <c r="AN79" s="146"/>
      <c r="AO79" s="48" t="e">
        <f>'FIRM Load Pull'!#REF!</f>
        <v>#REF!</v>
      </c>
      <c r="AP79" s="216" t="e">
        <f>I79+AG79+AO79</f>
        <v>#REF!</v>
      </c>
      <c r="AQ79" s="48" t="e">
        <f>AP79-E79</f>
        <v>#REF!</v>
      </c>
      <c r="AR79" s="2"/>
      <c r="AS79" s="2"/>
      <c r="AT79" s="2"/>
    </row>
    <row r="80" spans="1:46" ht="16.2" customHeight="1" outlineLevel="2">
      <c r="A80" s="2" t="s">
        <v>218</v>
      </c>
      <c r="B80" s="44" t="s">
        <v>18</v>
      </c>
      <c r="C80" s="236" t="s">
        <v>18</v>
      </c>
      <c r="D80" s="313" t="s">
        <v>328</v>
      </c>
      <c r="E80" s="48">
        <f>'Consol Pull'!F80</f>
        <v>3.3233866347914032E-2</v>
      </c>
      <c r="F80" s="162"/>
      <c r="G80" s="127" t="str">
        <f>IF(ISERROR(E80/'Consol Pull'!T80-1),"-",IF(ABS(E80/'Consol Pull'!T80-1)&gt;1000%," - ",(E80/'Consol Pull'!T80-1)))</f>
        <v>-</v>
      </c>
      <c r="H80" s="146"/>
      <c r="I80" s="48">
        <f>'FIRM Load Pull'!E80</f>
        <v>5.1177149999999998E-2</v>
      </c>
      <c r="J80" s="48">
        <f>'Ship Load Pull'!E80</f>
        <v>5.1177149999999998E-2</v>
      </c>
      <c r="K80" s="127">
        <f>IF(ISERROR(I80/'FIRM Load Pull'!Q80-1),"-",IF(ABS(I80/'FIRM Load Pull'!Q80-1)&gt;1000%," - ",(I80/'FIRM Load Pull'!Q80-1)))</f>
        <v>-0.99343439035545622</v>
      </c>
      <c r="L80" s="48">
        <f>'FIRM Load Pull'!E80-'FIRM Load Pull'!F80</f>
        <v>0</v>
      </c>
      <c r="M80" s="48">
        <f>'FIRM Load Pull'!E80-'FIRM Load Pull'!G80</f>
        <v>-1.3661300000000001E-3</v>
      </c>
      <c r="N80" s="216">
        <f>'Consol Pull'!G80</f>
        <v>0.17700888714975299</v>
      </c>
      <c r="O80" s="48">
        <f t="shared" si="4"/>
        <v>-0.12583173714975299</v>
      </c>
      <c r="P80" s="48">
        <f>I80-'Tracks Pull'!E80</f>
        <v>-43.827236553019588</v>
      </c>
      <c r="Q80" s="48">
        <f>M80-'Tracks Pull'!G80</f>
        <v>-8.750757862955501</v>
      </c>
      <c r="R80" s="127" t="str">
        <f>IF(ISERROR(#REF!/'RETAIL Load Pull'!N80-1),"-",IF(ABS(#REF!/'RETAIL Load Pull'!N80-1)&gt;1000%," - ",(#REF!/'RETAIL Load Pull'!N80-1)))</f>
        <v>-</v>
      </c>
      <c r="S80" s="127"/>
      <c r="T80" s="127"/>
      <c r="U80" s="258">
        <f>'RETAIL Load Pull'!E80-'RETAIL Load Pull'!F80</f>
        <v>0</v>
      </c>
      <c r="V80" s="48">
        <f>'RETAIL Load Pull'!E80-'RETAIL Load Pull'!G80</f>
        <v>-1.3661300000000001E-3</v>
      </c>
      <c r="W80" s="48" t="e">
        <f>#REF!-N80</f>
        <v>#REF!</v>
      </c>
      <c r="X80" s="48"/>
      <c r="Y80" s="48" t="e">
        <f>#REF!-'Tracks Pull'!M78</f>
        <v>#REF!</v>
      </c>
      <c r="Z80" s="48"/>
      <c r="AA80" s="126">
        <f>V80-'Tracks Pull'!O78</f>
        <v>-2.5388528814339999E-3</v>
      </c>
      <c r="AB80" s="146"/>
      <c r="AC80" s="126">
        <f>'Stream Pull'!F80</f>
        <v>0</v>
      </c>
      <c r="AD80" s="126">
        <f>'Stream Pull'!G80</f>
        <v>0</v>
      </c>
      <c r="AE80" s="126">
        <f>'Stream Pull'!H80</f>
        <v>0</v>
      </c>
      <c r="AF80" s="126">
        <f>'Stream Pull'!M80</f>
        <v>3.5560864849894E-2</v>
      </c>
      <c r="AG80" s="126">
        <f t="shared" si="3"/>
        <v>3.5560864849894E-2</v>
      </c>
      <c r="AH80" s="216">
        <f>'Consol Pull'!F80-'Consol Pull'!G80</f>
        <v>-0.14377502080183896</v>
      </c>
      <c r="AI80" s="48">
        <f t="shared" si="1"/>
        <v>0.17933588565173297</v>
      </c>
      <c r="AJ80" s="146"/>
      <c r="AK80" s="224">
        <f>I80+AG80</f>
        <v>8.6738014849893991E-2</v>
      </c>
      <c r="AL80" s="224"/>
      <c r="AM80" s="224">
        <f>AK80-E80</f>
        <v>5.3504148501979959E-2</v>
      </c>
      <c r="AN80" s="146"/>
      <c r="AO80" s="48" t="e">
        <f>'FIRM Load Pull'!#REF!</f>
        <v>#REF!</v>
      </c>
      <c r="AP80" s="216" t="e">
        <f>I80+AG80+AO80</f>
        <v>#REF!</v>
      </c>
      <c r="AQ80" s="48" t="e">
        <f>AP80-E80</f>
        <v>#REF!</v>
      </c>
      <c r="AR80" s="2"/>
      <c r="AS80" s="2"/>
      <c r="AT80" s="2"/>
    </row>
    <row r="81" spans="1:46" ht="16.2" customHeight="1" outlineLevel="2">
      <c r="A81" s="2" t="s">
        <v>218</v>
      </c>
      <c r="B81" s="44" t="s">
        <v>19</v>
      </c>
      <c r="C81" s="236" t="s">
        <v>19</v>
      </c>
      <c r="D81" s="313" t="s">
        <v>329</v>
      </c>
      <c r="E81" s="48">
        <f>'Consol Pull'!F81</f>
        <v>54.776373461076247</v>
      </c>
      <c r="F81" s="162"/>
      <c r="G81" s="127" t="str">
        <f>IF(ISERROR(E81/'Consol Pull'!T81-1),"-",IF(ABS(E81/'Consol Pull'!T81-1)&gt;1000%," - ",(E81/'Consol Pull'!T81-1)))</f>
        <v>-</v>
      </c>
      <c r="H81" s="146"/>
      <c r="I81" s="48">
        <f>'FIRM Load Pull'!E81</f>
        <v>24.64793845469999</v>
      </c>
      <c r="J81" s="48">
        <f>'Ship Load Pull'!E81</f>
        <v>15.209081292000004</v>
      </c>
      <c r="K81" s="127">
        <f>IF(ISERROR(I81/'FIRM Load Pull'!Q81-1),"-",IF(ABS(I81/'FIRM Load Pull'!Q81-1)&gt;1000%," - ",(I81/'FIRM Load Pull'!Q81-1)))</f>
        <v>0.43328447304703022</v>
      </c>
      <c r="L81" s="48">
        <f>'FIRM Load Pull'!E81-'FIRM Load Pull'!F81</f>
        <v>0.29380122000000242</v>
      </c>
      <c r="M81" s="48">
        <f>'FIRM Load Pull'!E81-'FIRM Load Pull'!G81</f>
        <v>1.9342455714999964</v>
      </c>
      <c r="N81" s="216">
        <f>'Consol Pull'!G81</f>
        <v>52.942311537979784</v>
      </c>
      <c r="O81" s="48">
        <f t="shared" si="4"/>
        <v>-28.294373083279794</v>
      </c>
      <c r="P81" s="48">
        <f>I81-'Tracks Pull'!E81</f>
        <v>10.11886252567286</v>
      </c>
      <c r="Q81" s="48">
        <f>M81-'Tracks Pull'!G81</f>
        <v>-0.77733292986615332</v>
      </c>
      <c r="R81" s="127" t="str">
        <f>IF(ISERROR(#REF!/'RETAIL Load Pull'!N81-1),"-",IF(ABS(#REF!/'RETAIL Load Pull'!N81-1)&gt;1000%," - ",(#REF!/'RETAIL Load Pull'!N81-1)))</f>
        <v>-</v>
      </c>
      <c r="S81" s="127"/>
      <c r="T81" s="127"/>
      <c r="U81" s="258">
        <f>'RETAIL Load Pull'!E81-'RETAIL Load Pull'!F81</f>
        <v>0.67520972520000555</v>
      </c>
      <c r="V81" s="48">
        <f>'RETAIL Load Pull'!E81-'RETAIL Load Pull'!G81</f>
        <v>3.5762140367000086</v>
      </c>
      <c r="W81" s="48" t="e">
        <f>#REF!-N81</f>
        <v>#REF!</v>
      </c>
      <c r="X81" s="48"/>
      <c r="Y81" s="48" t="e">
        <f>#REF!-'Tracks Pull'!M79</f>
        <v>#REF!</v>
      </c>
      <c r="Z81" s="48"/>
      <c r="AA81" s="126">
        <f>V81-'Tracks Pull'!O79</f>
        <v>-1.0324094570537099</v>
      </c>
      <c r="AB81" s="146"/>
      <c r="AC81" s="126">
        <f>'Stream Pull'!F81</f>
        <v>0</v>
      </c>
      <c r="AD81" s="126">
        <f>'Stream Pull'!G81</f>
        <v>0</v>
      </c>
      <c r="AE81" s="126">
        <f>'Stream Pull'!H81</f>
        <v>0</v>
      </c>
      <c r="AF81" s="126">
        <f>'Stream Pull'!M81</f>
        <v>0.907190065193622</v>
      </c>
      <c r="AG81" s="126">
        <f t="shared" si="3"/>
        <v>0.907190065193622</v>
      </c>
      <c r="AH81" s="216">
        <f>'Consol Pull'!F81-'Consol Pull'!G81</f>
        <v>1.8340619230964634</v>
      </c>
      <c r="AI81" s="48">
        <f t="shared" si="1"/>
        <v>-0.92687185790284143</v>
      </c>
      <c r="AJ81" s="146"/>
      <c r="AK81" s="224">
        <f>I81+AG81</f>
        <v>25.555128519893611</v>
      </c>
      <c r="AL81" s="224"/>
      <c r="AM81" s="224">
        <f>AK81-E81</f>
        <v>-29.221244941182636</v>
      </c>
      <c r="AN81" s="146"/>
      <c r="AO81" s="48" t="e">
        <f>'FIRM Load Pull'!#REF!</f>
        <v>#REF!</v>
      </c>
      <c r="AP81" s="216" t="e">
        <f>I81+AG81+AO81</f>
        <v>#REF!</v>
      </c>
      <c r="AQ81" s="48" t="e">
        <f>AP81-E81</f>
        <v>#REF!</v>
      </c>
      <c r="AR81" s="2"/>
      <c r="AS81" s="2"/>
      <c r="AT81" s="2"/>
    </row>
    <row r="82" spans="1:46" ht="16.2" customHeight="1" outlineLevel="2">
      <c r="A82" s="2" t="s">
        <v>218</v>
      </c>
      <c r="B82" s="44" t="s">
        <v>77</v>
      </c>
      <c r="C82" s="236" t="s">
        <v>77</v>
      </c>
      <c r="D82" s="313" t="s">
        <v>330</v>
      </c>
      <c r="E82" s="48">
        <f>'Consol Pull'!F82</f>
        <v>105.85834677470923</v>
      </c>
      <c r="F82" s="162"/>
      <c r="G82" s="127" t="str">
        <f>IF(ISERROR(E82/'Consol Pull'!T82-1),"-",IF(ABS(E82/'Consol Pull'!T82-1)&gt;1000%," - ",(E82/'Consol Pull'!T82-1)))</f>
        <v>-</v>
      </c>
      <c r="H82" s="146"/>
      <c r="I82" s="48">
        <f>'FIRM Load Pull'!E82</f>
        <v>16.214778402700002</v>
      </c>
      <c r="J82" s="48">
        <f>'Ship Load Pull'!E82</f>
        <v>15.915988763600001</v>
      </c>
      <c r="K82" s="127">
        <f>IF(ISERROR(I82/'FIRM Load Pull'!Q82-1),"-",IF(ABS(I82/'FIRM Load Pull'!Q82-1)&gt;1000%," - ",(I82/'FIRM Load Pull'!Q82-1)))</f>
        <v>-0.24714839549776013</v>
      </c>
      <c r="L82" s="48">
        <f>'FIRM Load Pull'!E82-'FIRM Load Pull'!F82</f>
        <v>0</v>
      </c>
      <c r="M82" s="48">
        <f>'FIRM Load Pull'!E82-'FIRM Load Pull'!G82</f>
        <v>-0.20558566999999783</v>
      </c>
      <c r="N82" s="216">
        <f>'Consol Pull'!G82</f>
        <v>103.87062472822953</v>
      </c>
      <c r="O82" s="48">
        <f t="shared" si="4"/>
        <v>-87.655846325529524</v>
      </c>
      <c r="P82" s="48">
        <f>I82-'Tracks Pull'!E82</f>
        <v>8.487801651411921</v>
      </c>
      <c r="Q82" s="48">
        <f>M82-'Tracks Pull'!G82</f>
        <v>-1.5139104302896973</v>
      </c>
      <c r="R82" s="127" t="str">
        <f>IF(ISERROR(#REF!/'RETAIL Load Pull'!N82-1),"-",IF(ABS(#REF!/'RETAIL Load Pull'!N82-1)&gt;1000%," - ",(#REF!/'RETAIL Load Pull'!N82-1)))</f>
        <v>-</v>
      </c>
      <c r="S82" s="127"/>
      <c r="T82" s="127"/>
      <c r="U82" s="258">
        <f>'RETAIL Load Pull'!E82-'RETAIL Load Pull'!F82</f>
        <v>0</v>
      </c>
      <c r="V82" s="48">
        <f>'RETAIL Load Pull'!E82-'RETAIL Load Pull'!G82</f>
        <v>-8.3467885400000341</v>
      </c>
      <c r="W82" s="48" t="e">
        <f>#REF!-N82</f>
        <v>#REF!</v>
      </c>
      <c r="X82" s="48"/>
      <c r="Y82" s="48" t="e">
        <f>#REF!-'Tracks Pull'!M80</f>
        <v>#REF!</v>
      </c>
      <c r="Z82" s="48"/>
      <c r="AA82" s="126">
        <f>V82-'Tracks Pull'!O80</f>
        <v>-17.096180272955536</v>
      </c>
      <c r="AB82" s="146"/>
      <c r="AC82" s="126">
        <f>'Stream Pull'!F82</f>
        <v>0</v>
      </c>
      <c r="AD82" s="126">
        <f>'Stream Pull'!G82</f>
        <v>0</v>
      </c>
      <c r="AE82" s="126">
        <f>'Stream Pull'!H82</f>
        <v>0</v>
      </c>
      <c r="AF82" s="126">
        <f>'Stream Pull'!M82</f>
        <v>1.6085695138110701</v>
      </c>
      <c r="AG82" s="126">
        <f t="shared" si="3"/>
        <v>1.6085695138110701</v>
      </c>
      <c r="AH82" s="216">
        <f>'Consol Pull'!F82-'Consol Pull'!G82</f>
        <v>1.9877220464797034</v>
      </c>
      <c r="AI82" s="48">
        <f t="shared" si="1"/>
        <v>-0.37915253266863336</v>
      </c>
      <c r="AJ82" s="146"/>
      <c r="AK82" s="224">
        <f>I82+AG82</f>
        <v>17.823347916511072</v>
      </c>
      <c r="AL82" s="224"/>
      <c r="AM82" s="224">
        <f>AK82-E82</f>
        <v>-88.034998858198165</v>
      </c>
      <c r="AN82" s="146"/>
      <c r="AO82" s="48" t="e">
        <f>'FIRM Load Pull'!#REF!</f>
        <v>#REF!</v>
      </c>
      <c r="AP82" s="216" t="e">
        <f>I82+AG82+AO82</f>
        <v>#REF!</v>
      </c>
      <c r="AQ82" s="48" t="e">
        <f>AP82-E82</f>
        <v>#REF!</v>
      </c>
      <c r="AR82" s="2"/>
      <c r="AS82" s="2"/>
      <c r="AT82" s="2"/>
    </row>
    <row r="83" spans="1:46" ht="16.2" customHeight="1" outlineLevel="2">
      <c r="A83" s="2" t="s">
        <v>218</v>
      </c>
      <c r="B83" s="44" t="s">
        <v>78</v>
      </c>
      <c r="C83" s="236" t="s">
        <v>78</v>
      </c>
      <c r="D83" s="313" t="s">
        <v>426</v>
      </c>
      <c r="E83" s="48">
        <f>'Consol Pull'!F83</f>
        <v>31.836054896007585</v>
      </c>
      <c r="F83" s="162"/>
      <c r="G83" s="127" t="str">
        <f>IF(ISERROR(E83/'Consol Pull'!T83-1),"-",IF(ABS(E83/'Consol Pull'!T83-1)&gt;1000%," - ",(E83/'Consol Pull'!T83-1)))</f>
        <v>-</v>
      </c>
      <c r="H83" s="146"/>
      <c r="I83" s="48">
        <f>'FIRM Load Pull'!E83</f>
        <v>1.9831018200000001</v>
      </c>
      <c r="J83" s="48">
        <f>'Ship Load Pull'!E83</f>
        <v>1.7086665699999999</v>
      </c>
      <c r="K83" s="127">
        <f>IF(ISERROR(I83/'FIRM Load Pull'!Q83-1),"-",IF(ABS(I83/'FIRM Load Pull'!Q83-1)&gt;1000%," - ",(I83/'FIRM Load Pull'!Q83-1)))</f>
        <v>-0.19422825003811783</v>
      </c>
      <c r="L83" s="48">
        <f>'FIRM Load Pull'!E83-'FIRM Load Pull'!F83</f>
        <v>4.1470300000001625E-3</v>
      </c>
      <c r="M83" s="48">
        <f>'FIRM Load Pull'!E83-'FIRM Load Pull'!G83</f>
        <v>-0.84564166999999979</v>
      </c>
      <c r="N83" s="216">
        <f>'Consol Pull'!G83</f>
        <v>31.646445901331774</v>
      </c>
      <c r="O83" s="48">
        <f t="shared" si="4"/>
        <v>-29.663344081331772</v>
      </c>
      <c r="P83" s="48">
        <f>I83-'Tracks Pull'!E83</f>
        <v>1.2832169762985091</v>
      </c>
      <c r="Q83" s="48">
        <f>M83-'Tracks Pull'!G83</f>
        <v>-0.98783732330190888</v>
      </c>
      <c r="R83" s="127" t="str">
        <f>IF(ISERROR(#REF!/'RETAIL Load Pull'!N83-1),"-",IF(ABS(#REF!/'RETAIL Load Pull'!N83-1)&gt;1000%," - ",(#REF!/'RETAIL Load Pull'!N83-1)))</f>
        <v>-</v>
      </c>
      <c r="S83" s="127"/>
      <c r="T83" s="127"/>
      <c r="U83" s="258">
        <f>'RETAIL Load Pull'!E83-'RETAIL Load Pull'!F83</f>
        <v>-0.36458124800000036</v>
      </c>
      <c r="V83" s="48">
        <f>'RETAIL Load Pull'!E83-'RETAIL Load Pull'!G83</f>
        <v>-1.4395090879999941</v>
      </c>
      <c r="W83" s="48" t="e">
        <f>#REF!-N83</f>
        <v>#REF!</v>
      </c>
      <c r="X83" s="48"/>
      <c r="Y83" s="48" t="e">
        <f>#REF!-'Tracks Pull'!M81</f>
        <v>#REF!</v>
      </c>
      <c r="Z83" s="48"/>
      <c r="AA83" s="126">
        <f>V83-'Tracks Pull'!O81</f>
        <v>-4.1510875893661439</v>
      </c>
      <c r="AB83" s="146"/>
      <c r="AC83" s="126">
        <f>'Stream Pull'!F83</f>
        <v>0</v>
      </c>
      <c r="AD83" s="126">
        <f>'Stream Pull'!G83</f>
        <v>0</v>
      </c>
      <c r="AE83" s="126">
        <f>'Stream Pull'!H83</f>
        <v>0</v>
      </c>
      <c r="AF83" s="126">
        <f>'Stream Pull'!M83</f>
        <v>0.39531898242098601</v>
      </c>
      <c r="AG83" s="126">
        <f t="shared" si="3"/>
        <v>0.39531898242098601</v>
      </c>
      <c r="AH83" s="216">
        <f>'Consol Pull'!F83-'Consol Pull'!G83</f>
        <v>0.18960899467581172</v>
      </c>
      <c r="AI83" s="48">
        <f t="shared" si="1"/>
        <v>0.20570998774517429</v>
      </c>
      <c r="AJ83" s="146"/>
      <c r="AK83" s="224">
        <f>I83+AG83</f>
        <v>2.3784208024209863</v>
      </c>
      <c r="AL83" s="224"/>
      <c r="AM83" s="224">
        <f>AK83-E83</f>
        <v>-29.457634093586599</v>
      </c>
      <c r="AN83" s="146"/>
      <c r="AO83" s="48" t="e">
        <f>'FIRM Load Pull'!#REF!</f>
        <v>#REF!</v>
      </c>
      <c r="AP83" s="216" t="e">
        <f>I83+AG83+AO83</f>
        <v>#REF!</v>
      </c>
      <c r="AQ83" s="48" t="e">
        <f>AP83-E83</f>
        <v>#REF!</v>
      </c>
      <c r="AR83" s="2"/>
      <c r="AS83" s="2"/>
      <c r="AT83" s="2"/>
    </row>
    <row r="84" spans="1:46" ht="16.2" customHeight="1" outlineLevel="2">
      <c r="A84" s="2" t="s">
        <v>218</v>
      </c>
      <c r="B84" s="44" t="s">
        <v>393</v>
      </c>
      <c r="C84" s="236" t="s">
        <v>393</v>
      </c>
      <c r="D84" s="313" t="s">
        <v>427</v>
      </c>
      <c r="E84" s="48">
        <f>'Consol Pull'!F84</f>
        <v>14.8690206535352</v>
      </c>
      <c r="F84" s="162"/>
      <c r="G84" s="127"/>
      <c r="H84" s="146"/>
      <c r="I84" s="48">
        <f>'FIRM Load Pull'!E84</f>
        <v>9.4218040099999971</v>
      </c>
      <c r="J84" s="48">
        <f>'Ship Load Pull'!E84</f>
        <v>8.1764370199999981</v>
      </c>
      <c r="K84" s="127">
        <f>IF(ISERROR(I84/'FIRM Load Pull'!Q84-1),"-",IF(ABS(I84/'FIRM Load Pull'!Q84-1)&gt;1000%," - ",(I84/'FIRM Load Pull'!Q84-1)))</f>
        <v>1.2669718208791543</v>
      </c>
      <c r="L84" s="48">
        <f>'FIRM Load Pull'!E84-'FIRM Load Pull'!F84</f>
        <v>0</v>
      </c>
      <c r="M84" s="48">
        <f>'FIRM Load Pull'!E84-'FIRM Load Pull'!G84</f>
        <v>1.8351770999999975</v>
      </c>
      <c r="N84" s="216">
        <f>'Consol Pull'!G84</f>
        <v>14.8690206535352</v>
      </c>
      <c r="O84" s="48">
        <f t="shared" si="4"/>
        <v>-5.447216643535203</v>
      </c>
      <c r="P84" s="48">
        <f>I84-'Tracks Pull'!E84</f>
        <v>-11.467786770739393</v>
      </c>
      <c r="Q84" s="48">
        <f>M84-'Tracks Pull'!G84</f>
        <v>-2.1407081113749111</v>
      </c>
      <c r="R84" s="127" t="str">
        <f>IF(ISERROR(#REF!/'RETAIL Load Pull'!N84-1),"-",IF(ABS(#REF!/'RETAIL Load Pull'!N84-1)&gt;1000%," - ",(#REF!/'RETAIL Load Pull'!N84-1)))</f>
        <v>-</v>
      </c>
      <c r="S84" s="127"/>
      <c r="T84" s="127"/>
      <c r="U84" s="258">
        <f>'RETAIL Load Pull'!E84-'RETAIL Load Pull'!F84</f>
        <v>0</v>
      </c>
      <c r="V84" s="48">
        <f>'RETAIL Load Pull'!E84-'RETAIL Load Pull'!G84</f>
        <v>1.8327906176000059</v>
      </c>
      <c r="W84" s="48" t="e">
        <f>#REF!-N84</f>
        <v>#REF!</v>
      </c>
      <c r="X84" s="48"/>
      <c r="Y84" s="48" t="e">
        <f>#REF!-'Tracks Pull'!M82</f>
        <v>#REF!</v>
      </c>
      <c r="Z84" s="48"/>
      <c r="AA84" s="126">
        <f>V84-'Tracks Pull'!O82</f>
        <v>0.52446585731030648</v>
      </c>
      <c r="AB84" s="146"/>
      <c r="AC84" s="126">
        <f>'Stream Pull'!F84</f>
        <v>0</v>
      </c>
      <c r="AD84" s="126">
        <f>'Stream Pull'!G84</f>
        <v>0</v>
      </c>
      <c r="AE84" s="126">
        <f>'Stream Pull'!H84</f>
        <v>0</v>
      </c>
      <c r="AF84" s="126">
        <f>'Stream Pull'!M84</f>
        <v>0.11960767337411</v>
      </c>
      <c r="AG84" s="126">
        <f t="shared" si="3"/>
        <v>0.11960767337411</v>
      </c>
      <c r="AH84" s="216">
        <f>'Consol Pull'!F84-'Consol Pull'!G84</f>
        <v>0</v>
      </c>
      <c r="AI84" s="48">
        <f>AG84-AH84</f>
        <v>0.11960767337411</v>
      </c>
      <c r="AJ84" s="146"/>
      <c r="AK84" s="224">
        <f>I84+AG84</f>
        <v>9.5414116833741076</v>
      </c>
      <c r="AL84" s="224"/>
      <c r="AM84" s="224">
        <f>AK84-E84</f>
        <v>-5.3276089701610925</v>
      </c>
      <c r="AN84" s="146"/>
      <c r="AO84" s="48"/>
      <c r="AP84" s="216"/>
      <c r="AQ84" s="48"/>
      <c r="AR84" s="2"/>
      <c r="AS84" s="2"/>
      <c r="AT84" s="2"/>
    </row>
    <row r="85" spans="1:46" ht="16.2" customHeight="1" outlineLevel="2">
      <c r="A85" s="2" t="s">
        <v>218</v>
      </c>
      <c r="B85" s="44" t="s">
        <v>80</v>
      </c>
      <c r="C85" s="236" t="s">
        <v>80</v>
      </c>
      <c r="D85" s="313" t="s">
        <v>331</v>
      </c>
      <c r="E85" s="48">
        <f>'Consol Pull'!F85</f>
        <v>2.0096294874834904</v>
      </c>
      <c r="F85" s="162"/>
      <c r="G85" s="127" t="str">
        <f>IF(ISERROR(E85/'Consol Pull'!T85-1),"-",IF(ABS(E85/'Consol Pull'!T85-1)&gt;1000%," - ",(E85/'Consol Pull'!T85-1)))</f>
        <v>-</v>
      </c>
      <c r="H85" s="146"/>
      <c r="I85" s="48">
        <f>'FIRM Load Pull'!E85</f>
        <v>-2.9409853199999993</v>
      </c>
      <c r="J85" s="48">
        <f>'Ship Load Pull'!E85</f>
        <v>2.2647969799999998</v>
      </c>
      <c r="K85" s="127">
        <f>IF(ISERROR(I85/'FIRM Load Pull'!Q85-1),"-",IF(ABS(I85/'FIRM Load Pull'!Q85-1)&gt;1000%," - ",(I85/'FIRM Load Pull'!Q85-1)))</f>
        <v>-0.16197027067144742</v>
      </c>
      <c r="L85" s="48">
        <f>'FIRM Load Pull'!E85-'FIRM Load Pull'!F85</f>
        <v>0</v>
      </c>
      <c r="M85" s="48">
        <f>'FIRM Load Pull'!E85-'FIRM Load Pull'!G85</f>
        <v>-1.0697253199999994</v>
      </c>
      <c r="N85" s="216">
        <f>'Consol Pull'!G85</f>
        <v>1.73791473902062</v>
      </c>
      <c r="O85" s="48">
        <f t="shared" si="4"/>
        <v>-4.6789000590206191</v>
      </c>
      <c r="P85" s="48">
        <f>I85-'Tracks Pull'!E85</f>
        <v>-27.287190359057949</v>
      </c>
      <c r="Q85" s="48">
        <f>M85-'Tracks Pull'!G85</f>
        <v>-5.3958008693194408</v>
      </c>
      <c r="R85" s="127" t="str">
        <f>IF(ISERROR(#REF!/'RETAIL Load Pull'!N85-1),"-",IF(ABS(#REF!/'RETAIL Load Pull'!N85-1)&gt;1000%," - ",(#REF!/'RETAIL Load Pull'!N85-1)))</f>
        <v>-</v>
      </c>
      <c r="S85" s="127"/>
      <c r="T85" s="127"/>
      <c r="U85" s="258">
        <f>'RETAIL Load Pull'!E85-'RETAIL Load Pull'!F85</f>
        <v>0</v>
      </c>
      <c r="V85" s="48">
        <f>'RETAIL Load Pull'!E85-'RETAIL Load Pull'!G85</f>
        <v>1.6517064000000001</v>
      </c>
      <c r="W85" s="48" t="e">
        <f>#REF!-N85</f>
        <v>#REF!</v>
      </c>
      <c r="X85" s="48"/>
      <c r="Y85" s="48" t="e">
        <f>#REF!-'Tracks Pull'!M83</f>
        <v>#REF!</v>
      </c>
      <c r="Z85" s="48"/>
      <c r="AA85" s="126">
        <f>V85-'Tracks Pull'!O83</f>
        <v>1.509510746698091</v>
      </c>
      <c r="AB85" s="146"/>
      <c r="AC85" s="126">
        <f>'Stream Pull'!F85</f>
        <v>0</v>
      </c>
      <c r="AD85" s="126">
        <f>'Stream Pull'!G85</f>
        <v>0</v>
      </c>
      <c r="AE85" s="126">
        <f>'Stream Pull'!H85</f>
        <v>0</v>
      </c>
      <c r="AF85" s="126">
        <f>'Stream Pull'!M85</f>
        <v>0</v>
      </c>
      <c r="AG85" s="126">
        <f t="shared" si="3"/>
        <v>0</v>
      </c>
      <c r="AH85" s="216">
        <f>'Consol Pull'!F85-'Consol Pull'!G85</f>
        <v>0.27171474846287036</v>
      </c>
      <c r="AI85" s="48">
        <f t="shared" si="1"/>
        <v>-0.27171474846287036</v>
      </c>
      <c r="AJ85" s="146"/>
      <c r="AK85" s="224">
        <f>I85+AG85</f>
        <v>-2.9409853199999993</v>
      </c>
      <c r="AL85" s="224"/>
      <c r="AM85" s="224">
        <f>AK85-E85</f>
        <v>-4.9506148074834897</v>
      </c>
      <c r="AN85" s="146"/>
      <c r="AO85" s="48" t="e">
        <f>'FIRM Load Pull'!#REF!</f>
        <v>#REF!</v>
      </c>
      <c r="AP85" s="216" t="e">
        <f>I85+AG85+AO85</f>
        <v>#REF!</v>
      </c>
      <c r="AQ85" s="48" t="e">
        <f>AP85-E85</f>
        <v>#REF!</v>
      </c>
      <c r="AR85" s="2"/>
      <c r="AS85" s="2"/>
      <c r="AT85" s="2"/>
    </row>
    <row r="86" spans="1:46" ht="16.2" customHeight="1" outlineLevel="2">
      <c r="A86" s="2" t="s">
        <v>218</v>
      </c>
      <c r="B86" s="44" t="s">
        <v>104</v>
      </c>
      <c r="C86" s="236" t="s">
        <v>104</v>
      </c>
      <c r="D86" s="313" t="s">
        <v>104</v>
      </c>
      <c r="E86" s="48">
        <f>'Consol Pull'!F86</f>
        <v>46.862513673028047</v>
      </c>
      <c r="F86" s="162"/>
      <c r="G86" s="127">
        <f>IF(ISERROR(E86/'Consol Pull'!T86-1),"-",IF(ABS(E86/'Consol Pull'!T86-1)&gt;1000%," - ",(E86/'Consol Pull'!T86-1)))</f>
        <v>1.5610247282785141</v>
      </c>
      <c r="H86" s="146"/>
      <c r="I86" s="48">
        <f>'FIRM Load Pull'!E86</f>
        <v>1.8506284200000003</v>
      </c>
      <c r="J86" s="48">
        <f>'Ship Load Pull'!E86</f>
        <v>1.9229537800000001</v>
      </c>
      <c r="K86" s="127">
        <f>IF(ISERROR(I86/'FIRM Load Pull'!Q86-1),"-",IF(ABS(I86/'FIRM Load Pull'!Q86-1)&gt;1000%," - ",(I86/'FIRM Load Pull'!Q86-1)))</f>
        <v>-0.27964746520415662</v>
      </c>
      <c r="L86" s="48">
        <f>'FIRM Load Pull'!E86-'FIRM Load Pull'!F86</f>
        <v>5.7539460000000098E-2</v>
      </c>
      <c r="M86" s="48">
        <f>'FIRM Load Pull'!E86-'FIRM Load Pull'!G86</f>
        <v>7.6094529999999994E-2</v>
      </c>
      <c r="N86" s="216">
        <f>'Consol Pull'!G86</f>
        <v>46.652918269020802</v>
      </c>
      <c r="O86" s="48">
        <f t="shared" si="4"/>
        <v>-44.802289849020802</v>
      </c>
      <c r="P86" s="48">
        <f>I86-'Tracks Pull'!E86</f>
        <v>-166.24499003667242</v>
      </c>
      <c r="Q86" s="48">
        <f>M86-'Tracks Pull'!G86</f>
        <v>-39.913067877508844</v>
      </c>
      <c r="R86" s="127" t="str">
        <f>IF(ISERROR(#REF!/'RETAIL Load Pull'!N86-1),"-",IF(ABS(#REF!/'RETAIL Load Pull'!N86-1)&gt;1000%," - ",(#REF!/'RETAIL Load Pull'!N86-1)))</f>
        <v>-</v>
      </c>
      <c r="S86" s="127"/>
      <c r="T86" s="127"/>
      <c r="U86" s="258">
        <f>'RETAIL Load Pull'!E86-'RETAIL Load Pull'!F86</f>
        <v>-0.22175908500000396</v>
      </c>
      <c r="V86" s="48">
        <f>'RETAIL Load Pull'!E86-'RETAIL Load Pull'!G86</f>
        <v>0.18200883439999416</v>
      </c>
      <c r="W86" s="48" t="e">
        <f>#REF!-N86</f>
        <v>#REF!</v>
      </c>
      <c r="X86" s="48"/>
      <c r="Y86" s="48" t="e">
        <f>#REF!-'Tracks Pull'!M84</f>
        <v>#REF!</v>
      </c>
      <c r="Z86" s="48"/>
      <c r="AA86" s="126">
        <f>V86-'Tracks Pull'!O84</f>
        <v>-3.7938763769749144</v>
      </c>
      <c r="AB86" s="146"/>
      <c r="AC86" s="126">
        <f>'Stream Pull'!F86</f>
        <v>0</v>
      </c>
      <c r="AD86" s="126">
        <f>'Stream Pull'!G86</f>
        <v>0</v>
      </c>
      <c r="AE86" s="126">
        <f>'Stream Pull'!H86</f>
        <v>0</v>
      </c>
      <c r="AF86" s="126">
        <f>'Stream Pull'!M86</f>
        <v>0.290293229900702</v>
      </c>
      <c r="AG86" s="126">
        <f t="shared" si="3"/>
        <v>0.290293229900702</v>
      </c>
      <c r="AH86" s="216">
        <f>'Consol Pull'!F86-'Consol Pull'!G86</f>
        <v>0.20959540400724563</v>
      </c>
      <c r="AI86" s="48">
        <f t="shared" si="1"/>
        <v>8.0697825893456365E-2</v>
      </c>
      <c r="AJ86" s="146"/>
      <c r="AK86" s="224">
        <f>I86+AG86</f>
        <v>2.1409216499007022</v>
      </c>
      <c r="AL86" s="224"/>
      <c r="AM86" s="224">
        <f>AK86-E86</f>
        <v>-44.721592023127343</v>
      </c>
      <c r="AN86" s="146"/>
      <c r="AO86" s="48" t="e">
        <f>'FIRM Load Pull'!#REF!</f>
        <v>#REF!</v>
      </c>
      <c r="AP86" s="216" t="e">
        <f>I86+AG86+AO86</f>
        <v>#REF!</v>
      </c>
      <c r="AQ86" s="48" t="e">
        <f>AP86-E86</f>
        <v>#REF!</v>
      </c>
      <c r="AR86" s="2"/>
      <c r="AS86" s="2"/>
      <c r="AT86" s="2"/>
    </row>
    <row r="87" spans="1:46" ht="16.2" customHeight="1" outlineLevel="2">
      <c r="A87" s="2" t="s">
        <v>218</v>
      </c>
      <c r="B87" s="44" t="s">
        <v>105</v>
      </c>
      <c r="C87" s="236" t="s">
        <v>105</v>
      </c>
      <c r="D87" s="313" t="s">
        <v>105</v>
      </c>
      <c r="E87" s="48">
        <f>'Consol Pull'!F87</f>
        <v>51.837038937613379</v>
      </c>
      <c r="F87" s="162"/>
      <c r="G87" s="127">
        <f>IF(ISERROR(E87/'Consol Pull'!T87-1),"-",IF(ABS(E87/'Consol Pull'!T87-1)&gt;1000%," - ",(E87/'Consol Pull'!T87-1)))</f>
        <v>-8.2272021830444797E-2</v>
      </c>
      <c r="H87" s="146"/>
      <c r="I87" s="48">
        <f>'FIRM Load Pull'!E87</f>
        <v>15.649143198000001</v>
      </c>
      <c r="J87" s="48">
        <f>'Ship Load Pull'!E87</f>
        <v>9.5077912379999994</v>
      </c>
      <c r="K87" s="127">
        <f>IF(ISERROR(I87/'FIRM Load Pull'!Q87-1),"-",IF(ABS(I87/'FIRM Load Pull'!Q87-1)&gt;1000%," - ",(I87/'FIRM Load Pull'!Q87-1)))</f>
        <v>-0.42327316677280702</v>
      </c>
      <c r="L87" s="48">
        <f>'FIRM Load Pull'!E87-'FIRM Load Pull'!F87</f>
        <v>0.11701433000000172</v>
      </c>
      <c r="M87" s="48">
        <f>'FIRM Load Pull'!E87-'FIRM Load Pull'!G87</f>
        <v>-0.20293073999999933</v>
      </c>
      <c r="N87" s="216">
        <f>'Consol Pull'!G87</f>
        <v>49.811759558918901</v>
      </c>
      <c r="O87" s="48">
        <f t="shared" si="4"/>
        <v>-34.162616360918904</v>
      </c>
      <c r="P87" s="48">
        <f>I87-'Tracks Pull'!E87</f>
        <v>-28.443271736002099</v>
      </c>
      <c r="Q87" s="48">
        <f>M87-'Tracks Pull'!G87</f>
        <v>-10.712160569118197</v>
      </c>
      <c r="R87" s="127" t="str">
        <f>IF(ISERROR(#REF!/'RETAIL Load Pull'!N87-1),"-",IF(ABS(#REF!/'RETAIL Load Pull'!N87-1)&gt;1000%," - ",(#REF!/'RETAIL Load Pull'!N87-1)))</f>
        <v>-</v>
      </c>
      <c r="S87" s="127"/>
      <c r="T87" s="127"/>
      <c r="U87" s="258">
        <f>'RETAIL Load Pull'!E87-'RETAIL Load Pull'!F87</f>
        <v>0.11701432999999639</v>
      </c>
      <c r="V87" s="48">
        <f>'RETAIL Load Pull'!E87-'RETAIL Load Pull'!G87</f>
        <v>-0.91406341639999766</v>
      </c>
      <c r="W87" s="48" t="e">
        <f>#REF!-N87</f>
        <v>#REF!</v>
      </c>
      <c r="X87" s="48"/>
      <c r="Y87" s="48" t="e">
        <f>#REF!-'Tracks Pull'!M85</f>
        <v>#REF!</v>
      </c>
      <c r="Z87" s="48"/>
      <c r="AA87" s="126">
        <f>V87-'Tracks Pull'!O85</f>
        <v>-5.2401389657194386</v>
      </c>
      <c r="AB87" s="146"/>
      <c r="AC87" s="126">
        <f>'Stream Pull'!F87</f>
        <v>1.5003300000010001E-3</v>
      </c>
      <c r="AD87" s="126">
        <f>'Stream Pull'!G87</f>
        <v>1.5003300000010001E-3</v>
      </c>
      <c r="AE87" s="126">
        <f>'Stream Pull'!H87</f>
        <v>0</v>
      </c>
      <c r="AF87" s="126">
        <f>'Stream Pull'!M87</f>
        <v>1.9220222963356002</v>
      </c>
      <c r="AG87" s="126">
        <f t="shared" si="3"/>
        <v>1.9235226263356011</v>
      </c>
      <c r="AH87" s="216">
        <f>'Consol Pull'!F87-'Consol Pull'!G87</f>
        <v>2.0252793786944778</v>
      </c>
      <c r="AI87" s="48">
        <f t="shared" si="1"/>
        <v>-0.10175675235887671</v>
      </c>
      <c r="AJ87" s="146"/>
      <c r="AK87" s="224">
        <f>I87+AG87</f>
        <v>17.572665824335601</v>
      </c>
      <c r="AL87" s="224"/>
      <c r="AM87" s="224">
        <f>AK87-E87</f>
        <v>-34.264373113277777</v>
      </c>
      <c r="AN87" s="146"/>
      <c r="AO87" s="48" t="e">
        <f>'FIRM Load Pull'!#REF!</f>
        <v>#REF!</v>
      </c>
      <c r="AP87" s="216" t="e">
        <f>I87+AG87+AO87</f>
        <v>#REF!</v>
      </c>
      <c r="AQ87" s="48" t="e">
        <f>AP87-E87</f>
        <v>#REF!</v>
      </c>
      <c r="AR87" s="2"/>
      <c r="AS87" s="2"/>
      <c r="AT87" s="2"/>
    </row>
    <row r="88" spans="1:46" s="140" customFormat="1" ht="16.2" customHeight="1" outlineLevel="1">
      <c r="A88" s="141" t="s">
        <v>218</v>
      </c>
      <c r="B88" s="46" t="s">
        <v>26</v>
      </c>
      <c r="C88" s="236" t="s">
        <v>26</v>
      </c>
      <c r="D88" s="311" t="s">
        <v>26</v>
      </c>
      <c r="E88" s="248">
        <f>'Consol Pull'!F88</f>
        <v>296.3068948471747</v>
      </c>
      <c r="F88" s="246"/>
      <c r="G88" s="127">
        <f>IF(ISERROR(E88/'Consol Pull'!T88-1),"-",IF(ABS(E88/'Consol Pull'!T88-1)&gt;1000%," - ",(E88/'Consol Pull'!T88-1)))</f>
        <v>-0.21692054313909992</v>
      </c>
      <c r="H88" s="247"/>
      <c r="I88" s="248">
        <f>'FIRM Load Pull'!E88</f>
        <v>88.554955938700175</v>
      </c>
      <c r="J88" s="248">
        <f>'Ship Load Pull'!E88</f>
        <v>65.737110553100123</v>
      </c>
      <c r="K88" s="127">
        <f>IF(ISERROR(I88/'FIRM Load Pull'!Q88-1),"-",IF(ABS(I88/'FIRM Load Pull'!Q88-1)&gt;1000%," - ",(I88/'FIRM Load Pull'!Q88-1)))</f>
        <v>9.3600408505474464E-2</v>
      </c>
      <c r="L88" s="248">
        <f>'FIRM Load Pull'!E88-'FIRM Load Pull'!F88</f>
        <v>5.2968358000000251</v>
      </c>
      <c r="M88" s="248">
        <f>'FIRM Load Pull'!E88-'FIRM Load Pull'!G88</f>
        <v>5.6534109669000117</v>
      </c>
      <c r="N88" s="223">
        <f>'Consol Pull'!G88</f>
        <v>290.40707396238008</v>
      </c>
      <c r="O88" s="248">
        <f t="shared" si="4"/>
        <v>-201.85211802367991</v>
      </c>
      <c r="P88" s="248">
        <f>I88-'Tracks Pull'!E88</f>
        <v>74.576087329825484</v>
      </c>
      <c r="Q88" s="248">
        <f>M88-'Tracks Pull'!G88</f>
        <v>2.3478135125792399</v>
      </c>
      <c r="R88" s="127" t="str">
        <f>IF(ISERROR(#REF!/'RETAIL Load Pull'!N88-1),"-",IF(ABS(#REF!/'RETAIL Load Pull'!N88-1)&gt;1000%," - ",(#REF!/'RETAIL Load Pull'!N88-1)))</f>
        <v>-</v>
      </c>
      <c r="S88" s="127"/>
      <c r="T88" s="127"/>
      <c r="U88" s="262">
        <f>'RETAIL Load Pull'!E88-'RETAIL Load Pull'!F88</f>
        <v>13.696938350800025</v>
      </c>
      <c r="V88" s="248">
        <f>'RETAIL Load Pull'!E88-'RETAIL Load Pull'!G88</f>
        <v>47.513111029200104</v>
      </c>
      <c r="W88" s="248" t="e">
        <f>#REF!-N88</f>
        <v>#REF!</v>
      </c>
      <c r="X88" s="248"/>
      <c r="Y88" s="248" t="e">
        <f>#REF!-'Tracks Pull'!M86</f>
        <v>#REF!</v>
      </c>
      <c r="Z88" s="248"/>
      <c r="AA88" s="250">
        <f>V88-'Tracks Pull'!O86</f>
        <v>7.523948621691261</v>
      </c>
      <c r="AB88" s="247"/>
      <c r="AC88" s="250">
        <f>'Stream Pull'!F88</f>
        <v>-1.2742000000000016E-4</v>
      </c>
      <c r="AD88" s="250">
        <f>'Stream Pull'!G88</f>
        <v>-1.2742000000000016E-4</v>
      </c>
      <c r="AE88" s="250">
        <f>'Stream Pull'!H88</f>
        <v>0</v>
      </c>
      <c r="AF88" s="250">
        <f>'Stream Pull'!M88</f>
        <v>5.8042714122946597</v>
      </c>
      <c r="AG88" s="250">
        <f t="shared" si="3"/>
        <v>5.8041439922946596</v>
      </c>
      <c r="AH88" s="223">
        <f>'Consol Pull'!F88-'Consol Pull'!G88</f>
        <v>5.8998208847946216</v>
      </c>
      <c r="AI88" s="248">
        <f t="shared" si="1"/>
        <v>-9.567689249996203E-2</v>
      </c>
      <c r="AJ88" s="247"/>
      <c r="AK88" s="251">
        <f>I88+AG88</f>
        <v>94.35909993099483</v>
      </c>
      <c r="AL88" s="251"/>
      <c r="AM88" s="251">
        <f>AK88-E88</f>
        <v>-201.94779491617987</v>
      </c>
      <c r="AN88" s="247"/>
      <c r="AO88" s="248" t="e">
        <f>'FIRM Load Pull'!#REF!</f>
        <v>#REF!</v>
      </c>
      <c r="AP88" s="223" t="e">
        <f>I88+AG88+AO88</f>
        <v>#REF!</v>
      </c>
      <c r="AQ88" s="248" t="e">
        <f>AP88-E88</f>
        <v>#REF!</v>
      </c>
      <c r="AR88" s="141"/>
      <c r="AS88" s="141"/>
      <c r="AT88" s="141"/>
    </row>
    <row r="89" spans="1:46" ht="16.2" customHeight="1" outlineLevel="2">
      <c r="A89" s="2" t="s">
        <v>218</v>
      </c>
      <c r="B89" s="44" t="s">
        <v>235</v>
      </c>
      <c r="C89" s="236" t="s">
        <v>235</v>
      </c>
      <c r="D89" s="313" t="s">
        <v>235</v>
      </c>
      <c r="E89" s="48">
        <f>'Consol Pull'!F89</f>
        <v>76.609870404006244</v>
      </c>
      <c r="F89" s="162"/>
      <c r="G89" s="127">
        <f>IF(ISERROR(E89/'Consol Pull'!T89-1),"-",IF(ABS(E89/'Consol Pull'!T89-1)&gt;1000%," - ",(E89/'Consol Pull'!T89-1)))</f>
        <v>-0.21917521004009377</v>
      </c>
      <c r="H89" s="146"/>
      <c r="I89" s="48">
        <f>'FIRM Load Pull'!E89</f>
        <v>20.156543561000007</v>
      </c>
      <c r="J89" s="48">
        <f>'Ship Load Pull'!E89</f>
        <v>14.262813910999999</v>
      </c>
      <c r="K89" s="127">
        <f>IF(ISERROR(I89/'FIRM Load Pull'!Q89-1),"-",IF(ABS(I89/'FIRM Load Pull'!Q89-1)&gt;1000%," - ",(I89/'FIRM Load Pull'!Q89-1)))</f>
        <v>0.46953821339452562</v>
      </c>
      <c r="L89" s="48">
        <f>'FIRM Load Pull'!E89-'FIRM Load Pull'!F89</f>
        <v>0.22000884999999926</v>
      </c>
      <c r="M89" s="48">
        <f>'FIRM Load Pull'!E89-'FIRM Load Pull'!G89</f>
        <v>-1.7489191099999886</v>
      </c>
      <c r="N89" s="216">
        <f>'Consol Pull'!G89</f>
        <v>75.944122627937801</v>
      </c>
      <c r="O89" s="48">
        <f t="shared" si="4"/>
        <v>-55.787579066937795</v>
      </c>
      <c r="P89" s="48">
        <f>I89-'Tracks Pull'!E89</f>
        <v>-0.12038064188050157</v>
      </c>
      <c r="Q89" s="48">
        <f>M89-'Tracks Pull'!G89</f>
        <v>-6.5558425757397458</v>
      </c>
      <c r="R89" s="127" t="str">
        <f>IF(ISERROR(#REF!/'RETAIL Load Pull'!N89-1),"-",IF(ABS(#REF!/'RETAIL Load Pull'!N89-1)&gt;1000%," - ",(#REF!/'RETAIL Load Pull'!N89-1)))</f>
        <v>-</v>
      </c>
      <c r="S89" s="127"/>
      <c r="T89" s="127"/>
      <c r="U89" s="258">
        <f>'RETAIL Load Pull'!E89-'RETAIL Load Pull'!F89</f>
        <v>0.37262345239999917</v>
      </c>
      <c r="V89" s="48">
        <f>'RETAIL Load Pull'!E89-'RETAIL Load Pull'!G89</f>
        <v>3.6567051482000181</v>
      </c>
      <c r="W89" s="48" t="e">
        <f>#REF!-N89</f>
        <v>#REF!</v>
      </c>
      <c r="X89" s="48"/>
      <c r="Y89" s="48" t="e">
        <f>#REF!-'Tracks Pull'!M87</f>
        <v>#REF!</v>
      </c>
      <c r="Z89" s="48"/>
      <c r="AA89" s="126">
        <f>V89-'Tracks Pull'!O87</f>
        <v>-6.8525246809181795</v>
      </c>
      <c r="AB89" s="146"/>
      <c r="AC89" s="126">
        <f>'Stream Pull'!F89</f>
        <v>-4.83513E-3</v>
      </c>
      <c r="AD89" s="126">
        <f>'Stream Pull'!G89</f>
        <v>-4.83513E-3</v>
      </c>
      <c r="AE89" s="126">
        <f>'Stream Pull'!H89</f>
        <v>0</v>
      </c>
      <c r="AF89" s="126">
        <f>'Stream Pull'!M89</f>
        <v>0.59657326214761697</v>
      </c>
      <c r="AG89" s="126">
        <f t="shared" si="3"/>
        <v>0.59173813214761695</v>
      </c>
      <c r="AH89" s="216">
        <f>'Consol Pull'!F89-'Consol Pull'!G89</f>
        <v>0.66574777606844293</v>
      </c>
      <c r="AI89" s="48">
        <f t="shared" ref="AI89:AI134" si="5">AG89-AH89</f>
        <v>-7.4009643920825985E-2</v>
      </c>
      <c r="AJ89" s="146"/>
      <c r="AK89" s="224">
        <f>I89+AG89</f>
        <v>20.748281693147625</v>
      </c>
      <c r="AL89" s="224"/>
      <c r="AM89" s="224">
        <f>AK89-E89</f>
        <v>-55.861588710858619</v>
      </c>
      <c r="AN89" s="146"/>
      <c r="AO89" s="48" t="e">
        <f>'FIRM Load Pull'!#REF!</f>
        <v>#REF!</v>
      </c>
      <c r="AP89" s="216" t="e">
        <f>I89+AG89+AO89</f>
        <v>#REF!</v>
      </c>
      <c r="AQ89" s="48" t="e">
        <f>AP89-E89</f>
        <v>#REF!</v>
      </c>
      <c r="AR89" s="2"/>
      <c r="AS89" s="2"/>
      <c r="AT89" s="2"/>
    </row>
    <row r="90" spans="1:46" ht="16.2" customHeight="1" outlineLevel="2">
      <c r="A90" s="2" t="s">
        <v>218</v>
      </c>
      <c r="B90" s="44" t="s">
        <v>106</v>
      </c>
      <c r="C90" s="236" t="s">
        <v>106</v>
      </c>
      <c r="D90" s="313" t="s">
        <v>106</v>
      </c>
      <c r="E90" s="48">
        <f>'Consol Pull'!F90</f>
        <v>24.831876593363294</v>
      </c>
      <c r="F90" s="162"/>
      <c r="G90" s="127">
        <f>IF(ISERROR(E90/'Consol Pull'!T90-1),"-",IF(ABS(E90/'Consol Pull'!T90-1)&gt;1000%," - ",(E90/'Consol Pull'!T90-1)))</f>
        <v>-0.1750916631669247</v>
      </c>
      <c r="H90" s="146"/>
      <c r="I90" s="48">
        <f>'FIRM Load Pull'!E90</f>
        <v>10.849738259299993</v>
      </c>
      <c r="J90" s="48">
        <f>'Ship Load Pull'!E90</f>
        <v>10.162157139299996</v>
      </c>
      <c r="K90" s="127">
        <f>IF(ISERROR(I90/'FIRM Load Pull'!Q90-1),"-",IF(ABS(I90/'FIRM Load Pull'!Q90-1)&gt;1000%," - ",(I90/'FIRM Load Pull'!Q90-1)))</f>
        <v>2.2291186743812821</v>
      </c>
      <c r="L90" s="48">
        <f>'FIRM Load Pull'!E90-'FIRM Load Pull'!F90</f>
        <v>4.2837199999997466E-2</v>
      </c>
      <c r="M90" s="48">
        <f>'FIRM Load Pull'!E90-'FIRM Load Pull'!G90</f>
        <v>0.17912722999999531</v>
      </c>
      <c r="N90" s="216">
        <f>'Consol Pull'!G90</f>
        <v>24.382693337351899</v>
      </c>
      <c r="O90" s="48">
        <f t="shared" si="4"/>
        <v>-13.532955078051906</v>
      </c>
      <c r="P90" s="48">
        <f>I90-'Tracks Pull'!E90</f>
        <v>-1.1439515187622575</v>
      </c>
      <c r="Q90" s="48">
        <f>M90-'Tracks Pull'!G90</f>
        <v>-2.6774502691014064</v>
      </c>
      <c r="R90" s="127" t="str">
        <f>IF(ISERROR(#REF!/'RETAIL Load Pull'!N90-1),"-",IF(ABS(#REF!/'RETAIL Load Pull'!N90-1)&gt;1000%," - ",(#REF!/'RETAIL Load Pull'!N90-1)))</f>
        <v>-</v>
      </c>
      <c r="S90" s="127"/>
      <c r="T90" s="127"/>
      <c r="U90" s="258">
        <f>'RETAIL Load Pull'!E90-'RETAIL Load Pull'!F90</f>
        <v>1.3283836319000102</v>
      </c>
      <c r="V90" s="48">
        <f>'RETAIL Load Pull'!E90-'RETAIL Load Pull'!G90</f>
        <v>7.3408383060000055</v>
      </c>
      <c r="W90" s="48" t="e">
        <f>#REF!-N90</f>
        <v>#REF!</v>
      </c>
      <c r="X90" s="48"/>
      <c r="Y90" s="48" t="e">
        <f>#REF!-'Tracks Pull'!M88</f>
        <v>#REF!</v>
      </c>
      <c r="Z90" s="48"/>
      <c r="AA90" s="126">
        <f>V90-'Tracks Pull'!O88</f>
        <v>4.0352408516792337</v>
      </c>
      <c r="AB90" s="146"/>
      <c r="AC90" s="126">
        <f>'Stream Pull'!F90</f>
        <v>0</v>
      </c>
      <c r="AD90" s="126">
        <f>'Stream Pull'!G90</f>
        <v>0</v>
      </c>
      <c r="AE90" s="126">
        <f>'Stream Pull'!H90</f>
        <v>0</v>
      </c>
      <c r="AF90" s="126">
        <f>'Stream Pull'!M90</f>
        <v>0.44409983127359604</v>
      </c>
      <c r="AG90" s="126">
        <f t="shared" si="3"/>
        <v>0.44409983127359604</v>
      </c>
      <c r="AH90" s="216">
        <f>'Consol Pull'!F90-'Consol Pull'!G90</f>
        <v>0.44918325601139486</v>
      </c>
      <c r="AI90" s="48">
        <f t="shared" si="5"/>
        <v>-5.0834247377988251E-3</v>
      </c>
      <c r="AJ90" s="146"/>
      <c r="AK90" s="224">
        <f>I90+AG90</f>
        <v>11.293838090573589</v>
      </c>
      <c r="AL90" s="224"/>
      <c r="AM90" s="224">
        <f>AK90-E90</f>
        <v>-13.538038502789705</v>
      </c>
      <c r="AN90" s="146"/>
      <c r="AO90" s="48" t="e">
        <f>'FIRM Load Pull'!#REF!</f>
        <v>#REF!</v>
      </c>
      <c r="AP90" s="216" t="e">
        <f>I90+AG90+AO90</f>
        <v>#REF!</v>
      </c>
      <c r="AQ90" s="48" t="e">
        <f>AP90-E90</f>
        <v>#REF!</v>
      </c>
      <c r="AR90" s="2"/>
      <c r="AS90" s="2"/>
      <c r="AT90" s="2"/>
    </row>
    <row r="91" spans="1:46" ht="16.2" customHeight="1" outlineLevel="2">
      <c r="A91" s="2" t="s">
        <v>218</v>
      </c>
      <c r="B91" s="44" t="s">
        <v>87</v>
      </c>
      <c r="C91" s="236" t="s">
        <v>87</v>
      </c>
      <c r="D91" s="313" t="s">
        <v>87</v>
      </c>
      <c r="E91" s="48">
        <f>'Consol Pull'!F91</f>
        <v>35.864667642568087</v>
      </c>
      <c r="F91" s="162"/>
      <c r="G91" s="127">
        <f>IF(ISERROR(E91/'Consol Pull'!T91-1),"-",IF(ABS(E91/'Consol Pull'!T91-1)&gt;1000%," - ",(E91/'Consol Pull'!T91-1)))</f>
        <v>-0.42791360404237189</v>
      </c>
      <c r="H91" s="146"/>
      <c r="I91" s="48">
        <f>'FIRM Load Pull'!E91</f>
        <v>6.4623852685000021</v>
      </c>
      <c r="J91" s="48">
        <f>'Ship Load Pull'!E91</f>
        <v>6.7017599085000006</v>
      </c>
      <c r="K91" s="127">
        <f>IF(ISERROR(I91/'FIRM Load Pull'!Q91-1),"-",IF(ABS(I91/'FIRM Load Pull'!Q91-1)&gt;1000%," - ",(I91/'FIRM Load Pull'!Q91-1)))</f>
        <v>0.11791559995207379</v>
      </c>
      <c r="L91" s="48">
        <f>'FIRM Load Pull'!E91-'FIRM Load Pull'!F91</f>
        <v>0</v>
      </c>
      <c r="M91" s="48">
        <f>'FIRM Load Pull'!E91-'FIRM Load Pull'!G91</f>
        <v>0.17310207000000144</v>
      </c>
      <c r="N91" s="216">
        <f>'Consol Pull'!G91</f>
        <v>35.2271589019483</v>
      </c>
      <c r="O91" s="48">
        <f t="shared" si="4"/>
        <v>-28.7647736334483</v>
      </c>
      <c r="P91" s="48">
        <f>I91-'Tracks Pull'!E91</f>
        <v>-7.8156979543865681</v>
      </c>
      <c r="Q91" s="48">
        <f>M91-'Tracks Pull'!G91</f>
        <v>-3.2275571115804391</v>
      </c>
      <c r="R91" s="127" t="str">
        <f>IF(ISERROR(#REF!/'RETAIL Load Pull'!N91-1),"-",IF(ABS(#REF!/'RETAIL Load Pull'!N91-1)&gt;1000%," - ",(#REF!/'RETAIL Load Pull'!N91-1)))</f>
        <v>-</v>
      </c>
      <c r="S91" s="127"/>
      <c r="T91" s="127"/>
      <c r="U91" s="258">
        <f>'RETAIL Load Pull'!E91-'RETAIL Load Pull'!F91</f>
        <v>0.32849799089999721</v>
      </c>
      <c r="V91" s="48">
        <f>'RETAIL Load Pull'!E91-'RETAIL Load Pull'!G91</f>
        <v>7.4973852599999979</v>
      </c>
      <c r="W91" s="48" t="e">
        <f>#REF!-N91</f>
        <v>#REF!</v>
      </c>
      <c r="X91" s="48"/>
      <c r="Y91" s="48" t="e">
        <f>#REF!-'Tracks Pull'!M89</f>
        <v>#REF!</v>
      </c>
      <c r="Z91" s="48"/>
      <c r="AA91" s="126">
        <f>V91-'Tracks Pull'!O89</f>
        <v>2.6904617942602407</v>
      </c>
      <c r="AB91" s="146"/>
      <c r="AC91" s="126">
        <f>'Stream Pull'!F91</f>
        <v>0</v>
      </c>
      <c r="AD91" s="126">
        <f>'Stream Pull'!G91</f>
        <v>0</v>
      </c>
      <c r="AE91" s="126">
        <f>'Stream Pull'!H91</f>
        <v>0</v>
      </c>
      <c r="AF91" s="126">
        <f>'Stream Pull'!M91</f>
        <v>0.63737720478062898</v>
      </c>
      <c r="AG91" s="126">
        <f t="shared" si="3"/>
        <v>0.63737720478062898</v>
      </c>
      <c r="AH91" s="216">
        <f>'Consol Pull'!F91-'Consol Pull'!G91</f>
        <v>0.63750874061978635</v>
      </c>
      <c r="AI91" s="48">
        <f t="shared" si="5"/>
        <v>-1.3153583915737066E-4</v>
      </c>
      <c r="AJ91" s="146"/>
      <c r="AK91" s="224">
        <f>I91+AG91</f>
        <v>7.0997624732806308</v>
      </c>
      <c r="AL91" s="224"/>
      <c r="AM91" s="224">
        <f>AK91-E91</f>
        <v>-28.764905169287456</v>
      </c>
      <c r="AN91" s="146"/>
      <c r="AO91" s="48" t="e">
        <f>'FIRM Load Pull'!#REF!</f>
        <v>#REF!</v>
      </c>
      <c r="AP91" s="216" t="e">
        <f>I91+AG91+AO91</f>
        <v>#REF!</v>
      </c>
      <c r="AQ91" s="48" t="e">
        <f>AP91-E91</f>
        <v>#REF!</v>
      </c>
      <c r="AR91" s="2"/>
      <c r="AS91" s="2"/>
      <c r="AT91" s="2"/>
    </row>
    <row r="92" spans="1:46" ht="16.2" customHeight="1" outlineLevel="2">
      <c r="A92" s="2" t="s">
        <v>218</v>
      </c>
      <c r="B92" s="44" t="s">
        <v>107</v>
      </c>
      <c r="C92" s="236" t="s">
        <v>107</v>
      </c>
      <c r="D92" s="313" t="s">
        <v>107</v>
      </c>
      <c r="E92" s="48">
        <f>'Consol Pull'!F92</f>
        <v>21.637937918424829</v>
      </c>
      <c r="F92" s="162"/>
      <c r="G92" s="127">
        <f>IF(ISERROR(E92/'Consol Pull'!T92-1),"-",IF(ABS(E92/'Consol Pull'!T92-1)&gt;1000%," - ",(E92/'Consol Pull'!T92-1)))</f>
        <v>-0.44553308205326458</v>
      </c>
      <c r="H92" s="146"/>
      <c r="I92" s="48">
        <f>'FIRM Load Pull'!E92</f>
        <v>2.1459607299999996</v>
      </c>
      <c r="J92" s="48">
        <f>'Ship Load Pull'!E92</f>
        <v>2.99612868</v>
      </c>
      <c r="K92" s="127">
        <f>IF(ISERROR(I92/'FIRM Load Pull'!Q92-1),"-",IF(ABS(I92/'FIRM Load Pull'!Q92-1)&gt;1000%," - ",(I92/'FIRM Load Pull'!Q92-1)))</f>
        <v>-0.81114501815308016</v>
      </c>
      <c r="L92" s="48">
        <f>'FIRM Load Pull'!E92-'FIRM Load Pull'!F92</f>
        <v>2.5515299999998575E-3</v>
      </c>
      <c r="M92" s="48">
        <f>'FIRM Load Pull'!E92-'FIRM Load Pull'!G92</f>
        <v>-1.7934117800000005</v>
      </c>
      <c r="N92" s="216">
        <f>'Consol Pull'!G92</f>
        <v>20.681783170430101</v>
      </c>
      <c r="O92" s="48">
        <f t="shared" si="4"/>
        <v>-18.535822440430103</v>
      </c>
      <c r="P92" s="48">
        <f>I92-'Tracks Pull'!E92</f>
        <v>-41.460208851594402</v>
      </c>
      <c r="Q92" s="48">
        <f>M92-'Tracks Pull'!G92</f>
        <v>-12.1792400908693</v>
      </c>
      <c r="R92" s="127" t="str">
        <f>IF(ISERROR(#REF!/'RETAIL Load Pull'!N92-1),"-",IF(ABS(#REF!/'RETAIL Load Pull'!N92-1)&gt;1000%," - ",(#REF!/'RETAIL Load Pull'!N92-1)))</f>
        <v>-</v>
      </c>
      <c r="S92" s="127"/>
      <c r="T92" s="127"/>
      <c r="U92" s="258">
        <f>'RETAIL Load Pull'!E92-'RETAIL Load Pull'!F92</f>
        <v>0.75590796709999886</v>
      </c>
      <c r="V92" s="48">
        <f>'RETAIL Load Pull'!E92-'RETAIL Load Pull'!G92</f>
        <v>0.96324613289999839</v>
      </c>
      <c r="W92" s="48" t="e">
        <f>#REF!-N92</f>
        <v>#REF!</v>
      </c>
      <c r="X92" s="48"/>
      <c r="Y92" s="48" t="e">
        <f>#REF!-'Tracks Pull'!M90</f>
        <v>#REF!</v>
      </c>
      <c r="Z92" s="48"/>
      <c r="AA92" s="126">
        <f>V92-'Tracks Pull'!O90</f>
        <v>-1.8933313662014033</v>
      </c>
      <c r="AB92" s="146"/>
      <c r="AC92" s="126">
        <f>'Stream Pull'!F92</f>
        <v>5.4253499999999998E-3</v>
      </c>
      <c r="AD92" s="126">
        <f>'Stream Pull'!G92</f>
        <v>5.4253499999999998E-3</v>
      </c>
      <c r="AE92" s="126">
        <f>'Stream Pull'!H92</f>
        <v>0</v>
      </c>
      <c r="AF92" s="126">
        <f>'Stream Pull'!M92</f>
        <v>0.94519558852324903</v>
      </c>
      <c r="AG92" s="126">
        <f t="shared" si="3"/>
        <v>0.95062093852324903</v>
      </c>
      <c r="AH92" s="216">
        <f>'Consol Pull'!F92-'Consol Pull'!G92</f>
        <v>0.95615474799472722</v>
      </c>
      <c r="AI92" s="48">
        <f t="shared" si="5"/>
        <v>-5.5338094714781905E-3</v>
      </c>
      <c r="AJ92" s="146"/>
      <c r="AK92" s="224">
        <f>I92+AG92</f>
        <v>3.0965816685232488</v>
      </c>
      <c r="AL92" s="224"/>
      <c r="AM92" s="224">
        <f>AK92-E92</f>
        <v>-18.541356249901579</v>
      </c>
      <c r="AN92" s="146"/>
      <c r="AO92" s="48" t="e">
        <f>'FIRM Load Pull'!#REF!</f>
        <v>#REF!</v>
      </c>
      <c r="AP92" s="216" t="e">
        <f>I92+AG92+AO92</f>
        <v>#REF!</v>
      </c>
      <c r="AQ92" s="48" t="e">
        <f>AP92-E92</f>
        <v>#REF!</v>
      </c>
      <c r="AR92" s="2"/>
      <c r="AS92" s="2"/>
      <c r="AT92" s="2"/>
    </row>
    <row r="93" spans="1:46" ht="16.2" customHeight="1" outlineLevel="2">
      <c r="A93" s="2" t="s">
        <v>218</v>
      </c>
      <c r="B93" s="44" t="s">
        <v>236</v>
      </c>
      <c r="C93" s="236" t="s">
        <v>236</v>
      </c>
      <c r="D93" s="313" t="s">
        <v>236</v>
      </c>
      <c r="E93" s="48">
        <f>'Consol Pull'!F93</f>
        <v>25.147009561019097</v>
      </c>
      <c r="F93" s="162"/>
      <c r="G93" s="127">
        <f>IF(ISERROR(E93/'Consol Pull'!T93-1),"-",IF(ABS(E93/'Consol Pull'!T93-1)&gt;1000%," - ",(E93/'Consol Pull'!T93-1)))</f>
        <v>0.18048873603768967</v>
      </c>
      <c r="H93" s="146"/>
      <c r="I93" s="48">
        <f>'FIRM Load Pull'!E93</f>
        <v>6.0604724870000002</v>
      </c>
      <c r="J93" s="48">
        <f>'Ship Load Pull'!E93</f>
        <v>3.4135612769999999</v>
      </c>
      <c r="K93" s="127">
        <f>IF(ISERROR(I93/'FIRM Load Pull'!Q93-1),"-",IF(ABS(I93/'FIRM Load Pull'!Q93-1)&gt;1000%," - ",(I93/'FIRM Load Pull'!Q93-1)))</f>
        <v>0.38959066811192122</v>
      </c>
      <c r="L93" s="48">
        <f>'FIRM Load Pull'!E93-'FIRM Load Pull'!F93</f>
        <v>0.25932811000000022</v>
      </c>
      <c r="M93" s="48">
        <f>'FIRM Load Pull'!E93-'FIRM Load Pull'!G93</f>
        <v>0.68092543689999996</v>
      </c>
      <c r="N93" s="216">
        <f>'Consol Pull'!G93</f>
        <v>24.6209654217691</v>
      </c>
      <c r="O93" s="48">
        <f t="shared" si="4"/>
        <v>-18.560492934769101</v>
      </c>
      <c r="P93" s="48">
        <f>I93-'Tracks Pull'!E93</f>
        <v>-13.808995641371899</v>
      </c>
      <c r="Q93" s="48">
        <f>M93-'Tracks Pull'!G93</f>
        <v>-4.0434212298789776</v>
      </c>
      <c r="R93" s="127" t="str">
        <f>IF(ISERROR(#REF!/'RETAIL Load Pull'!N93-1),"-",IF(ABS(#REF!/'RETAIL Load Pull'!N93-1)&gt;1000%," - ",(#REF!/'RETAIL Load Pull'!N93-1)))</f>
        <v>-</v>
      </c>
      <c r="S93" s="127"/>
      <c r="T93" s="127"/>
      <c r="U93" s="258">
        <f>'RETAIL Load Pull'!E93-'RETAIL Load Pull'!F93</f>
        <v>1.8221338912999983</v>
      </c>
      <c r="V93" s="48">
        <f>'RETAIL Load Pull'!E93-'RETAIL Load Pull'!G93</f>
        <v>1.7892617724999997</v>
      </c>
      <c r="W93" s="48" t="e">
        <f>#REF!-N93</f>
        <v>#REF!</v>
      </c>
      <c r="X93" s="48"/>
      <c r="Y93" s="48" t="e">
        <f>#REF!-'Tracks Pull'!M91</f>
        <v>#REF!</v>
      </c>
      <c r="Z93" s="48"/>
      <c r="AA93" s="126">
        <f>V93-'Tracks Pull'!O91</f>
        <v>-1.6113974090804408</v>
      </c>
      <c r="AB93" s="146"/>
      <c r="AC93" s="126">
        <f>'Stream Pull'!F93</f>
        <v>0</v>
      </c>
      <c r="AD93" s="126">
        <f>'Stream Pull'!G93</f>
        <v>0</v>
      </c>
      <c r="AE93" s="126">
        <f>'Stream Pull'!H93</f>
        <v>0</v>
      </c>
      <c r="AF93" s="126">
        <f>'Stream Pull'!M93</f>
        <v>0.52314691579821992</v>
      </c>
      <c r="AG93" s="126">
        <f t="shared" si="3"/>
        <v>0.52314691579821992</v>
      </c>
      <c r="AH93" s="216">
        <f>'Consol Pull'!F93-'Consol Pull'!G93</f>
        <v>0.52604413924999704</v>
      </c>
      <c r="AI93" s="48">
        <f t="shared" si="5"/>
        <v>-2.89722345177712E-3</v>
      </c>
      <c r="AJ93" s="146"/>
      <c r="AK93" s="224">
        <f>I93+AG93</f>
        <v>6.5836194027982202</v>
      </c>
      <c r="AL93" s="224"/>
      <c r="AM93" s="224">
        <f>AK93-E93</f>
        <v>-18.563390158220876</v>
      </c>
      <c r="AN93" s="146"/>
      <c r="AO93" s="48" t="e">
        <f>'FIRM Load Pull'!#REF!</f>
        <v>#REF!</v>
      </c>
      <c r="AP93" s="216" t="e">
        <f>I93+AG93+AO93</f>
        <v>#REF!</v>
      </c>
      <c r="AQ93" s="48" t="e">
        <f>AP93-E93</f>
        <v>#REF!</v>
      </c>
      <c r="AR93" s="2"/>
      <c r="AS93" s="2"/>
      <c r="AT93" s="2"/>
    </row>
    <row r="94" spans="1:46" ht="16.2" customHeight="1" outlineLevel="2">
      <c r="A94" s="2" t="s">
        <v>218</v>
      </c>
      <c r="B94" s="44" t="s">
        <v>237</v>
      </c>
      <c r="C94" s="236" t="s">
        <v>237</v>
      </c>
      <c r="D94" s="313" t="s">
        <v>237</v>
      </c>
      <c r="E94" s="48">
        <f>'Consol Pull'!F94</f>
        <v>76.722188006411585</v>
      </c>
      <c r="F94" s="162"/>
      <c r="G94" s="127">
        <f>IF(ISERROR(E94/'Consol Pull'!T94-1),"-",IF(ABS(E94/'Consol Pull'!T94-1)&gt;1000%," - ",(E94/'Consol Pull'!T94-1)))</f>
        <v>-0.26803255166141848</v>
      </c>
      <c r="H94" s="146"/>
      <c r="I94" s="48">
        <f>'FIRM Load Pull'!E94</f>
        <v>34.600679112199977</v>
      </c>
      <c r="J94" s="48">
        <f>'Ship Load Pull'!E94</f>
        <v>21.6854527317</v>
      </c>
      <c r="K94" s="127">
        <f>IF(ISERROR(I94/'FIRM Load Pull'!Q94-1),"-",IF(ABS(I94/'FIRM Load Pull'!Q94-1)&gt;1000%," - ",(I94/'FIRM Load Pull'!Q94-1)))</f>
        <v>8.7499712207060654E-2</v>
      </c>
      <c r="L94" s="48">
        <f>'FIRM Load Pull'!E94-'FIRM Load Pull'!F94</f>
        <v>4.4228780299999997</v>
      </c>
      <c r="M94" s="48">
        <f>'FIRM Load Pull'!E94-'FIRM Load Pull'!G94</f>
        <v>6.7961116399999995</v>
      </c>
      <c r="N94" s="216">
        <f>'Consol Pull'!G94</f>
        <v>75.193986243426806</v>
      </c>
      <c r="O94" s="48">
        <f t="shared" si="4"/>
        <v>-40.59330713122683</v>
      </c>
      <c r="P94" s="48">
        <f>I94-'Tracks Pull'!E94</f>
        <v>34.600679112199977</v>
      </c>
      <c r="Q94" s="48">
        <f>M94-'Tracks Pull'!G94</f>
        <v>6.7961116399999995</v>
      </c>
      <c r="R94" s="127" t="str">
        <f>IF(ISERROR(#REF!/'RETAIL Load Pull'!N94-1),"-",IF(ABS(#REF!/'RETAIL Load Pull'!N94-1)&gt;1000%," - ",(#REF!/'RETAIL Load Pull'!N94-1)))</f>
        <v>-</v>
      </c>
      <c r="S94" s="127"/>
      <c r="T94" s="127"/>
      <c r="U94" s="258">
        <f>'RETAIL Load Pull'!E94-'RETAIL Load Pull'!F94</f>
        <v>8.7150130002000026</v>
      </c>
      <c r="V94" s="48">
        <f>'RETAIL Load Pull'!E94-'RETAIL Load Pull'!G94</f>
        <v>16.008318775899994</v>
      </c>
      <c r="W94" s="48" t="e">
        <f>#REF!-N94</f>
        <v>#REF!</v>
      </c>
      <c r="X94" s="48"/>
      <c r="Y94" s="48" t="e">
        <f>#REF!-'Tracks Pull'!M92</f>
        <v>#REF!</v>
      </c>
      <c r="Z94" s="48"/>
      <c r="AA94" s="126">
        <f>V94-'Tracks Pull'!O92</f>
        <v>5.6224904650306939</v>
      </c>
      <c r="AB94" s="146"/>
      <c r="AC94" s="126">
        <f>'Stream Pull'!F94</f>
        <v>-7.1763999999999997E-4</v>
      </c>
      <c r="AD94" s="126">
        <f>'Stream Pull'!G94</f>
        <v>-7.1763999999999997E-4</v>
      </c>
      <c r="AE94" s="126">
        <f>'Stream Pull'!H94</f>
        <v>0</v>
      </c>
      <c r="AF94" s="126">
        <f>'Stream Pull'!M94</f>
        <v>1.5209410609962601</v>
      </c>
      <c r="AG94" s="126">
        <f t="shared" si="3"/>
        <v>1.5202234209962602</v>
      </c>
      <c r="AH94" s="216">
        <f>'Consol Pull'!F94-'Consol Pull'!G94</f>
        <v>1.5282017629847786</v>
      </c>
      <c r="AI94" s="48">
        <f t="shared" si="5"/>
        <v>-7.9783419885184337E-3</v>
      </c>
      <c r="AJ94" s="146"/>
      <c r="AK94" s="224">
        <f>I94+AG94</f>
        <v>36.120902533196237</v>
      </c>
      <c r="AL94" s="224"/>
      <c r="AM94" s="224">
        <f>AK94-E94</f>
        <v>-40.601285473215349</v>
      </c>
      <c r="AN94" s="146"/>
      <c r="AO94" s="48" t="e">
        <f>'FIRM Load Pull'!#REF!</f>
        <v>#REF!</v>
      </c>
      <c r="AP94" s="216" t="e">
        <f>I94+AG94+AO94</f>
        <v>#REF!</v>
      </c>
      <c r="AQ94" s="48" t="e">
        <f>AP94-E94</f>
        <v>#REF!</v>
      </c>
      <c r="AR94" s="2"/>
      <c r="AS94" s="2"/>
      <c r="AT94" s="2"/>
    </row>
    <row r="95" spans="1:46" ht="16.2" customHeight="1" outlineLevel="2">
      <c r="A95" s="2" t="s">
        <v>218</v>
      </c>
      <c r="B95" s="44" t="s">
        <v>163</v>
      </c>
      <c r="C95" s="236" t="s">
        <v>163</v>
      </c>
      <c r="D95" s="313" t="s">
        <v>163</v>
      </c>
      <c r="E95" s="48">
        <f>'Consol Pull'!F95</f>
        <v>35.493293423512831</v>
      </c>
      <c r="F95" s="162"/>
      <c r="G95" s="127">
        <f>IF(ISERROR(E95/'Consol Pull'!T95-1),"-",IF(ABS(E95/'Consol Pull'!T95-1)&gt;1000%," - ",(E95/'Consol Pull'!T95-1)))</f>
        <v>0.58898684322620243</v>
      </c>
      <c r="H95" s="146"/>
      <c r="I95" s="48">
        <f>'FIRM Load Pull'!E95</f>
        <v>8.2791765207000019</v>
      </c>
      <c r="J95" s="48">
        <f>'Ship Load Pull'!E95</f>
        <v>6.515236905600001</v>
      </c>
      <c r="K95" s="127">
        <f>IF(ISERROR(I95/'FIRM Load Pull'!Q95-1),"-",IF(ABS(I95/'FIRM Load Pull'!Q95-1)&gt;1000%," - ",(I95/'FIRM Load Pull'!Q95-1)))</f>
        <v>-0.21729004235084337</v>
      </c>
      <c r="L95" s="48">
        <f>'FIRM Load Pull'!E95-'FIRM Load Pull'!F95</f>
        <v>0.34923208000000105</v>
      </c>
      <c r="M95" s="48">
        <f>'FIRM Load Pull'!E95-'FIRM Load Pull'!G95</f>
        <v>1.3664754799999992</v>
      </c>
      <c r="N95" s="216">
        <f>'Consol Pull'!G95</f>
        <v>34.356312961647298</v>
      </c>
      <c r="O95" s="48">
        <f t="shared" si="4"/>
        <v>-26.077136440947296</v>
      </c>
      <c r="P95" s="48">
        <f>I95-'Tracks Pull'!E95</f>
        <v>-21.965078808082069</v>
      </c>
      <c r="Q95" s="48">
        <f>M95-'Tracks Pull'!G95</f>
        <v>-2.3335260173993744</v>
      </c>
      <c r="R95" s="127" t="str">
        <f>IF(ISERROR(#REF!/'RETAIL Load Pull'!N95-1),"-",IF(ABS(#REF!/'RETAIL Load Pull'!N95-1)&gt;1000%," - ",(#REF!/'RETAIL Load Pull'!N95-1)))</f>
        <v>-</v>
      </c>
      <c r="S95" s="127"/>
      <c r="T95" s="127"/>
      <c r="U95" s="258">
        <f>'RETAIL Load Pull'!E95-'RETAIL Load Pull'!F95</f>
        <v>0.37437841699999908</v>
      </c>
      <c r="V95" s="48">
        <f>'RETAIL Load Pull'!E95-'RETAIL Load Pull'!G95</f>
        <v>10.257355633700005</v>
      </c>
      <c r="W95" s="48" t="e">
        <f>#REF!-N95</f>
        <v>#REF!</v>
      </c>
      <c r="X95" s="48"/>
      <c r="Y95" s="48" t="e">
        <f>#REF!-'Tracks Pull'!M93</f>
        <v>#REF!</v>
      </c>
      <c r="Z95" s="48"/>
      <c r="AA95" s="126">
        <f>V95-'Tracks Pull'!O93</f>
        <v>5.5330089669210274</v>
      </c>
      <c r="AB95" s="146"/>
      <c r="AC95" s="126">
        <f>'Stream Pull'!F95</f>
        <v>0</v>
      </c>
      <c r="AD95" s="126">
        <f>'Stream Pull'!G95</f>
        <v>0</v>
      </c>
      <c r="AE95" s="126">
        <f>'Stream Pull'!H95</f>
        <v>0</v>
      </c>
      <c r="AF95" s="126">
        <f>'Stream Pull'!M95</f>
        <v>1.1369375487750899</v>
      </c>
      <c r="AG95" s="126">
        <f t="shared" si="3"/>
        <v>1.1369375487750899</v>
      </c>
      <c r="AH95" s="216">
        <f>'Consol Pull'!F95-'Consol Pull'!G95</f>
        <v>1.1369804618655337</v>
      </c>
      <c r="AI95" s="48">
        <f t="shared" si="5"/>
        <v>-4.2913090443796875E-5</v>
      </c>
      <c r="AJ95" s="146"/>
      <c r="AK95" s="224">
        <f>I95+AG95</f>
        <v>9.4161140694750927</v>
      </c>
      <c r="AL95" s="224"/>
      <c r="AM95" s="224">
        <f>AK95-E95</f>
        <v>-26.077179354037739</v>
      </c>
      <c r="AN95" s="146"/>
      <c r="AO95" s="48" t="e">
        <f>'FIRM Load Pull'!#REF!</f>
        <v>#REF!</v>
      </c>
      <c r="AP95" s="216" t="e">
        <f>I95+AG95+AO95</f>
        <v>#REF!</v>
      </c>
      <c r="AQ95" s="48" t="e">
        <f>AP95-E95</f>
        <v>#REF!</v>
      </c>
      <c r="AR95" s="2"/>
      <c r="AS95" s="2"/>
      <c r="AT95" s="2"/>
    </row>
    <row r="96" spans="1:46" ht="16.2" customHeight="1" outlineLevel="2">
      <c r="A96" s="2" t="s">
        <v>218</v>
      </c>
      <c r="B96" s="44" t="s">
        <v>404</v>
      </c>
      <c r="C96" s="236" t="s">
        <v>404</v>
      </c>
      <c r="D96" s="313" t="s">
        <v>404</v>
      </c>
      <c r="E96" s="48">
        <f>'Consol Pull'!F96</f>
        <v>0</v>
      </c>
      <c r="F96" s="162"/>
      <c r="G96" s="127"/>
      <c r="H96" s="146"/>
      <c r="I96" s="48">
        <f>'FIRM Load Pull'!E96</f>
        <v>0</v>
      </c>
      <c r="J96" s="48">
        <f>'Ship Load Pull'!E96</f>
        <v>0</v>
      </c>
      <c r="K96" s="127" t="str">
        <f>IF(ISERROR(I96/'FIRM Load Pull'!Q96-1),"-",IF(ABS(I96/'FIRM Load Pull'!Q96-1)&gt;1000%," - ",(I96/'FIRM Load Pull'!Q96-1)))</f>
        <v>-</v>
      </c>
      <c r="L96" s="48">
        <f>'FIRM Load Pull'!E96-'FIRM Load Pull'!F96</f>
        <v>0</v>
      </c>
      <c r="M96" s="48">
        <f>'FIRM Load Pull'!E96-'FIRM Load Pull'!G96</f>
        <v>0</v>
      </c>
      <c r="N96" s="216">
        <f>'Consol Pull'!G96</f>
        <v>0</v>
      </c>
      <c r="O96" s="48">
        <f t="shared" si="4"/>
        <v>0</v>
      </c>
      <c r="P96" s="48">
        <f>I96-'Tracks Pull'!E96</f>
        <v>-49.524748563658676</v>
      </c>
      <c r="Q96" s="48">
        <f>M96-'Tracks Pull'!G96</f>
        <v>-8.4727277534650369</v>
      </c>
      <c r="R96" s="127"/>
      <c r="S96" s="127"/>
      <c r="T96" s="127"/>
      <c r="U96" s="258"/>
      <c r="V96" s="48"/>
      <c r="W96" s="48"/>
      <c r="X96" s="48"/>
      <c r="Y96" s="48"/>
      <c r="Z96" s="48"/>
      <c r="AA96" s="126"/>
      <c r="AB96" s="146"/>
      <c r="AC96" s="126">
        <f>'Stream Pull'!F96</f>
        <v>0</v>
      </c>
      <c r="AD96" s="126">
        <f>'Stream Pull'!G96</f>
        <v>0</v>
      </c>
      <c r="AE96" s="126">
        <f>'Stream Pull'!H96</f>
        <v>0</v>
      </c>
      <c r="AF96" s="126">
        <f>'Stream Pull'!M96</f>
        <v>0</v>
      </c>
      <c r="AG96" s="126">
        <f t="shared" si="3"/>
        <v>0</v>
      </c>
      <c r="AH96" s="216"/>
      <c r="AI96" s="48"/>
      <c r="AJ96" s="146"/>
      <c r="AK96" s="224"/>
      <c r="AL96" s="224"/>
      <c r="AM96" s="224"/>
      <c r="AN96" s="146"/>
      <c r="AO96" s="48"/>
      <c r="AP96" s="216"/>
      <c r="AQ96" s="48"/>
      <c r="AR96" s="2"/>
      <c r="AS96" s="2"/>
      <c r="AT96" s="2"/>
    </row>
    <row r="97" spans="1:46" s="140" customFormat="1" ht="16.2" customHeight="1" outlineLevel="1">
      <c r="A97" s="141" t="s">
        <v>218</v>
      </c>
      <c r="B97" s="46" t="s">
        <v>59</v>
      </c>
      <c r="C97" s="236" t="s">
        <v>59</v>
      </c>
      <c r="D97" s="311" t="s">
        <v>59</v>
      </c>
      <c r="E97" s="248">
        <f>'Consol Pull'!F97</f>
        <v>52.456830938668887</v>
      </c>
      <c r="F97" s="246"/>
      <c r="G97" s="127">
        <f>IF(ISERROR(E97/'Consol Pull'!T97-1),"-",IF(ABS(E97/'Consol Pull'!T97-1)&gt;1000%," - ",(E97/'Consol Pull'!T97-1)))</f>
        <v>-0.25799205432001682</v>
      </c>
      <c r="H97" s="247"/>
      <c r="I97" s="248">
        <f>'FIRM Load Pull'!E97</f>
        <v>21.683239751999999</v>
      </c>
      <c r="J97" s="248">
        <f>'Ship Load Pull'!E97</f>
        <v>3.1541110900000007</v>
      </c>
      <c r="K97" s="127">
        <f>IF(ISERROR(I97/'FIRM Load Pull'!Q97-1),"-",IF(ABS(I97/'FIRM Load Pull'!Q97-1)&gt;1000%," - ",(I97/'FIRM Load Pull'!Q97-1)))</f>
        <v>0.12797190773015021</v>
      </c>
      <c r="L97" s="248">
        <f>'FIRM Load Pull'!E97-'FIRM Load Pull'!F97</f>
        <v>-5.4356779999999105E-2</v>
      </c>
      <c r="M97" s="248">
        <f>'FIRM Load Pull'!E97-'FIRM Load Pull'!G97</f>
        <v>11.818046989999999</v>
      </c>
      <c r="N97" s="223">
        <f>'Consol Pull'!G97</f>
        <v>47.173502189234597</v>
      </c>
      <c r="O97" s="248">
        <f t="shared" si="4"/>
        <v>-25.490262437234598</v>
      </c>
      <c r="P97" s="248">
        <f>I97-'Tracks Pull'!E97</f>
        <v>9.0353842987126782</v>
      </c>
      <c r="Q97" s="248">
        <f>M97-'Tracks Pull'!G97</f>
        <v>9.666631669089389</v>
      </c>
      <c r="R97" s="127" t="str">
        <f>IF(ISERROR(#REF!/'RETAIL Load Pull'!N97-1),"-",IF(ABS(#REF!/'RETAIL Load Pull'!N97-1)&gt;1000%," - ",(#REF!/'RETAIL Load Pull'!N97-1)))</f>
        <v>-</v>
      </c>
      <c r="S97" s="127"/>
      <c r="T97" s="127"/>
      <c r="U97" s="262">
        <f>'RETAIL Load Pull'!E97-'RETAIL Load Pull'!F97</f>
        <v>0.18749331660000479</v>
      </c>
      <c r="V97" s="248">
        <f>'RETAIL Load Pull'!E97-'RETAIL Load Pull'!G97</f>
        <v>0.34226516360001114</v>
      </c>
      <c r="W97" s="248" t="e">
        <f>#REF!-N97</f>
        <v>#REF!</v>
      </c>
      <c r="X97" s="248"/>
      <c r="Y97" s="248" t="e">
        <f>#REF!-'Tracks Pull'!M95</f>
        <v>#REF!</v>
      </c>
      <c r="Z97" s="248"/>
      <c r="AA97" s="250">
        <f>V97-'Tracks Pull'!O95</f>
        <v>-3.3577363337993624</v>
      </c>
      <c r="AB97" s="247"/>
      <c r="AC97" s="250">
        <f>'Stream Pull'!F97</f>
        <v>6.2990900000000002E-3</v>
      </c>
      <c r="AD97" s="250">
        <f>'Stream Pull'!G97</f>
        <v>6.2990900000000002E-3</v>
      </c>
      <c r="AE97" s="250">
        <f>'Stream Pull'!H97</f>
        <v>0</v>
      </c>
      <c r="AF97" s="250">
        <f>'Stream Pull'!M97</f>
        <v>5.2829668519342903</v>
      </c>
      <c r="AG97" s="250">
        <f t="shared" si="3"/>
        <v>5.28926594193429</v>
      </c>
      <c r="AH97" s="223">
        <f>'Consol Pull'!F97-'Consol Pull'!G97</f>
        <v>5.2833287494342898</v>
      </c>
      <c r="AI97" s="248">
        <f t="shared" si="5"/>
        <v>5.9371925000002435E-3</v>
      </c>
      <c r="AJ97" s="247"/>
      <c r="AK97" s="251">
        <f>I97+AG97</f>
        <v>26.972505693934288</v>
      </c>
      <c r="AL97" s="251"/>
      <c r="AM97" s="251">
        <f>AK97-E97</f>
        <v>-25.484325244734599</v>
      </c>
      <c r="AN97" s="247"/>
      <c r="AO97" s="248" t="e">
        <f>'FIRM Load Pull'!#REF!</f>
        <v>#REF!</v>
      </c>
      <c r="AP97" s="223" t="e">
        <f>I97+AG97+AO97</f>
        <v>#REF!</v>
      </c>
      <c r="AQ97" s="248" t="e">
        <f>AP97-E97</f>
        <v>#REF!</v>
      </c>
      <c r="AR97" s="141"/>
      <c r="AS97" s="141"/>
      <c r="AT97" s="141"/>
    </row>
    <row r="98" spans="1:46" s="140" customFormat="1" ht="16.2" customHeight="1" outlineLevel="1">
      <c r="A98" s="141" t="s">
        <v>218</v>
      </c>
      <c r="B98" s="46" t="s">
        <v>34</v>
      </c>
      <c r="C98" s="236" t="s">
        <v>34</v>
      </c>
      <c r="D98" s="311" t="s">
        <v>34</v>
      </c>
      <c r="E98" s="248">
        <f>'Consol Pull'!F98</f>
        <v>88.360804338435457</v>
      </c>
      <c r="F98" s="246"/>
      <c r="G98" s="127">
        <f>IF(ISERROR(E98/'Consol Pull'!T98-1),"-",IF(ABS(E98/'Consol Pull'!T98-1)&gt;1000%," - ",(E98/'Consol Pull'!T98-1)))</f>
        <v>5.952433418767944E-2</v>
      </c>
      <c r="H98" s="247"/>
      <c r="I98" s="248">
        <f>'FIRM Load Pull'!E98</f>
        <v>26.700013040900018</v>
      </c>
      <c r="J98" s="248">
        <f>'Ship Load Pull'!E98</f>
        <v>22.054092364700008</v>
      </c>
      <c r="K98" s="127">
        <f>IF(ISERROR(I98/'FIRM Load Pull'!Q98-1),"-",IF(ABS(I98/'FIRM Load Pull'!Q98-1)&gt;1000%," - ",(I98/'FIRM Load Pull'!Q98-1)))</f>
        <v>0.26454966753431264</v>
      </c>
      <c r="L98" s="248">
        <f>'FIRM Load Pull'!E98-'FIRM Load Pull'!F98</f>
        <v>0.66672920000000246</v>
      </c>
      <c r="M98" s="248">
        <f>'FIRM Load Pull'!E98-'FIRM Load Pull'!G98</f>
        <v>-0.7486465799999813</v>
      </c>
      <c r="N98" s="223">
        <f>'Consol Pull'!G98</f>
        <v>85.151446235837398</v>
      </c>
      <c r="O98" s="248">
        <f t="shared" si="4"/>
        <v>-58.45143319493738</v>
      </c>
      <c r="P98" s="248">
        <f>I98-'Tracks Pull'!E98</f>
        <v>26.700013040900018</v>
      </c>
      <c r="Q98" s="248">
        <f>M98-'Tracks Pull'!G98</f>
        <v>-0.7486465799999813</v>
      </c>
      <c r="R98" s="127" t="str">
        <f>IF(ISERROR(#REF!/'RETAIL Load Pull'!N98-1),"-",IF(ABS(#REF!/'RETAIL Load Pull'!N98-1)&gt;1000%," - ",(#REF!/'RETAIL Load Pull'!N98-1)))</f>
        <v>-</v>
      </c>
      <c r="S98" s="127"/>
      <c r="T98" s="127"/>
      <c r="U98" s="262">
        <f>'RETAIL Load Pull'!E98-'RETAIL Load Pull'!F98</f>
        <v>-1.9928984335999473</v>
      </c>
      <c r="V98" s="248">
        <f>'RETAIL Load Pull'!E98-'RETAIL Load Pull'!G98</f>
        <v>2.2025944796000516</v>
      </c>
      <c r="W98" s="248" t="e">
        <f>#REF!-N98</f>
        <v>#REF!</v>
      </c>
      <c r="X98" s="248"/>
      <c r="Y98" s="248" t="e">
        <f>#REF!-'Tracks Pull'!M96</f>
        <v>#REF!</v>
      </c>
      <c r="Z98" s="248"/>
      <c r="AA98" s="250">
        <f>V98-'Tracks Pull'!O96</f>
        <v>-6.2701332738649853</v>
      </c>
      <c r="AB98" s="247"/>
      <c r="AC98" s="250">
        <f>'Stream Pull'!F98</f>
        <v>1.5336200000000001E-3</v>
      </c>
      <c r="AD98" s="250">
        <f>'Stream Pull'!G98</f>
        <v>1.5336200000000001E-3</v>
      </c>
      <c r="AE98" s="250">
        <f>'Stream Pull'!H98</f>
        <v>0</v>
      </c>
      <c r="AF98" s="250">
        <f>'Stream Pull'!M98</f>
        <v>2.6465555500320024</v>
      </c>
      <c r="AG98" s="250">
        <f t="shared" si="3"/>
        <v>2.6480891700320024</v>
      </c>
      <c r="AH98" s="223">
        <f>'Consol Pull'!F98-'Consol Pull'!G98</f>
        <v>3.2093581025980598</v>
      </c>
      <c r="AI98" s="248">
        <f t="shared" si="5"/>
        <v>-0.56126893256605737</v>
      </c>
      <c r="AJ98" s="247"/>
      <c r="AK98" s="251">
        <f>I98+AG98</f>
        <v>29.348102210932019</v>
      </c>
      <c r="AL98" s="251"/>
      <c r="AM98" s="251">
        <f>AK98-E98</f>
        <v>-59.012702127503438</v>
      </c>
      <c r="AN98" s="247"/>
      <c r="AO98" s="248" t="e">
        <f>'FIRM Load Pull'!#REF!</f>
        <v>#REF!</v>
      </c>
      <c r="AP98" s="223" t="e">
        <f>I98+AG98+AO98</f>
        <v>#REF!</v>
      </c>
      <c r="AQ98" s="248" t="e">
        <f>AP98-E98</f>
        <v>#REF!</v>
      </c>
      <c r="AR98" s="141"/>
      <c r="AS98" s="141"/>
      <c r="AT98" s="141"/>
    </row>
    <row r="99" spans="1:46" s="140" customFormat="1" ht="16.2" customHeight="1" outlineLevel="1">
      <c r="A99" s="141" t="s">
        <v>218</v>
      </c>
      <c r="B99" s="46" t="s">
        <v>407</v>
      </c>
      <c r="C99" s="236" t="s">
        <v>399</v>
      </c>
      <c r="D99" s="313" t="s">
        <v>399</v>
      </c>
      <c r="E99" s="248">
        <f>'Consol Pull'!F99</f>
        <v>23.086633890027588</v>
      </c>
      <c r="F99" s="246"/>
      <c r="G99" s="127"/>
      <c r="H99" s="247"/>
      <c r="I99" s="248">
        <f>'FIRM Load Pull'!E99</f>
        <v>6.437625810000001</v>
      </c>
      <c r="J99" s="248">
        <f>'Ship Load Pull'!E99</f>
        <v>5.5996330400000005</v>
      </c>
      <c r="K99" s="127">
        <f>IF(ISERROR(I99/'FIRM Load Pull'!Q99-1),"-",IF(ABS(I99/'FIRM Load Pull'!Q99-1)&gt;1000%," - ",(I99/'FIRM Load Pull'!Q99-1)))</f>
        <v>-0.27038659285658195</v>
      </c>
      <c r="L99" s="248">
        <f>'FIRM Load Pull'!E99-'FIRM Load Pull'!F99</f>
        <v>0.49279555999999936</v>
      </c>
      <c r="M99" s="248">
        <f>'FIRM Load Pull'!E99-'FIRM Load Pull'!G99</f>
        <v>0.30084361000000026</v>
      </c>
      <c r="N99" s="223">
        <f>'Consol Pull'!G99</f>
        <v>22.204456458753199</v>
      </c>
      <c r="O99" s="248">
        <f t="shared" si="4"/>
        <v>-15.766830648753199</v>
      </c>
      <c r="P99" s="248">
        <f>I99-'Tracks Pull'!E99</f>
        <v>6.437625810000001</v>
      </c>
      <c r="Q99" s="248">
        <f>M99-'Tracks Pull'!G99</f>
        <v>0.30084361000000026</v>
      </c>
      <c r="R99" s="127"/>
      <c r="S99" s="127"/>
      <c r="T99" s="127"/>
      <c r="U99" s="262"/>
      <c r="V99" s="248"/>
      <c r="W99" s="248"/>
      <c r="X99" s="248"/>
      <c r="Y99" s="248"/>
      <c r="Z99" s="248"/>
      <c r="AA99" s="250"/>
      <c r="AB99" s="247"/>
      <c r="AC99" s="250">
        <f>'Stream Pull'!F99</f>
        <v>0</v>
      </c>
      <c r="AD99" s="250">
        <f>'Stream Pull'!G99</f>
        <v>0</v>
      </c>
      <c r="AE99" s="250">
        <f>'Stream Pull'!H99</f>
        <v>0</v>
      </c>
      <c r="AF99" s="250">
        <f>'Stream Pull'!M99</f>
        <v>0.59109999999999996</v>
      </c>
      <c r="AG99" s="250">
        <f t="shared" si="3"/>
        <v>0.59109999999999996</v>
      </c>
      <c r="AH99" s="223"/>
      <c r="AI99" s="248"/>
      <c r="AJ99" s="247"/>
      <c r="AK99" s="251"/>
      <c r="AL99" s="251"/>
      <c r="AM99" s="251"/>
      <c r="AN99" s="247"/>
      <c r="AO99" s="248"/>
      <c r="AP99" s="223"/>
      <c r="AQ99" s="248"/>
      <c r="AR99" s="141"/>
      <c r="AS99" s="141"/>
      <c r="AT99" s="141"/>
    </row>
    <row r="100" spans="1:46" ht="16.2" customHeight="1" outlineLevel="2">
      <c r="A100" s="2" t="s">
        <v>218</v>
      </c>
      <c r="B100" s="44" t="s">
        <v>92</v>
      </c>
      <c r="C100" s="236" t="s">
        <v>400</v>
      </c>
      <c r="D100" s="313" t="s">
        <v>400</v>
      </c>
      <c r="E100" s="48">
        <f>'Consol Pull'!F100</f>
        <v>8.9483338637584442</v>
      </c>
      <c r="F100" s="162"/>
      <c r="G100" s="127">
        <f>IF(ISERROR(E100/'Consol Pull'!T99-1),"-",IF(ABS(E100/'Consol Pull'!T99-1)&gt;1000%," - ",(E100/'Consol Pull'!T99-1)))</f>
        <v>-0.60039546637748009</v>
      </c>
      <c r="H100" s="146"/>
      <c r="I100" s="48">
        <f>'FIRM Load Pull'!E100</f>
        <v>1.1547031499999998</v>
      </c>
      <c r="J100" s="48">
        <f>'Ship Load Pull'!E100</f>
        <v>1.1797998599999997</v>
      </c>
      <c r="K100" s="127">
        <f>IF(ISERROR(I100/'FIRM Load Pull'!Q100-1),"-",IF(ABS(I100/'FIRM Load Pull'!Q100-1)&gt;1000%," - ",(I100/'FIRM Load Pull'!Q100-1)))</f>
        <v>-9.9449219591467242E-2</v>
      </c>
      <c r="L100" s="48">
        <f>'FIRM Load Pull'!E100-'FIRM Load Pull'!F100</f>
        <v>0</v>
      </c>
      <c r="M100" s="48">
        <f>'FIRM Load Pull'!E100-'FIRM Load Pull'!G100</f>
        <v>-8.0104900000000034E-2</v>
      </c>
      <c r="N100" s="216">
        <f>'Consol Pull'!G100</f>
        <v>8.6707469173741991</v>
      </c>
      <c r="O100" s="48">
        <f t="shared" si="4"/>
        <v>-7.5160437673741995</v>
      </c>
      <c r="P100" s="48">
        <f>I100-'Tracks Pull'!E100</f>
        <v>-7.8074807877902188</v>
      </c>
      <c r="Q100" s="48">
        <f>M100-'Tracks Pull'!G100</f>
        <v>-1.6099873250830379</v>
      </c>
      <c r="R100" s="127" t="str">
        <f>IF(ISERROR(#REF!/'RETAIL Load Pull'!N99-1),"-",IF(ABS(#REF!/'RETAIL Load Pull'!N99-1)&gt;1000%," - ",(#REF!/'RETAIL Load Pull'!N99-1)))</f>
        <v>-</v>
      </c>
      <c r="S100" s="127"/>
      <c r="T100" s="127"/>
      <c r="U100" s="258">
        <f>'RETAIL Load Pull'!E99-'RETAIL Load Pull'!F99</f>
        <v>1.6145121049999958</v>
      </c>
      <c r="V100" s="48">
        <f>'RETAIL Load Pull'!E99-'RETAIL Load Pull'!G99</f>
        <v>4.9064983157999986</v>
      </c>
      <c r="W100" s="48" t="e">
        <f>#REF!-N100</f>
        <v>#REF!</v>
      </c>
      <c r="X100" s="48"/>
      <c r="Y100" s="48" t="e">
        <f>#REF!-'Tracks Pull'!M97</f>
        <v>#REF!</v>
      </c>
      <c r="Z100" s="48"/>
      <c r="AA100" s="126">
        <f>V100-'Tracks Pull'!O97</f>
        <v>2.7550829948893885</v>
      </c>
      <c r="AB100" s="146"/>
      <c r="AC100" s="126">
        <f>'Stream Pull'!F100</f>
        <v>5.4294E-4</v>
      </c>
      <c r="AD100" s="126">
        <f>'Stream Pull'!G100</f>
        <v>5.4294E-4</v>
      </c>
      <c r="AE100" s="126">
        <f>'Stream Pull'!H100</f>
        <v>0</v>
      </c>
      <c r="AF100" s="126">
        <f>'Stream Pull'!M100</f>
        <v>0.52600000000000002</v>
      </c>
      <c r="AG100" s="126">
        <f t="shared" si="3"/>
        <v>0.52654294000000001</v>
      </c>
      <c r="AH100" s="216">
        <f>'Consol Pull'!F99-'Consol Pull'!G99</f>
        <v>0.88217743127438908</v>
      </c>
      <c r="AI100" s="48">
        <f t="shared" si="5"/>
        <v>-0.35563449127438906</v>
      </c>
      <c r="AJ100" s="146"/>
      <c r="AK100" s="224">
        <f>I100+AG100</f>
        <v>1.6812460899999997</v>
      </c>
      <c r="AL100" s="224"/>
      <c r="AM100" s="224">
        <f>AK100-E100</f>
        <v>-7.2670877737584441</v>
      </c>
      <c r="AN100" s="146"/>
      <c r="AO100" s="48" t="e">
        <f>'FIRM Load Pull'!#REF!</f>
        <v>#REF!</v>
      </c>
      <c r="AP100" s="216" t="e">
        <f>I100+AG100+AO100</f>
        <v>#REF!</v>
      </c>
      <c r="AQ100" s="48" t="e">
        <f>AP100-E100</f>
        <v>#REF!</v>
      </c>
      <c r="AR100" s="2"/>
      <c r="AS100" s="2"/>
      <c r="AT100" s="2"/>
    </row>
    <row r="101" spans="1:46" ht="16.2" customHeight="1" outlineLevel="2">
      <c r="A101" s="2" t="s">
        <v>218</v>
      </c>
      <c r="B101" s="44" t="s">
        <v>408</v>
      </c>
      <c r="C101" s="236" t="s">
        <v>401</v>
      </c>
      <c r="D101" s="313" t="s">
        <v>401</v>
      </c>
      <c r="E101" s="48">
        <f>'Consol Pull'!F101</f>
        <v>13.923681164769039</v>
      </c>
      <c r="F101" s="162"/>
      <c r="G101" s="127"/>
      <c r="H101" s="146"/>
      <c r="I101" s="48">
        <f>'FIRM Load Pull'!E101</f>
        <v>3.6377425571999988</v>
      </c>
      <c r="J101" s="48">
        <f>'Ship Load Pull'!E101</f>
        <v>2.2796762899999994</v>
      </c>
      <c r="K101" s="127">
        <f>IF(ISERROR(I101/'FIRM Load Pull'!Q101-1),"-",IF(ABS(I101/'FIRM Load Pull'!Q101-1)&gt;1000%," - ",(I101/'FIRM Load Pull'!Q101-1)))</f>
        <v>3.3993233890033485</v>
      </c>
      <c r="L101" s="48">
        <f>'FIRM Load Pull'!E101-'FIRM Load Pull'!F101</f>
        <v>0.17393363999999956</v>
      </c>
      <c r="M101" s="48">
        <f>'FIRM Load Pull'!E101-'FIRM Load Pull'!G101</f>
        <v>-0.33584202999999979</v>
      </c>
      <c r="N101" s="216">
        <f>'Consol Pull'!G101</f>
        <v>13.68279921788</v>
      </c>
      <c r="O101" s="48">
        <f t="shared" si="4"/>
        <v>-10.04505666068</v>
      </c>
      <c r="P101" s="48">
        <f>I101-'Tracks Pull'!E101</f>
        <v>-12.435069020644711</v>
      </c>
      <c r="Q101" s="48">
        <f>M101-'Tracks Pull'!G101</f>
        <v>-3.102246092011741</v>
      </c>
      <c r="R101" s="127"/>
      <c r="S101" s="127"/>
      <c r="T101" s="127"/>
      <c r="U101" s="258"/>
      <c r="V101" s="48"/>
      <c r="W101" s="48"/>
      <c r="X101" s="48"/>
      <c r="Y101" s="48"/>
      <c r="Z101" s="48"/>
      <c r="AA101" s="126"/>
      <c r="AB101" s="146"/>
      <c r="AC101" s="126">
        <f>'Stream Pull'!F101</f>
        <v>9.9068000000000008E-4</v>
      </c>
      <c r="AD101" s="126">
        <f>'Stream Pull'!G101</f>
        <v>9.9068000000000008E-4</v>
      </c>
      <c r="AE101" s="126">
        <f>'Stream Pull'!H101</f>
        <v>0</v>
      </c>
      <c r="AF101" s="126">
        <f>'Stream Pull'!M101</f>
        <v>0.12256</v>
      </c>
      <c r="AG101" s="126">
        <f t="shared" si="3"/>
        <v>0.12355068</v>
      </c>
      <c r="AH101" s="216"/>
      <c r="AI101" s="48"/>
      <c r="AJ101" s="146"/>
      <c r="AK101" s="224"/>
      <c r="AL101" s="224"/>
      <c r="AM101" s="224"/>
      <c r="AN101" s="146"/>
      <c r="AO101" s="48"/>
      <c r="AP101" s="216"/>
      <c r="AQ101" s="48"/>
      <c r="AR101" s="2"/>
      <c r="AS101" s="2"/>
      <c r="AT101" s="2"/>
    </row>
    <row r="102" spans="1:46" ht="16.2" customHeight="1" outlineLevel="2">
      <c r="A102" s="2" t="s">
        <v>218</v>
      </c>
      <c r="B102" s="44" t="s">
        <v>93</v>
      </c>
      <c r="C102" s="236" t="s">
        <v>93</v>
      </c>
      <c r="D102" s="313" t="s">
        <v>93</v>
      </c>
      <c r="E102" s="48">
        <f>'Consol Pull'!F102</f>
        <v>16.279838671751687</v>
      </c>
      <c r="F102" s="162"/>
      <c r="G102" s="127">
        <f>IF(ISERROR(E102/'Consol Pull'!T102-1),"-",IF(ABS(E102/'Consol Pull'!T102-1)&gt;1000%," - ",(E102/'Consol Pull'!T102-1)))</f>
        <v>1.4496585030484028</v>
      </c>
      <c r="H102" s="146"/>
      <c r="I102" s="48">
        <f>'FIRM Load Pull'!E102</f>
        <v>4.1735432537000001</v>
      </c>
      <c r="J102" s="48">
        <f>'Ship Load Pull'!E102</f>
        <v>2.1881104046999997</v>
      </c>
      <c r="K102" s="127">
        <f>IF(ISERROR(I102/'FIRM Load Pull'!Q102-1),"-",IF(ABS(I102/'FIRM Load Pull'!Q102-1)&gt;1000%," - ",(I102/'FIRM Load Pull'!Q102-1)))</f>
        <v>4.0796280189819241</v>
      </c>
      <c r="L102" s="48">
        <f>'FIRM Load Pull'!E102-'FIRM Load Pull'!F102</f>
        <v>0</v>
      </c>
      <c r="M102" s="48">
        <f>'FIRM Load Pull'!E102-'FIRM Load Pull'!G102</f>
        <v>-2.5109288000000003</v>
      </c>
      <c r="N102" s="216">
        <f>'Consol Pull'!G102</f>
        <v>15.5307161087064</v>
      </c>
      <c r="O102" s="48">
        <f t="shared" si="4"/>
        <v>-11.3571728550064</v>
      </c>
      <c r="P102" s="48">
        <f>I102-'Tracks Pull'!E102</f>
        <v>4.1735432537000001</v>
      </c>
      <c r="Q102" s="48">
        <f>M102-'Tracks Pull'!G102</f>
        <v>-2.5109288000000003</v>
      </c>
      <c r="R102" s="127" t="str">
        <f>IF(ISERROR(#REF!/'RETAIL Load Pull'!N102-1),"-",IF(ABS(#REF!/'RETAIL Load Pull'!N102-1)&gt;1000%," - ",(#REF!/'RETAIL Load Pull'!N102-1)))</f>
        <v>-</v>
      </c>
      <c r="S102" s="127"/>
      <c r="T102" s="127"/>
      <c r="U102" s="258">
        <f>'RETAIL Load Pull'!E102-'RETAIL Load Pull'!F102</f>
        <v>0</v>
      </c>
      <c r="V102" s="48">
        <f>'RETAIL Load Pull'!E102-'RETAIL Load Pull'!G102</f>
        <v>-1.9276883800000029</v>
      </c>
      <c r="W102" s="48" t="e">
        <f>#REF!-N102</f>
        <v>#REF!</v>
      </c>
      <c r="X102" s="48"/>
      <c r="Y102" s="48" t="e">
        <f>#REF!-'Tracks Pull'!M100</f>
        <v>#REF!</v>
      </c>
      <c r="Z102" s="48"/>
      <c r="AA102" s="126">
        <f>V102-'Tracks Pull'!O100</f>
        <v>-3.4575708050830407</v>
      </c>
      <c r="AB102" s="146"/>
      <c r="AC102" s="126">
        <f>'Stream Pull'!F102</f>
        <v>0</v>
      </c>
      <c r="AD102" s="126">
        <f>'Stream Pull'!G102</f>
        <v>0</v>
      </c>
      <c r="AE102" s="126">
        <f>'Stream Pull'!H102</f>
        <v>0</v>
      </c>
      <c r="AF102" s="126">
        <f>'Stream Pull'!M102</f>
        <v>0.68189555003200197</v>
      </c>
      <c r="AG102" s="126">
        <f t="shared" si="3"/>
        <v>0.68189555003200197</v>
      </c>
      <c r="AH102" s="216">
        <f>'Consol Pull'!F102-'Consol Pull'!G102</f>
        <v>0.74912256304528668</v>
      </c>
      <c r="AI102" s="48">
        <f t="shared" si="5"/>
        <v>-6.7227013013284709E-2</v>
      </c>
      <c r="AJ102" s="146"/>
      <c r="AK102" s="224">
        <f>I102+AG102</f>
        <v>4.8554388037320022</v>
      </c>
      <c r="AL102" s="224"/>
      <c r="AM102" s="224">
        <f>AK102-E102</f>
        <v>-11.424399868019684</v>
      </c>
      <c r="AN102" s="146"/>
      <c r="AO102" s="48" t="e">
        <f>'FIRM Load Pull'!#REF!</f>
        <v>#REF!</v>
      </c>
      <c r="AP102" s="216" t="e">
        <f>I102+AG102+AO102</f>
        <v>#REF!</v>
      </c>
      <c r="AQ102" s="48" t="e">
        <f>AP102-E102</f>
        <v>#REF!</v>
      </c>
      <c r="AR102" s="2"/>
      <c r="AS102" s="2"/>
      <c r="AT102" s="2"/>
    </row>
    <row r="103" spans="1:46" ht="16.2" customHeight="1" outlineLevel="2">
      <c r="A103" s="2" t="s">
        <v>218</v>
      </c>
      <c r="B103" s="44" t="s">
        <v>238</v>
      </c>
      <c r="C103" s="236" t="s">
        <v>238</v>
      </c>
      <c r="D103" s="313" t="s">
        <v>238</v>
      </c>
      <c r="E103" s="48">
        <f>'Consol Pull'!F103</f>
        <v>28.05853797220696</v>
      </c>
      <c r="F103" s="162"/>
      <c r="G103" s="127">
        <f>IF(ISERROR(E103/'Consol Pull'!T103-1),"-",IF(ABS(E103/'Consol Pull'!T103-1)&gt;1000%," - ",(E103/'Consol Pull'!T103-1)))</f>
        <v>-0.17357778844997729</v>
      </c>
      <c r="H103" s="146"/>
      <c r="I103" s="48">
        <f>'FIRM Load Pull'!E103</f>
        <v>11.296398270000005</v>
      </c>
      <c r="J103" s="48">
        <f>'Ship Load Pull'!E103</f>
        <v>10.806872770000002</v>
      </c>
      <c r="K103" s="127">
        <f>IF(ISERROR(I103/'FIRM Load Pull'!Q103-1),"-",IF(ABS(I103/'FIRM Load Pull'!Q103-1)&gt;1000%," - ",(I103/'FIRM Load Pull'!Q103-1)))</f>
        <v>0.20685712361575259</v>
      </c>
      <c r="L103" s="48">
        <f>'FIRM Load Pull'!E103-'FIRM Load Pull'!F103</f>
        <v>0</v>
      </c>
      <c r="M103" s="48">
        <f>'FIRM Load Pull'!E103-'FIRM Load Pull'!G103</f>
        <v>1.8773855400000024</v>
      </c>
      <c r="N103" s="216">
        <f>'Consol Pull'!G103</f>
        <v>26.9989866295128</v>
      </c>
      <c r="O103" s="48">
        <f t="shared" si="4"/>
        <v>-15.702588359512795</v>
      </c>
      <c r="P103" s="48">
        <f>I103-'Tracks Pull'!E103</f>
        <v>11.296398270000005</v>
      </c>
      <c r="Q103" s="48">
        <f>M103-'Tracks Pull'!G103</f>
        <v>1.8773855400000024</v>
      </c>
      <c r="R103" s="127" t="str">
        <f>IF(ISERROR(#REF!/'RETAIL Load Pull'!N103-1),"-",IF(ABS(#REF!/'RETAIL Load Pull'!N103-1)&gt;1000%," - ",(#REF!/'RETAIL Load Pull'!N103-1)))</f>
        <v>-</v>
      </c>
      <c r="S103" s="127"/>
      <c r="T103" s="127"/>
      <c r="U103" s="258">
        <f>'RETAIL Load Pull'!E103-'RETAIL Load Pull'!F103</f>
        <v>-4.0897778045999935</v>
      </c>
      <c r="V103" s="48">
        <f>'RETAIL Load Pull'!E103-'RETAIL Load Pull'!G103</f>
        <v>-2.599128104600009</v>
      </c>
      <c r="W103" s="48" t="e">
        <f>#REF!-N103</f>
        <v>#REF!</v>
      </c>
      <c r="X103" s="48"/>
      <c r="Y103" s="48" t="e">
        <f>#REF!-'Tracks Pull'!M101</f>
        <v>#REF!</v>
      </c>
      <c r="Z103" s="48"/>
      <c r="AA103" s="126">
        <f>V103-'Tracks Pull'!O101</f>
        <v>-5.3655321666117501</v>
      </c>
      <c r="AB103" s="146"/>
      <c r="AC103" s="126">
        <f>'Stream Pull'!F103</f>
        <v>0</v>
      </c>
      <c r="AD103" s="126">
        <f>'Stream Pull'!G103</f>
        <v>0</v>
      </c>
      <c r="AE103" s="126">
        <f>'Stream Pull'!H103</f>
        <v>0</v>
      </c>
      <c r="AF103" s="126">
        <f>'Stream Pull'!M103</f>
        <v>0.72499999999999998</v>
      </c>
      <c r="AG103" s="126">
        <f t="shared" si="3"/>
        <v>0.72499999999999998</v>
      </c>
      <c r="AH103" s="216">
        <f>'Consol Pull'!F103-'Consol Pull'!G103</f>
        <v>1.0595513426941601</v>
      </c>
      <c r="AI103" s="48">
        <f t="shared" si="5"/>
        <v>-0.33455134269416009</v>
      </c>
      <c r="AJ103" s="146"/>
      <c r="AK103" s="224">
        <f>I103+AG103</f>
        <v>12.021398270000004</v>
      </c>
      <c r="AL103" s="224"/>
      <c r="AM103" s="224">
        <f>AK103-E103</f>
        <v>-16.037139702206957</v>
      </c>
      <c r="AN103" s="146"/>
      <c r="AO103" s="48" t="e">
        <f>'FIRM Load Pull'!#REF!</f>
        <v>#REF!</v>
      </c>
      <c r="AP103" s="216" t="e">
        <f>I103+AG103+AO103</f>
        <v>#REF!</v>
      </c>
      <c r="AQ103" s="48" t="e">
        <f>AP103-E103</f>
        <v>#REF!</v>
      </c>
      <c r="AR103" s="2"/>
      <c r="AS103" s="2"/>
      <c r="AT103" s="2"/>
    </row>
    <row r="104" spans="1:46" ht="16.2" customHeight="1" outlineLevel="2">
      <c r="A104" s="2" t="s">
        <v>218</v>
      </c>
      <c r="B104" s="44" t="s">
        <v>419</v>
      </c>
      <c r="C104" s="236" t="s">
        <v>402</v>
      </c>
      <c r="D104" s="313" t="s">
        <v>419</v>
      </c>
      <c r="E104" s="48">
        <f>'Consol Pull'!F104</f>
        <v>-1.93594078634779</v>
      </c>
      <c r="F104" s="162"/>
      <c r="G104" s="127"/>
      <c r="H104" s="146"/>
      <c r="I104" s="48">
        <f>'FIRM Load Pull'!E104</f>
        <v>0</v>
      </c>
      <c r="J104" s="48">
        <f>'Ship Load Pull'!E104</f>
        <v>0</v>
      </c>
      <c r="K104" s="127" t="str">
        <f>IF(ISERROR(I104/'FIRM Load Pull'!Q104-1),"-",IF(ABS(I104/'FIRM Load Pull'!Q104-1)&gt;1000%," - ",(I104/'FIRM Load Pull'!Q104-1)))</f>
        <v>-</v>
      </c>
      <c r="L104" s="48">
        <f>'FIRM Load Pull'!E104-'FIRM Load Pull'!F104</f>
        <v>0</v>
      </c>
      <c r="M104" s="48">
        <f>'FIRM Load Pull'!E104-'FIRM Load Pull'!G104</f>
        <v>0</v>
      </c>
      <c r="N104" s="216">
        <f>'Consol Pull'!G104</f>
        <v>-1.93594078634779</v>
      </c>
      <c r="O104" s="48">
        <f t="shared" si="4"/>
        <v>1.93594078634779</v>
      </c>
      <c r="P104" s="48">
        <f>I104-'Tracks Pull'!E104</f>
        <v>0</v>
      </c>
      <c r="Q104" s="48">
        <f>M104-'Tracks Pull'!G104</f>
        <v>0</v>
      </c>
      <c r="R104" s="127"/>
      <c r="S104" s="127"/>
      <c r="T104" s="127"/>
      <c r="U104" s="258"/>
      <c r="V104" s="48"/>
      <c r="W104" s="48"/>
      <c r="X104" s="48"/>
      <c r="Y104" s="48"/>
      <c r="Z104" s="48"/>
      <c r="AA104" s="126"/>
      <c r="AB104" s="146"/>
      <c r="AC104" s="126">
        <f>'Stream Pull'!F104</f>
        <v>0</v>
      </c>
      <c r="AD104" s="126">
        <f>'Stream Pull'!G104</f>
        <v>0</v>
      </c>
      <c r="AE104" s="126">
        <f>'Stream Pull'!H104</f>
        <v>0</v>
      </c>
      <c r="AF104" s="126">
        <f>'Stream Pull'!M104</f>
        <v>0</v>
      </c>
      <c r="AG104" s="126">
        <f t="shared" si="3"/>
        <v>0</v>
      </c>
      <c r="AH104" s="216"/>
      <c r="AI104" s="48"/>
      <c r="AJ104" s="146"/>
      <c r="AK104" s="224"/>
      <c r="AL104" s="224"/>
      <c r="AM104" s="224"/>
      <c r="AN104" s="146"/>
      <c r="AO104" s="48"/>
      <c r="AP104" s="216"/>
      <c r="AQ104" s="48"/>
      <c r="AR104" s="2"/>
      <c r="AS104" s="2"/>
      <c r="AT104" s="2"/>
    </row>
    <row r="105" spans="1:46" s="301" customFormat="1" ht="16.2" customHeight="1">
      <c r="A105" s="326"/>
      <c r="B105" s="327"/>
      <c r="C105" s="235"/>
      <c r="D105" s="320"/>
      <c r="E105" s="321">
        <f>WW!D9</f>
        <v>3286.3575052670203</v>
      </c>
      <c r="F105" s="321">
        <f>WW!E9</f>
        <v>2838.1264742000017</v>
      </c>
      <c r="G105" s="328">
        <f>WW!F9</f>
        <v>0.15793201435583093</v>
      </c>
      <c r="H105" s="321">
        <f>WW!G9</f>
        <v>0</v>
      </c>
      <c r="I105" s="321">
        <f>WW!H9</f>
        <v>448.58961679660007</v>
      </c>
      <c r="J105" s="321">
        <f>WW!I9</f>
        <v>256.76875552409984</v>
      </c>
      <c r="K105" s="328">
        <f>WW!K9</f>
        <v>0.15984053451364866</v>
      </c>
      <c r="L105" s="321">
        <f>WW!N9</f>
        <v>31.714339138900016</v>
      </c>
      <c r="M105" s="321">
        <f>WW!O9</f>
        <v>86.717290116400079</v>
      </c>
      <c r="N105" s="321">
        <f>WW!P9</f>
        <v>2715.9684048649497</v>
      </c>
      <c r="O105" s="321">
        <f>WW!Q9</f>
        <v>-2267.3787880683499</v>
      </c>
      <c r="P105" s="321">
        <f>WW!S9</f>
        <v>-217.51702602462277</v>
      </c>
      <c r="Q105" s="321">
        <f>WW!U9</f>
        <v>-41.418297074737808</v>
      </c>
      <c r="R105" s="322" t="e">
        <f>WW!#REF!</f>
        <v>#REF!</v>
      </c>
      <c r="S105" s="321" t="e">
        <f>WW!#REF!</f>
        <v>#REF!</v>
      </c>
      <c r="T105" s="321" t="e">
        <f>WW!#REF!</f>
        <v>#REF!</v>
      </c>
      <c r="U105" s="321" t="e">
        <f>WW!#REF!</f>
        <v>#REF!</v>
      </c>
      <c r="V105" s="321" t="e">
        <f>WW!#REF!</f>
        <v>#REF!</v>
      </c>
      <c r="W105" s="321" t="e">
        <f>WW!#REF!</f>
        <v>#REF!</v>
      </c>
      <c r="X105" s="321" t="e">
        <f>WW!#REF!</f>
        <v>#REF!</v>
      </c>
      <c r="Y105" s="321" t="e">
        <f>WW!#REF!</f>
        <v>#REF!</v>
      </c>
      <c r="Z105" s="321" t="e">
        <f>WW!#REF!</f>
        <v>#REF!</v>
      </c>
      <c r="AA105" s="321" t="e">
        <f>WW!#REF!</f>
        <v>#REF!</v>
      </c>
      <c r="AB105" s="321" t="e">
        <f>WW!#REF!</f>
        <v>#REF!</v>
      </c>
      <c r="AC105" s="321">
        <f>WW!W9</f>
        <v>15.08301356639649</v>
      </c>
      <c r="AD105" s="321">
        <f>WW!X9</f>
        <v>157.72681602584015</v>
      </c>
      <c r="AE105" s="321">
        <f>WW!Y9</f>
        <v>408.40500212699652</v>
      </c>
      <c r="AF105" s="321">
        <f>WW!Y9</f>
        <v>408.40500212699652</v>
      </c>
      <c r="AG105" s="321">
        <f t="shared" si="3"/>
        <v>423.48801569339304</v>
      </c>
      <c r="AH105" s="321">
        <f>WW!AA9</f>
        <v>570.38910040207054</v>
      </c>
      <c r="AI105" s="321">
        <f>WW!AB9</f>
        <v>10.825731317162678</v>
      </c>
      <c r="AJ105" s="321">
        <f>WW!AC9</f>
        <v>0</v>
      </c>
      <c r="AK105" s="321">
        <f>WW!AD9</f>
        <v>1029.8044485158334</v>
      </c>
      <c r="AL105" s="321">
        <f>WW!AE9</f>
        <v>-0.63715343277430581</v>
      </c>
      <c r="AM105" s="321">
        <f>WW!AF9</f>
        <v>-2256.5530567511873</v>
      </c>
      <c r="AN105" s="323"/>
      <c r="AO105" s="324"/>
      <c r="AP105" s="321"/>
      <c r="AQ105" s="324"/>
    </row>
    <row r="106" spans="1:46" ht="16.2" customHeight="1">
      <c r="A106" s="237" t="s">
        <v>242</v>
      </c>
      <c r="B106" s="236" t="s">
        <v>13</v>
      </c>
      <c r="C106" s="236" t="s">
        <v>13</v>
      </c>
      <c r="D106" s="309" t="s">
        <v>245</v>
      </c>
      <c r="E106" s="221">
        <f>'Consol Pull'!F113+SUM('Consol Pull'!F106:F111)</f>
        <v>3302.0924562653577</v>
      </c>
      <c r="F106" s="221"/>
      <c r="G106" s="222">
        <f>(E106+SUM(E136:E138))/('Consol Pull'!T113+SUM('Consol Pull'!T106:T111))-1</f>
        <v>0.18691031655664814</v>
      </c>
      <c r="H106" s="146"/>
      <c r="I106" s="221">
        <f>'FIRM Load Pull'!E114</f>
        <v>448.5896167965991</v>
      </c>
      <c r="J106" s="221">
        <f>'FIRM Load Pull'!E114</f>
        <v>448.5896167965991</v>
      </c>
      <c r="K106" s="222">
        <f>IF(ISERROR(I106/'FIRM Load Pull'!Q114-1),"-",IF(ABS(I106/'FIRM Load Pull'!Q114-1)&gt;1000%," - ",(I106/'FIRM Load Pull'!Q114-1)))</f>
        <v>0.15984053451364888</v>
      </c>
      <c r="L106" s="221">
        <f>'FIRM Load Pull'!E114-'FIRM Load Pull'!F114</f>
        <v>31.714339138899561</v>
      </c>
      <c r="M106" s="221">
        <f>'FIRM Load Pull'!E114-'FIRM Load Pull'!G114</f>
        <v>86.717290116399681</v>
      </c>
      <c r="N106" s="221">
        <f>'Consol Pull'!G113-'Consol Pull'!G77+SUM(N136:N138)</f>
        <v>2730.003893517121</v>
      </c>
      <c r="O106" s="223">
        <f>I106-N106</f>
        <v>-2281.4142767205221</v>
      </c>
      <c r="P106" s="223">
        <f>(I106-I108-'Tracks Pull'!E107)</f>
        <v>-211.9928274646237</v>
      </c>
      <c r="Q106" s="223">
        <f>(M106-I108-'Tracks Pull'!G107)</f>
        <v>-41.418297074738234</v>
      </c>
      <c r="R106" s="222" t="str">
        <f>IF(ISERROR(#REF!/'RETAIL Load Pull'!N145-1),"-",IF(ABS(#REF!/'RETAIL Load Pull'!N145-1)&gt;1000%," - ",(#REF!/'RETAIL Load Pull'!N145-1)))</f>
        <v>-</v>
      </c>
      <c r="S106" s="222"/>
      <c r="T106" s="222"/>
      <c r="U106" s="257">
        <f>'RETAIL Load Pull'!E145-'RETAIL Load Pull'!F145</f>
        <v>47.680595567398541</v>
      </c>
      <c r="V106" s="221">
        <f>'RETAIL Load Pull'!E145-'RETAIL Load Pull'!G145</f>
        <v>407.8898803651</v>
      </c>
      <c r="W106" s="223" t="e">
        <f>#REF!-N106</f>
        <v>#REF!</v>
      </c>
      <c r="X106" s="223"/>
      <c r="Y106" s="223" t="e">
        <f>#REF!-V108-'Tracks Pull'!M107</f>
        <v>#REF!</v>
      </c>
      <c r="Z106" s="223"/>
      <c r="AA106" s="223">
        <f>V106-V108-'Tracks Pull'!O107</f>
        <v>279.75429317396208</v>
      </c>
      <c r="AB106" s="146"/>
      <c r="AC106" s="221">
        <f t="shared" ref="AC106:AE109" si="6">AC13+AC44+AC75</f>
        <v>172.92984669223662</v>
      </c>
      <c r="AD106" s="221">
        <f t="shared" si="6"/>
        <v>15.08301356639649</v>
      </c>
      <c r="AE106" s="221">
        <f t="shared" si="6"/>
        <v>117.84683312584015</v>
      </c>
      <c r="AF106" s="221">
        <f>AF13+AF44+AF75</f>
        <v>391.90500212699652</v>
      </c>
      <c r="AG106" s="221">
        <f t="shared" si="3"/>
        <v>564.83484881923312</v>
      </c>
      <c r="AH106" s="221">
        <f>'Consol Pull'!F113-'Consol Pull'!G113+SUM(AH136:AH138)</f>
        <v>489.69642255241894</v>
      </c>
      <c r="AI106" s="223">
        <f t="shared" si="5"/>
        <v>75.138426266814179</v>
      </c>
      <c r="AJ106" s="146"/>
      <c r="AK106" s="223">
        <f>I106+AG106</f>
        <v>1013.4244656158322</v>
      </c>
      <c r="AL106" s="223"/>
      <c r="AM106" s="223">
        <f>AK106-E106</f>
        <v>-2288.6679906495256</v>
      </c>
      <c r="AN106" s="146"/>
      <c r="AO106" s="223" t="e">
        <f>'FIRM Load Pull'!#REF!+SUM(AO136:AO138)</f>
        <v>#REF!</v>
      </c>
      <c r="AP106" s="221" t="e">
        <f>I106+AG106+AO106</f>
        <v>#REF!</v>
      </c>
      <c r="AQ106" s="223" t="e">
        <f>AP106-E106</f>
        <v>#REF!</v>
      </c>
      <c r="AR106" s="2"/>
      <c r="AS106" s="2"/>
      <c r="AT106" s="2"/>
    </row>
    <row r="107" spans="1:46" ht="16.2" customHeight="1" outlineLevel="2">
      <c r="A107" s="2" t="s">
        <v>242</v>
      </c>
      <c r="B107" s="44" t="s">
        <v>243</v>
      </c>
      <c r="C107" s="236" t="s">
        <v>243</v>
      </c>
      <c r="D107" s="310" t="s">
        <v>243</v>
      </c>
      <c r="E107" s="48">
        <f>'Consol Pull'!F116</f>
        <v>3186.9278689743301</v>
      </c>
      <c r="F107" s="162"/>
      <c r="G107" s="127" t="str">
        <f>IF(ISERROR(E107/'Consol Pull'!T111-1),"-",IF(ABS(E107/'Consol Pull'!T111-1)&gt;1000%," - ",(E107/'Consol Pull'!T111-1)))</f>
        <v xml:space="preserve"> - </v>
      </c>
      <c r="H107" s="146"/>
      <c r="I107" s="48">
        <f>'FIRM Load Pull'!E115</f>
        <v>0</v>
      </c>
      <c r="J107" s="48">
        <f>'FIRM Load Pull'!E115</f>
        <v>0</v>
      </c>
      <c r="K107" s="127" t="str">
        <f>IF(ISERROR(I107/'FIRM Load Pull'!Q115-1),"-",IF(ABS(I107/'FIRM Load Pull'!Q115-1)&gt;1000%," - ",(I107/'FIRM Load Pull'!Q115-1)))</f>
        <v>-</v>
      </c>
      <c r="L107" s="48">
        <f>'FIRM Load Pull'!E115-'FIRM Load Pull'!F115</f>
        <v>0</v>
      </c>
      <c r="M107" s="48">
        <f>'FIRM Load Pull'!E115-'FIRM Load Pull'!G115</f>
        <v>0</v>
      </c>
      <c r="N107" s="216">
        <f>'Consol Pull'!G116</f>
        <v>2715.9682492787833</v>
      </c>
      <c r="O107" s="48">
        <f>I107-N107</f>
        <v>-2715.9682492787833</v>
      </c>
      <c r="P107" s="48">
        <f>I107-'Tracks Pull'!E108</f>
        <v>0</v>
      </c>
      <c r="Q107" s="126">
        <f>M107-'Tracks Pull'!G108</f>
        <v>0</v>
      </c>
      <c r="R107" s="127" t="str">
        <f>IF(ISERROR(#REF!/'RETAIL Load Pull'!N146-1),"-",IF(ABS(#REF!/'RETAIL Load Pull'!N146-1)&gt;1000%," - ",(#REF!/'RETAIL Load Pull'!N146-1)))</f>
        <v>-</v>
      </c>
      <c r="S107" s="127"/>
      <c r="T107" s="127"/>
      <c r="U107" s="258">
        <f>'RETAIL Load Pull'!E146-'RETAIL Load Pull'!F146</f>
        <v>0</v>
      </c>
      <c r="V107" s="48">
        <f>'RETAIL Load Pull'!E146-'RETAIL Load Pull'!G146</f>
        <v>0</v>
      </c>
      <c r="W107" s="48" t="e">
        <f>#REF!-N107</f>
        <v>#REF!</v>
      </c>
      <c r="X107" s="48"/>
      <c r="Y107" s="48" t="e">
        <f>#REF!-'Tracks Pull'!M108</f>
        <v>#REF!</v>
      </c>
      <c r="Z107" s="48"/>
      <c r="AA107" s="126">
        <f>V107-'Tracks Pull'!O108</f>
        <v>0</v>
      </c>
      <c r="AB107" s="146"/>
      <c r="AC107" s="48">
        <f t="shared" si="6"/>
        <v>0</v>
      </c>
      <c r="AD107" s="48">
        <f t="shared" si="6"/>
        <v>0</v>
      </c>
      <c r="AE107" s="48">
        <f t="shared" si="6"/>
        <v>0</v>
      </c>
      <c r="AF107" s="48">
        <f>AF14+AF45+AF76</f>
        <v>0</v>
      </c>
      <c r="AG107" s="48">
        <f t="shared" si="3"/>
        <v>0</v>
      </c>
      <c r="AH107" s="216">
        <f>'Consol Pull'!F116-'Consol Pull'!G116</f>
        <v>470.95961969554673</v>
      </c>
      <c r="AI107" s="48">
        <f t="shared" si="5"/>
        <v>-470.95961969554673</v>
      </c>
      <c r="AJ107" s="146"/>
      <c r="AK107" s="224">
        <f>I107+AG107</f>
        <v>0</v>
      </c>
      <c r="AL107" s="224"/>
      <c r="AM107" s="224">
        <f>AK107-E107</f>
        <v>-3186.9278689743301</v>
      </c>
      <c r="AN107" s="146"/>
      <c r="AO107" s="48" t="e">
        <f>'FIRM Load Pull'!#REF!</f>
        <v>#REF!</v>
      </c>
      <c r="AP107" s="216" t="e">
        <f>I107+AG107+AO107</f>
        <v>#REF!</v>
      </c>
      <c r="AQ107" s="48" t="e">
        <f>AP107-E107</f>
        <v>#REF!</v>
      </c>
      <c r="AR107" s="2"/>
      <c r="AS107" s="2"/>
      <c r="AT107" s="2"/>
    </row>
    <row r="108" spans="1:46" ht="16.2" customHeight="1" outlineLevel="2">
      <c r="A108" s="2" t="s">
        <v>242</v>
      </c>
      <c r="B108" s="44" t="s">
        <v>234</v>
      </c>
      <c r="C108" s="236" t="s">
        <v>234</v>
      </c>
      <c r="D108" s="310" t="s">
        <v>234</v>
      </c>
      <c r="E108" s="48">
        <f>SUM('Consol Pull'!F108:F111)</f>
        <v>40.4519846096509</v>
      </c>
      <c r="F108" s="162"/>
      <c r="G108" s="127"/>
      <c r="H108" s="146"/>
      <c r="I108" s="48">
        <f>'FIRM Load Pull'!E116</f>
        <v>0</v>
      </c>
      <c r="J108" s="48">
        <f>'FIRM Load Pull'!E116</f>
        <v>0</v>
      </c>
      <c r="K108" s="127" t="str">
        <f>IF(ISERROR(I108/'FIRM Load Pull'!Q116-1),"-",IF(ABS(I108/'FIRM Load Pull'!Q116-1)&gt;1000%," - ",(I108/'FIRM Load Pull'!Q116-1)))</f>
        <v>-</v>
      </c>
      <c r="L108" s="48">
        <f>'FIRM Load Pull'!E116-'FIRM Load Pull'!F116</f>
        <v>0</v>
      </c>
      <c r="M108" s="48">
        <f>'FIRM Load Pull'!E116-'FIRM Load Pull'!G116</f>
        <v>0</v>
      </c>
      <c r="N108" s="216"/>
      <c r="O108" s="48">
        <f>I108-N108</f>
        <v>0</v>
      </c>
      <c r="P108" s="48">
        <f>I108-'Tracks Pull'!E109</f>
        <v>0</v>
      </c>
      <c r="Q108" s="126">
        <f>M108-'Tracks Pull'!G109</f>
        <v>0</v>
      </c>
      <c r="R108" s="127" t="str">
        <f>IF(ISERROR(#REF!/'RETAIL Load Pull'!N147-1),"-",IF(ABS(#REF!/'RETAIL Load Pull'!N147-1)&gt;1000%," - ",(#REF!/'RETAIL Load Pull'!N147-1)))</f>
        <v>-</v>
      </c>
      <c r="S108" s="127"/>
      <c r="T108" s="127"/>
      <c r="U108" s="258">
        <f>'RETAIL Load Pull'!E147-'RETAIL Load Pull'!F147</f>
        <v>0</v>
      </c>
      <c r="V108" s="48">
        <f>'RETAIL Load Pull'!E147-'RETAIL Load Pull'!G147</f>
        <v>0</v>
      </c>
      <c r="W108" s="48" t="e">
        <f>#REF!-N108</f>
        <v>#REF!</v>
      </c>
      <c r="X108" s="48"/>
      <c r="Y108" s="48" t="e">
        <f>#REF!-'Tracks Pull'!M109</f>
        <v>#REF!</v>
      </c>
      <c r="Z108" s="48"/>
      <c r="AA108" s="126">
        <f>V108-'Tracks Pull'!O109</f>
        <v>0</v>
      </c>
      <c r="AB108" s="146"/>
      <c r="AC108" s="48">
        <f t="shared" si="6"/>
        <v>40</v>
      </c>
      <c r="AD108" s="48">
        <f t="shared" si="6"/>
        <v>0</v>
      </c>
      <c r="AE108" s="48">
        <f t="shared" si="6"/>
        <v>0</v>
      </c>
      <c r="AF108" s="48">
        <f>AF15+AF46+AF77</f>
        <v>0</v>
      </c>
      <c r="AG108" s="48">
        <f t="shared" si="3"/>
        <v>40</v>
      </c>
      <c r="AH108" s="216" t="e">
        <f>'Consol Pull'!#REF!-'Consol Pull'!#REF!</f>
        <v>#REF!</v>
      </c>
      <c r="AI108" s="48" t="e">
        <f t="shared" si="5"/>
        <v>#REF!</v>
      </c>
      <c r="AJ108" s="146"/>
      <c r="AK108" s="224">
        <f>I108+AG108</f>
        <v>40</v>
      </c>
      <c r="AL108" s="224"/>
      <c r="AM108" s="224">
        <f>AK108-E108</f>
        <v>-0.45198460965089993</v>
      </c>
      <c r="AN108" s="146"/>
      <c r="AO108" s="48" t="e">
        <f>'FIRM Load Pull'!#REF!</f>
        <v>#REF!</v>
      </c>
      <c r="AP108" s="216" t="e">
        <f>I108+AG108+AO108</f>
        <v>#REF!</v>
      </c>
      <c r="AQ108" s="48" t="e">
        <f>AP108-E108</f>
        <v>#REF!</v>
      </c>
      <c r="AR108" s="2"/>
      <c r="AS108" s="2"/>
      <c r="AT108" s="2"/>
    </row>
    <row r="109" spans="1:46" s="140" customFormat="1" ht="16.2" customHeight="1" outlineLevel="1">
      <c r="A109" s="141" t="s">
        <v>242</v>
      </c>
      <c r="B109" s="46" t="s">
        <v>58</v>
      </c>
      <c r="C109" s="236" t="s">
        <v>58</v>
      </c>
      <c r="D109" s="311" t="s">
        <v>58</v>
      </c>
      <c r="E109" s="248">
        <f>'Consol Pull'!F117</f>
        <v>1593.8840400217666</v>
      </c>
      <c r="F109" s="246"/>
      <c r="G109" s="127">
        <f>IF(ISERROR(E109/'Consol Pull'!T117-1),"-",IF(ABS(E109/'Consol Pull'!T117-1)&gt;1000%," - ",(E109/'Consol Pull'!T117-1)))</f>
        <v>0.28104772314204163</v>
      </c>
      <c r="H109" s="247"/>
      <c r="I109" s="248">
        <f>'FIRM Load Pull'!E117</f>
        <v>167.11006965869981</v>
      </c>
      <c r="J109" s="248">
        <f>'FIRM Load Pull'!E117</f>
        <v>167.11006965869981</v>
      </c>
      <c r="K109" s="127">
        <f>IF(ISERROR(I109/'FIRM Load Pull'!Q117-1),"-",IF(ABS(I109/'FIRM Load Pull'!Q117-1)&gt;1000%," - ",(I109/'FIRM Load Pull'!Q117-1)))</f>
        <v>0.22896534025727622</v>
      </c>
      <c r="L109" s="248">
        <f>'FIRM Load Pull'!E117-'FIRM Load Pull'!F117</f>
        <v>23.130262367299736</v>
      </c>
      <c r="M109" s="248">
        <f>'FIRM Load Pull'!E117-'FIRM Load Pull'!G117</f>
        <v>40.423467659399719</v>
      </c>
      <c r="N109" s="223">
        <f>'Consol Pull'!G117</f>
        <v>1369.9358468363623</v>
      </c>
      <c r="O109" s="248">
        <f>I109-N109</f>
        <v>-1202.8257771776625</v>
      </c>
      <c r="P109" s="248">
        <f>I109-'Tracks Pull'!E110</f>
        <v>-83.712907766194348</v>
      </c>
      <c r="Q109" s="250">
        <f>M109-'Tracks Pull'!G110</f>
        <v>-5.0712433341375487</v>
      </c>
      <c r="R109" s="127" t="str">
        <f>IF(ISERROR(#REF!/'RETAIL Load Pull'!N148-1),"-",IF(ABS(#REF!/'RETAIL Load Pull'!N148-1)&gt;1000%," - ",(#REF!/'RETAIL Load Pull'!N148-1)))</f>
        <v>-</v>
      </c>
      <c r="S109" s="249"/>
      <c r="T109" s="249"/>
      <c r="U109" s="262">
        <f>'RETAIL Load Pull'!E148-'RETAIL Load Pull'!F148</f>
        <v>15.142875832100117</v>
      </c>
      <c r="V109" s="248">
        <f>'RETAIL Load Pull'!E148-'RETAIL Load Pull'!G148</f>
        <v>86.844177536400139</v>
      </c>
      <c r="W109" s="248" t="e">
        <f>#REF!-N109</f>
        <v>#REF!</v>
      </c>
      <c r="X109" s="248"/>
      <c r="Y109" s="248" t="e">
        <f>#REF!-'Tracks Pull'!M110</f>
        <v>#REF!</v>
      </c>
      <c r="Z109" s="248"/>
      <c r="AA109" s="250">
        <f>V109-'Tracks Pull'!O110</f>
        <v>41.349466542862871</v>
      </c>
      <c r="AB109" s="247"/>
      <c r="AC109" s="48">
        <f>AC16+AC47+AC78</f>
        <v>64.929944285886634</v>
      </c>
      <c r="AD109" s="48">
        <f t="shared" si="6"/>
        <v>4.9471084397979732</v>
      </c>
      <c r="AE109" s="48">
        <f t="shared" si="6"/>
        <v>59.982835846088648</v>
      </c>
      <c r="AF109" s="48">
        <f>AF16+AF47+AF78</f>
        <v>185.05101316069519</v>
      </c>
      <c r="AG109" s="48">
        <f t="shared" si="3"/>
        <v>249.98095744658184</v>
      </c>
      <c r="AH109" s="223">
        <f>'Consol Pull'!F117-'Consol Pull'!G117</f>
        <v>223.94819318540431</v>
      </c>
      <c r="AI109" s="248">
        <f t="shared" si="5"/>
        <v>26.032764261177533</v>
      </c>
      <c r="AJ109" s="247"/>
      <c r="AK109" s="251">
        <f>I109+AG109</f>
        <v>417.09102710528168</v>
      </c>
      <c r="AL109" s="251"/>
      <c r="AM109" s="251">
        <f>AK109-E109</f>
        <v>-1176.7930129164849</v>
      </c>
      <c r="AN109" s="247"/>
      <c r="AO109" s="248" t="e">
        <f>'FIRM Load Pull'!#REF!</f>
        <v>#REF!</v>
      </c>
      <c r="AP109" s="223" t="e">
        <f>I109+AG109+AO109</f>
        <v>#REF!</v>
      </c>
      <c r="AQ109" s="248" t="e">
        <f>AP109-E109</f>
        <v>#REF!</v>
      </c>
      <c r="AR109" s="141"/>
      <c r="AS109" s="141"/>
      <c r="AT109" s="141"/>
    </row>
    <row r="110" spans="1:46" ht="16.2" customHeight="1" outlineLevel="2">
      <c r="A110" s="2" t="s">
        <v>242</v>
      </c>
      <c r="B110" s="44" t="s">
        <v>17</v>
      </c>
      <c r="C110" s="236" t="s">
        <v>17</v>
      </c>
      <c r="D110" s="313" t="s">
        <v>327</v>
      </c>
      <c r="E110" s="48">
        <f>'Consol Pull'!F118</f>
        <v>258.73323755956602</v>
      </c>
      <c r="F110" s="162"/>
      <c r="G110" s="127" t="str">
        <f>IF(ISERROR(E110/'Consol Pull'!T118-1),"-",IF(ABS(E110/'Consol Pull'!T118-1)&gt;1000%," - ",(E110/'Consol Pull'!T118-1)))</f>
        <v>-</v>
      </c>
      <c r="H110" s="146"/>
      <c r="I110" s="48">
        <f>'FIRM Load Pull'!E118</f>
        <v>43.452737643199988</v>
      </c>
      <c r="J110" s="48">
        <f>'FIRM Load Pull'!E118</f>
        <v>43.452737643199988</v>
      </c>
      <c r="K110" s="127">
        <f>IF(ISERROR(I110/'FIRM Load Pull'!Q118-1),"-",IF(ABS(I110/'FIRM Load Pull'!Q118-1)&gt;1000%," - ",(I110/'FIRM Load Pull'!Q118-1)))</f>
        <v>1.2732922791690595</v>
      </c>
      <c r="L110" s="48">
        <f>'FIRM Load Pull'!E118-'FIRM Load Pull'!F118</f>
        <v>7.2747230899999877</v>
      </c>
      <c r="M110" s="48">
        <f>'FIRM Load Pull'!E118-'FIRM Load Pull'!G118</f>
        <v>8.6806848262999949</v>
      </c>
      <c r="N110" s="216">
        <f>'Consol Pull'!G118</f>
        <v>214.36737636773171</v>
      </c>
      <c r="O110" s="48">
        <f>I110-N110</f>
        <v>-170.91463872453173</v>
      </c>
      <c r="P110" s="48">
        <f>I110-'Tracks Pull'!E111</f>
        <v>5.8741278838835527</v>
      </c>
      <c r="Q110" s="126">
        <f>M110-'Tracks Pull'!G111</f>
        <v>1.7021082193415822</v>
      </c>
      <c r="R110" s="127" t="str">
        <f>IF(ISERROR(#REF!/'RETAIL Load Pull'!N149-1),"-",IF(ABS(#REF!/'RETAIL Load Pull'!N149-1)&gt;1000%," - ",(#REF!/'RETAIL Load Pull'!N149-1)))</f>
        <v>-</v>
      </c>
      <c r="S110" s="127"/>
      <c r="T110" s="127"/>
      <c r="U110" s="258">
        <f>'RETAIL Load Pull'!E149-'RETAIL Load Pull'!F149</f>
        <v>1.1053621999991492E-2</v>
      </c>
      <c r="V110" s="48">
        <f>'RETAIL Load Pull'!E149-'RETAIL Load Pull'!G149</f>
        <v>3.1574389182999738</v>
      </c>
      <c r="W110" s="48" t="e">
        <f>#REF!-N110</f>
        <v>#REF!</v>
      </c>
      <c r="X110" s="48"/>
      <c r="Y110" s="48" t="e">
        <f>#REF!-'Tracks Pull'!M111</f>
        <v>#REF!</v>
      </c>
      <c r="Z110" s="48"/>
      <c r="AA110" s="126">
        <f>V110-'Tracks Pull'!O111</f>
        <v>-3.8211376886584389</v>
      </c>
      <c r="AB110" s="146"/>
      <c r="AC110" s="48">
        <f t="shared" ref="AC110:AG110" si="7">AC17+AC48+AC79</f>
        <v>9.6212474392196192</v>
      </c>
      <c r="AD110" s="48">
        <f t="shared" si="7"/>
        <v>0.686037514563275</v>
      </c>
      <c r="AE110" s="48">
        <f t="shared" si="7"/>
        <v>8.9352099246563448</v>
      </c>
      <c r="AF110" s="48">
        <f t="shared" si="7"/>
        <v>35.582014914809207</v>
      </c>
      <c r="AG110" s="48">
        <f t="shared" si="3"/>
        <v>45.203262354028823</v>
      </c>
      <c r="AH110" s="216">
        <f>'Consol Pull'!F118-'Consol Pull'!G118</f>
        <v>44.365861191834313</v>
      </c>
      <c r="AI110" s="48">
        <f t="shared" si="5"/>
        <v>0.83740116219451011</v>
      </c>
      <c r="AJ110" s="146"/>
      <c r="AK110" s="224">
        <f>I110+AG110</f>
        <v>88.655999997228804</v>
      </c>
      <c r="AL110" s="224"/>
      <c r="AM110" s="224">
        <f>AK110-E110</f>
        <v>-170.07723756233722</v>
      </c>
      <c r="AN110" s="146"/>
      <c r="AO110" s="48" t="e">
        <f>'FIRM Load Pull'!#REF!</f>
        <v>#REF!</v>
      </c>
      <c r="AP110" s="216" t="e">
        <f>I110+AG110+AO110</f>
        <v>#REF!</v>
      </c>
      <c r="AQ110" s="48" t="e">
        <f>AP110-E110</f>
        <v>#REF!</v>
      </c>
      <c r="AR110" s="2"/>
      <c r="AS110" s="2"/>
      <c r="AT110" s="2"/>
    </row>
    <row r="111" spans="1:46" ht="16.2" customHeight="1" outlineLevel="2">
      <c r="A111" s="2" t="s">
        <v>242</v>
      </c>
      <c r="B111" s="44" t="s">
        <v>18</v>
      </c>
      <c r="C111" s="236" t="s">
        <v>18</v>
      </c>
      <c r="D111" s="313" t="s">
        <v>328</v>
      </c>
      <c r="E111" s="48">
        <f>'Consol Pull'!F119</f>
        <v>3.9612828384029468</v>
      </c>
      <c r="F111" s="162"/>
      <c r="G111" s="127" t="str">
        <f>IF(ISERROR(E111/'Consol Pull'!T119-1),"-",IF(ABS(E111/'Consol Pull'!T119-1)&gt;1000%," - ",(E111/'Consol Pull'!T119-1)))</f>
        <v>-</v>
      </c>
      <c r="H111" s="146"/>
      <c r="I111" s="48">
        <f>'FIRM Load Pull'!E120</f>
        <v>37.447742405399993</v>
      </c>
      <c r="J111" s="48">
        <f>'FIRM Load Pull'!E120</f>
        <v>37.447742405399993</v>
      </c>
      <c r="K111" s="127">
        <f>IF(ISERROR(I111/'FIRM Load Pull'!Q120-1),"-",IF(ABS(I111/'FIRM Load Pull'!Q120-1)&gt;1000%," - ",(I111/'FIRM Load Pull'!Q120-1)))</f>
        <v>0.46617582461845286</v>
      </c>
      <c r="L111" s="48">
        <f>'FIRM Load Pull'!E120-'FIRM Load Pull'!F120</f>
        <v>0.43332204379999695</v>
      </c>
      <c r="M111" s="48">
        <f>'FIRM Load Pull'!E120-'FIRM Load Pull'!G120</f>
        <v>4.3155646237000056</v>
      </c>
      <c r="N111" s="216">
        <f>'Consol Pull'!G119</f>
        <v>3.0768070077884921</v>
      </c>
      <c r="O111" s="48">
        <f>I111-N111</f>
        <v>34.370935397611504</v>
      </c>
      <c r="P111" s="48">
        <f>I111-'Tracks Pull'!E112</f>
        <v>37.217334390365323</v>
      </c>
      <c r="Q111" s="126">
        <f>M111-'Tracks Pull'!G112</f>
        <v>4.2860151493869196</v>
      </c>
      <c r="R111" s="127" t="str">
        <f>IF(ISERROR(#REF!/'RETAIL Load Pull'!N150-1),"-",IF(ABS(#REF!/'RETAIL Load Pull'!N150-1)&gt;1000%," - ",(#REF!/'RETAIL Load Pull'!N150-1)))</f>
        <v>-</v>
      </c>
      <c r="S111" s="127"/>
      <c r="T111" s="127"/>
      <c r="U111" s="258">
        <f>'RETAIL Load Pull'!E150-'RETAIL Load Pull'!F150</f>
        <v>0</v>
      </c>
      <c r="V111" s="48">
        <f>'RETAIL Load Pull'!E150-'RETAIL Load Pull'!G150</f>
        <v>-3.6800999999999917E-3</v>
      </c>
      <c r="W111" s="48" t="e">
        <f>#REF!-N111</f>
        <v>#REF!</v>
      </c>
      <c r="X111" s="48"/>
      <c r="Y111" s="48" t="e">
        <f>#REF!-'Tracks Pull'!M112</f>
        <v>#REF!</v>
      </c>
      <c r="Z111" s="48"/>
      <c r="AA111" s="126">
        <f>V111-'Tracks Pull'!O112</f>
        <v>-3.3229574313085958E-2</v>
      </c>
      <c r="AB111" s="146"/>
      <c r="AC111" s="48">
        <f t="shared" ref="AC111:AG111" si="8">AC18+AC49+AC80</f>
        <v>0</v>
      </c>
      <c r="AD111" s="48">
        <f t="shared" si="8"/>
        <v>0</v>
      </c>
      <c r="AE111" s="48">
        <f t="shared" si="8"/>
        <v>0</v>
      </c>
      <c r="AF111" s="48">
        <f t="shared" si="8"/>
        <v>0.50588570484989404</v>
      </c>
      <c r="AG111" s="48">
        <f t="shared" si="3"/>
        <v>0.50588570484989404</v>
      </c>
      <c r="AH111" s="216">
        <f>'Consol Pull'!F119-'Consol Pull'!G119</f>
        <v>0.88447583061445467</v>
      </c>
      <c r="AI111" s="48">
        <f t="shared" si="5"/>
        <v>-0.37859012576456064</v>
      </c>
      <c r="AJ111" s="146"/>
      <c r="AK111" s="224">
        <f>I111+AG111</f>
        <v>37.953628110249888</v>
      </c>
      <c r="AL111" s="224"/>
      <c r="AM111" s="224">
        <f>AK111-E111</f>
        <v>33.992345271846943</v>
      </c>
      <c r="AN111" s="146"/>
      <c r="AO111" s="48" t="e">
        <f>'FIRM Load Pull'!#REF!</f>
        <v>#REF!</v>
      </c>
      <c r="AP111" s="216" t="e">
        <f>I111+AG111+AO111</f>
        <v>#REF!</v>
      </c>
      <c r="AQ111" s="48" t="e">
        <f>AP111-E111</f>
        <v>#REF!</v>
      </c>
      <c r="AR111" s="2"/>
      <c r="AS111" s="2"/>
      <c r="AT111" s="2"/>
    </row>
    <row r="112" spans="1:46" ht="16.2" customHeight="1" outlineLevel="2">
      <c r="A112" s="2" t="s">
        <v>242</v>
      </c>
      <c r="B112" s="44" t="s">
        <v>19</v>
      </c>
      <c r="C112" s="236" t="s">
        <v>19</v>
      </c>
      <c r="D112" s="313" t="s">
        <v>329</v>
      </c>
      <c r="E112" s="48">
        <f>'Consol Pull'!F120</f>
        <v>222.40737705416791</v>
      </c>
      <c r="F112" s="162"/>
      <c r="G112" s="127" t="str">
        <f>IF(ISERROR(E112/'Consol Pull'!T120-1),"-",IF(ABS(E112/'Consol Pull'!T120-1)&gt;1000%," - ",(E112/'Consol Pull'!T120-1)))</f>
        <v>-</v>
      </c>
      <c r="H112" s="146"/>
      <c r="I112" s="48">
        <f>'FIRM Load Pull'!E122</f>
        <v>4.9666432474000013</v>
      </c>
      <c r="J112" s="48">
        <f>'FIRM Load Pull'!E122</f>
        <v>4.9666432474000013</v>
      </c>
      <c r="K112" s="127">
        <f>IF(ISERROR(I112/'FIRM Load Pull'!Q122-1),"-",IF(ABS(I112/'FIRM Load Pull'!Q122-1)&gt;1000%," - ",(I112/'FIRM Load Pull'!Q122-1)))</f>
        <v>0.21140683320137654</v>
      </c>
      <c r="L112" s="48">
        <f>'FIRM Load Pull'!E122-'FIRM Load Pull'!F122</f>
        <v>4.1470300000003846E-3</v>
      </c>
      <c r="M112" s="48">
        <f>'FIRM Load Pull'!E122-'FIRM Load Pull'!G122</f>
        <v>-0.2965142077999996</v>
      </c>
      <c r="N112" s="216">
        <f>'Consol Pull'!G120</f>
        <v>166.95142046201312</v>
      </c>
      <c r="O112" s="48">
        <f>I112-N112</f>
        <v>-161.9847772146131</v>
      </c>
      <c r="P112" s="48">
        <f>I112-'Tracks Pull'!E113</f>
        <v>-43.61539458362008</v>
      </c>
      <c r="Q112" s="126">
        <f>M112-'Tracks Pull'!G113</f>
        <v>-10.893602771874084</v>
      </c>
      <c r="R112" s="127" t="str">
        <f>IF(ISERROR(#REF!/'RETAIL Load Pull'!N151-1),"-",IF(ABS(#REF!/'RETAIL Load Pull'!N151-1)&gt;1000%," - ",(#REF!/'RETAIL Load Pull'!N151-1)))</f>
        <v>-</v>
      </c>
      <c r="S112" s="127"/>
      <c r="T112" s="127"/>
      <c r="U112" s="258">
        <f>'RETAIL Load Pull'!E151-'RETAIL Load Pull'!F151</f>
        <v>0.90991289940004094</v>
      </c>
      <c r="V112" s="48">
        <f>'RETAIL Load Pull'!E151-'RETAIL Load Pull'!G151</f>
        <v>17.288273992599997</v>
      </c>
      <c r="W112" s="48" t="e">
        <f>#REF!-N112</f>
        <v>#REF!</v>
      </c>
      <c r="X112" s="48"/>
      <c r="Y112" s="48" t="e">
        <f>#REF!-'Tracks Pull'!M113</f>
        <v>#REF!</v>
      </c>
      <c r="Z112" s="48"/>
      <c r="AA112" s="126">
        <f>V112-'Tracks Pull'!O113</f>
        <v>6.6911854285259125</v>
      </c>
      <c r="AB112" s="146"/>
      <c r="AC112" s="48">
        <f t="shared" ref="AC112:AG112" si="9">AC19+AC50+AC81</f>
        <v>14.302853427450277</v>
      </c>
      <c r="AD112" s="48">
        <f t="shared" si="9"/>
        <v>2.331978255394568</v>
      </c>
      <c r="AE112" s="48">
        <f t="shared" si="9"/>
        <v>11.970875172055708</v>
      </c>
      <c r="AF112" s="48">
        <f t="shared" si="9"/>
        <v>41.107446695193623</v>
      </c>
      <c r="AG112" s="48">
        <f t="shared" si="3"/>
        <v>55.410300122643903</v>
      </c>
      <c r="AH112" s="216">
        <f>'Consol Pull'!F120-'Consol Pull'!G120</f>
        <v>55.455956592154791</v>
      </c>
      <c r="AI112" s="48">
        <f t="shared" si="5"/>
        <v>-4.5656469510888087E-2</v>
      </c>
      <c r="AJ112" s="146"/>
      <c r="AK112" s="224">
        <f>I112+AG112</f>
        <v>60.376943370043904</v>
      </c>
      <c r="AL112" s="224"/>
      <c r="AM112" s="224">
        <f>AK112-E112</f>
        <v>-162.03043368412401</v>
      </c>
      <c r="AN112" s="146"/>
      <c r="AO112" s="48" t="e">
        <f>'FIRM Load Pull'!#REF!</f>
        <v>#REF!</v>
      </c>
      <c r="AP112" s="216" t="e">
        <f>I112+AG112+AO112</f>
        <v>#REF!</v>
      </c>
      <c r="AQ112" s="48" t="e">
        <f>AP112-E112</f>
        <v>#REF!</v>
      </c>
      <c r="AR112" s="2"/>
      <c r="AS112" s="2"/>
      <c r="AT112" s="2"/>
    </row>
    <row r="113" spans="1:46" ht="16.2" customHeight="1" outlineLevel="2">
      <c r="A113" s="2" t="s">
        <v>242</v>
      </c>
      <c r="B113" s="44" t="s">
        <v>77</v>
      </c>
      <c r="C113" s="236" t="s">
        <v>77</v>
      </c>
      <c r="D113" s="313" t="s">
        <v>330</v>
      </c>
      <c r="E113" s="48">
        <f>'Consol Pull'!F121</f>
        <v>593.32341437038144</v>
      </c>
      <c r="F113" s="162"/>
      <c r="G113" s="127" t="str">
        <f>IF(ISERROR(E113/'Consol Pull'!T121-1),"-",IF(ABS(E113/'Consol Pull'!T121-1)&gt;1000%," - ",(E113/'Consol Pull'!T121-1)))</f>
        <v>-</v>
      </c>
      <c r="H113" s="146"/>
      <c r="I113" s="48">
        <f>'FIRM Load Pull'!E123</f>
        <v>10.259919447199998</v>
      </c>
      <c r="J113" s="48">
        <f>'FIRM Load Pull'!E123</f>
        <v>10.259919447199998</v>
      </c>
      <c r="K113" s="127">
        <f>IF(ISERROR(I113/'FIRM Load Pull'!Q123-1),"-",IF(ABS(I113/'FIRM Load Pull'!Q123-1)&gt;1000%," - ",(I113/'FIRM Load Pull'!Q123-1)))</f>
        <v>1.3376964603636132</v>
      </c>
      <c r="L113" s="48">
        <f>'FIRM Load Pull'!E123-'FIRM Load Pull'!F123</f>
        <v>0</v>
      </c>
      <c r="M113" s="48">
        <f>'FIRM Load Pull'!E123-'FIRM Load Pull'!G123</f>
        <v>1.7828620299999987</v>
      </c>
      <c r="N113" s="216">
        <f>'Consol Pull'!G121</f>
        <v>558.56553635942294</v>
      </c>
      <c r="O113" s="48">
        <f>I113-N113</f>
        <v>-548.30561691222294</v>
      </c>
      <c r="P113" s="48">
        <f>I113-'Tracks Pull'!E114</f>
        <v>-58.056938418828629</v>
      </c>
      <c r="Q113" s="126">
        <f>M113-'Tracks Pull'!G114</f>
        <v>-8.414621278150042</v>
      </c>
      <c r="R113" s="127" t="str">
        <f>IF(ISERROR(#REF!/'RETAIL Load Pull'!N152-1),"-",IF(ABS(#REF!/'RETAIL Load Pull'!N152-1)&gt;1000%," - ",(#REF!/'RETAIL Load Pull'!N152-1)))</f>
        <v>-</v>
      </c>
      <c r="S113" s="127"/>
      <c r="T113" s="127"/>
      <c r="U113" s="258">
        <f>'RETAIL Load Pull'!E152-'RETAIL Load Pull'!F152</f>
        <v>13.373539097099865</v>
      </c>
      <c r="V113" s="48">
        <f>'RETAIL Load Pull'!E152-'RETAIL Load Pull'!G152</f>
        <v>5.9981837871002881</v>
      </c>
      <c r="W113" s="48" t="e">
        <f>#REF!-N113</f>
        <v>#REF!</v>
      </c>
      <c r="X113" s="48"/>
      <c r="Y113" s="48" t="e">
        <f>#REF!-'Tracks Pull'!M114</f>
        <v>#REF!</v>
      </c>
      <c r="Z113" s="48"/>
      <c r="AA113" s="126">
        <f>V113-'Tracks Pull'!O114</f>
        <v>-4.1992995210497526</v>
      </c>
      <c r="AB113" s="146"/>
      <c r="AC113" s="48">
        <f t="shared" ref="AC113:AG113" si="10">AC20+AC51+AC82</f>
        <v>19.219069172648346</v>
      </c>
      <c r="AD113" s="48">
        <f t="shared" si="10"/>
        <v>0.42706631619019797</v>
      </c>
      <c r="AE113" s="48">
        <f t="shared" si="10"/>
        <v>18.792002856458147</v>
      </c>
      <c r="AF113" s="48">
        <f t="shared" si="10"/>
        <v>31.235357923811065</v>
      </c>
      <c r="AG113" s="48">
        <f t="shared" si="3"/>
        <v>50.454427096459412</v>
      </c>
      <c r="AH113" s="216">
        <f>'Consol Pull'!F121-'Consol Pull'!G121</f>
        <v>34.757878010958507</v>
      </c>
      <c r="AI113" s="48">
        <f t="shared" si="5"/>
        <v>15.696549085500905</v>
      </c>
      <c r="AJ113" s="146"/>
      <c r="AK113" s="224">
        <f>I113+AG113</f>
        <v>60.71434654365941</v>
      </c>
      <c r="AL113" s="224"/>
      <c r="AM113" s="224">
        <f>AK113-E113</f>
        <v>-532.60906782672203</v>
      </c>
      <c r="AN113" s="146"/>
      <c r="AO113" s="48" t="e">
        <f>'FIRM Load Pull'!#REF!</f>
        <v>#REF!</v>
      </c>
      <c r="AP113" s="216" t="e">
        <f>I113+AG113+AO113</f>
        <v>#REF!</v>
      </c>
      <c r="AQ113" s="48" t="e">
        <f>AP113-E113</f>
        <v>#REF!</v>
      </c>
      <c r="AR113" s="2"/>
      <c r="AS113" s="2"/>
      <c r="AT113" s="2"/>
    </row>
    <row r="114" spans="1:46" ht="16.2" customHeight="1" outlineLevel="2">
      <c r="A114" s="2" t="s">
        <v>242</v>
      </c>
      <c r="B114" s="44" t="s">
        <v>78</v>
      </c>
      <c r="C114" s="236" t="s">
        <v>78</v>
      </c>
      <c r="D114" s="313" t="s">
        <v>426</v>
      </c>
      <c r="E114" s="48">
        <f>'Consol Pull'!F122</f>
        <v>124.23643856071926</v>
      </c>
      <c r="F114" s="162"/>
      <c r="G114" s="127" t="str">
        <f>IF(ISERROR(E114/'Consol Pull'!T122-1),"-",IF(ABS(E114/'Consol Pull'!T122-1)&gt;1000%," - ",(E114/'Consol Pull'!T122-1)))</f>
        <v>-</v>
      </c>
      <c r="H114" s="146"/>
      <c r="I114" s="48">
        <f>'FIRM Load Pull'!E125</f>
        <v>0</v>
      </c>
      <c r="J114" s="48">
        <f>'FIRM Load Pull'!E125</f>
        <v>0</v>
      </c>
      <c r="K114" s="127" t="str">
        <f>IF(ISERROR(I114/'FIRM Load Pull'!Q125-1),"-",IF(ABS(I114/'FIRM Load Pull'!Q125-1)&gt;1000%," - ",(I114/'FIRM Load Pull'!Q125-1)))</f>
        <v>-</v>
      </c>
      <c r="L114" s="48">
        <f>'FIRM Load Pull'!E125-'FIRM Load Pull'!F125</f>
        <v>0</v>
      </c>
      <c r="M114" s="48">
        <f>'FIRM Load Pull'!E125-'FIRM Load Pull'!G125</f>
        <v>0</v>
      </c>
      <c r="N114" s="216">
        <f>'Consol Pull'!G122</f>
        <v>105.9798062377986</v>
      </c>
      <c r="O114" s="48">
        <f>I114-N114</f>
        <v>-105.9798062377986</v>
      </c>
      <c r="P114" s="48">
        <f>I114-'Tracks Pull'!E115</f>
        <v>-10.431241383893088</v>
      </c>
      <c r="Q114" s="126">
        <f>M114-'Tracks Pull'!G115</f>
        <v>-1.8204373439541861</v>
      </c>
      <c r="R114" s="127" t="str">
        <f>IF(ISERROR(#REF!/'RETAIL Load Pull'!N153-1),"-",IF(ABS(#REF!/'RETAIL Load Pull'!N153-1)&gt;1000%," - ",(#REF!/'RETAIL Load Pull'!N153-1)))</f>
        <v>-</v>
      </c>
      <c r="S114" s="127"/>
      <c r="T114" s="127"/>
      <c r="U114" s="258">
        <f>'RETAIL Load Pull'!E153-'RETAIL Load Pull'!F153</f>
        <v>-0.36458124800000746</v>
      </c>
      <c r="V114" s="48">
        <f>'RETAIL Load Pull'!E153-'RETAIL Load Pull'!G153</f>
        <v>33.753868597999968</v>
      </c>
      <c r="W114" s="48" t="e">
        <f>#REF!-N114</f>
        <v>#REF!</v>
      </c>
      <c r="X114" s="48"/>
      <c r="Y114" s="48" t="e">
        <f>#REF!-'Tracks Pull'!M115</f>
        <v>#REF!</v>
      </c>
      <c r="Z114" s="48"/>
      <c r="AA114" s="126">
        <f>V114-'Tracks Pull'!O115</f>
        <v>31.933431254045782</v>
      </c>
      <c r="AB114" s="146"/>
      <c r="AC114" s="48">
        <f t="shared" ref="AC114:AG114" si="11">AC21+AC52+AC83</f>
        <v>2.8268992489075373</v>
      </c>
      <c r="AD114" s="48">
        <f t="shared" si="11"/>
        <v>0.16254179194848301</v>
      </c>
      <c r="AE114" s="48">
        <f t="shared" si="11"/>
        <v>2.6643574569590545</v>
      </c>
      <c r="AF114" s="48">
        <f t="shared" si="11"/>
        <v>14.887900092420987</v>
      </c>
      <c r="AG114" s="48">
        <f t="shared" si="3"/>
        <v>17.714799341328522</v>
      </c>
      <c r="AH114" s="216">
        <f>'Consol Pull'!F122-'Consol Pull'!G122</f>
        <v>18.256632322920666</v>
      </c>
      <c r="AI114" s="48">
        <f t="shared" si="5"/>
        <v>-0.54183298159214388</v>
      </c>
      <c r="AJ114" s="146"/>
      <c r="AK114" s="224">
        <f>I114+AG114</f>
        <v>17.714799341328522</v>
      </c>
      <c r="AL114" s="224"/>
      <c r="AM114" s="224">
        <f>AK114-E114</f>
        <v>-106.52163921939075</v>
      </c>
      <c r="AN114" s="146"/>
      <c r="AO114" s="48" t="e">
        <f>'FIRM Load Pull'!#REF!</f>
        <v>#REF!</v>
      </c>
      <c r="AP114" s="216" t="e">
        <f>I114+AG114+AO114</f>
        <v>#REF!</v>
      </c>
      <c r="AQ114" s="48" t="e">
        <f>AP114-E114</f>
        <v>#REF!</v>
      </c>
      <c r="AR114" s="2"/>
      <c r="AS114" s="2"/>
      <c r="AT114" s="2"/>
    </row>
    <row r="115" spans="1:46" ht="16.2" customHeight="1" outlineLevel="2">
      <c r="A115" s="2" t="s">
        <v>242</v>
      </c>
      <c r="B115" s="44" t="s">
        <v>393</v>
      </c>
      <c r="C115" s="236" t="s">
        <v>393</v>
      </c>
      <c r="D115" s="313" t="s">
        <v>427</v>
      </c>
      <c r="E115" s="48">
        <f>'Consol Pull'!F123</f>
        <v>49.216832564940013</v>
      </c>
      <c r="F115" s="162"/>
      <c r="G115" s="127"/>
      <c r="H115" s="146"/>
      <c r="I115" s="48"/>
      <c r="J115" s="48"/>
      <c r="K115" s="127"/>
      <c r="L115" s="48"/>
      <c r="M115" s="48"/>
      <c r="N115" s="216"/>
      <c r="O115" s="48"/>
      <c r="P115" s="48"/>
      <c r="Q115" s="126"/>
      <c r="R115" s="127"/>
      <c r="S115" s="127"/>
      <c r="T115" s="127"/>
      <c r="U115" s="258"/>
      <c r="V115" s="48"/>
      <c r="W115" s="48"/>
      <c r="X115" s="48"/>
      <c r="Y115" s="48"/>
      <c r="Z115" s="48"/>
      <c r="AA115" s="126"/>
      <c r="AB115" s="146"/>
      <c r="AC115" s="48">
        <f t="shared" ref="AC115:AG115" si="12">AC22+AC53+AC84</f>
        <v>0.54506049815947299</v>
      </c>
      <c r="AD115" s="48">
        <f t="shared" si="12"/>
        <v>0.13147240739785901</v>
      </c>
      <c r="AE115" s="48">
        <f t="shared" si="12"/>
        <v>0.41358809076161401</v>
      </c>
      <c r="AF115" s="48">
        <f t="shared" si="12"/>
        <v>4.2410898833741095</v>
      </c>
      <c r="AG115" s="48">
        <f t="shared" si="3"/>
        <v>4.7861503815335826</v>
      </c>
      <c r="AH115" s="216"/>
      <c r="AI115" s="48"/>
      <c r="AJ115" s="146"/>
      <c r="AK115" s="224"/>
      <c r="AL115" s="224"/>
      <c r="AM115" s="224"/>
      <c r="AN115" s="146"/>
      <c r="AO115" s="48"/>
      <c r="AP115" s="216"/>
      <c r="AQ115" s="48"/>
      <c r="AR115" s="2"/>
      <c r="AS115" s="2"/>
      <c r="AT115" s="2"/>
    </row>
    <row r="116" spans="1:46" ht="16.2" customHeight="1" outlineLevel="2">
      <c r="A116" s="2" t="s">
        <v>242</v>
      </c>
      <c r="B116" s="44" t="s">
        <v>80</v>
      </c>
      <c r="C116" s="236" t="s">
        <v>80</v>
      </c>
      <c r="D116" s="313" t="s">
        <v>331</v>
      </c>
      <c r="E116" s="48">
        <f>'Consol Pull'!F124</f>
        <v>27.722846544494708</v>
      </c>
      <c r="F116" s="162"/>
      <c r="G116" s="127" t="str">
        <f>IF(ISERROR(E116/'Consol Pull'!T124-1),"-",IF(ABS(E116/'Consol Pull'!T124-1)&gt;1000%," - ",(E116/'Consol Pull'!T124-1)))</f>
        <v>-</v>
      </c>
      <c r="H116" s="146"/>
      <c r="I116" s="48">
        <f>'FIRM Load Pull'!E127</f>
        <v>0</v>
      </c>
      <c r="J116" s="48">
        <f>'FIRM Load Pull'!E127</f>
        <v>0</v>
      </c>
      <c r="K116" s="127" t="str">
        <f>IF(ISERROR(I116/'FIRM Load Pull'!Q127-1),"-",IF(ABS(I116/'FIRM Load Pull'!Q127-1)&gt;1000%," - ",(I116/'FIRM Load Pull'!Q127-1)))</f>
        <v>-</v>
      </c>
      <c r="L116" s="48">
        <f>'FIRM Load Pull'!E127-'FIRM Load Pull'!F127</f>
        <v>0</v>
      </c>
      <c r="M116" s="48">
        <f>'FIRM Load Pull'!E127-'FIRM Load Pull'!G127</f>
        <v>0</v>
      </c>
      <c r="N116" s="216">
        <f>'Consol Pull'!G124</f>
        <v>9.1327123873013623</v>
      </c>
      <c r="O116" s="48">
        <f>I116-N116</f>
        <v>-9.1327123873013623</v>
      </c>
      <c r="P116" s="48">
        <f>I116-'Tracks Pull'!E117</f>
        <v>-1.6556500365560192</v>
      </c>
      <c r="Q116" s="126">
        <f>M116-'Tracks Pull'!G117</f>
        <v>-0.38882276395925031</v>
      </c>
      <c r="R116" s="127" t="str">
        <f>IF(ISERROR(#REF!/'RETAIL Load Pull'!N155-1),"-",IF(ABS(#REF!/'RETAIL Load Pull'!N155-1)&gt;1000%," - ",(#REF!/'RETAIL Load Pull'!N155-1)))</f>
        <v>-</v>
      </c>
      <c r="S116" s="127"/>
      <c r="T116" s="127"/>
      <c r="U116" s="258">
        <f>'RETAIL Load Pull'!E155-'RETAIL Load Pull'!F155</f>
        <v>0</v>
      </c>
      <c r="V116" s="48">
        <f>'RETAIL Load Pull'!E155-'RETAIL Load Pull'!G155</f>
        <v>3.9134124606</v>
      </c>
      <c r="W116" s="48" t="e">
        <f>#REF!-N116</f>
        <v>#REF!</v>
      </c>
      <c r="X116" s="48"/>
      <c r="Y116" s="48" t="e">
        <f>#REF!-'Tracks Pull'!M117</f>
        <v>#REF!</v>
      </c>
      <c r="Z116" s="48"/>
      <c r="AA116" s="126">
        <f>V116-'Tracks Pull'!O117</f>
        <v>3.5245896966407497</v>
      </c>
      <c r="AB116" s="146"/>
      <c r="AC116" s="48">
        <f t="shared" ref="AC116:AG116" si="13">AC23+AC54+AC85</f>
        <v>0</v>
      </c>
      <c r="AD116" s="48">
        <f t="shared" si="13"/>
        <v>0</v>
      </c>
      <c r="AE116" s="48">
        <f t="shared" si="13"/>
        <v>0</v>
      </c>
      <c r="AF116" s="48">
        <f t="shared" si="13"/>
        <v>18.251587390000001</v>
      </c>
      <c r="AG116" s="48">
        <f t="shared" si="3"/>
        <v>18.251587390000001</v>
      </c>
      <c r="AH116" s="216">
        <f>'Consol Pull'!F124-'Consol Pull'!G124</f>
        <v>18.590134157193347</v>
      </c>
      <c r="AI116" s="48">
        <f t="shared" si="5"/>
        <v>-0.3385467671933462</v>
      </c>
      <c r="AJ116" s="146"/>
      <c r="AK116" s="224">
        <f>I116+AG116</f>
        <v>18.251587390000001</v>
      </c>
      <c r="AL116" s="224"/>
      <c r="AM116" s="224">
        <f>AK116-E116</f>
        <v>-9.4712591544947067</v>
      </c>
      <c r="AN116" s="146"/>
      <c r="AO116" s="48" t="e">
        <f>'FIRM Load Pull'!#REF!</f>
        <v>#REF!</v>
      </c>
      <c r="AP116" s="216" t="e">
        <f>I116+AG116+AO116</f>
        <v>#REF!</v>
      </c>
      <c r="AQ116" s="48" t="e">
        <f>AP116-E116</f>
        <v>#REF!</v>
      </c>
      <c r="AR116" s="2"/>
      <c r="AS116" s="2"/>
      <c r="AT116" s="2"/>
    </row>
    <row r="117" spans="1:46" ht="16.2" customHeight="1" outlineLevel="2">
      <c r="A117" s="2" t="s">
        <v>242</v>
      </c>
      <c r="B117" s="44" t="s">
        <v>104</v>
      </c>
      <c r="C117" s="236" t="s">
        <v>104</v>
      </c>
      <c r="D117" s="313" t="s">
        <v>104</v>
      </c>
      <c r="E117" s="48">
        <f>'Consol Pull'!F125</f>
        <v>96.094198320012595</v>
      </c>
      <c r="F117" s="162"/>
      <c r="G117" s="127">
        <f>IF(ISERROR(E117/'Consol Pull'!T125-1),"-",IF(ABS(E117/'Consol Pull'!T125-1)&gt;1000%," - ",(E117/'Consol Pull'!T125-1)))</f>
        <v>-0.11054516548608029</v>
      </c>
      <c r="H117" s="146"/>
      <c r="I117" s="48">
        <f>'FIRM Load Pull'!E128</f>
        <v>2.4176245639999996</v>
      </c>
      <c r="J117" s="48">
        <f>'FIRM Load Pull'!E128</f>
        <v>2.4176245639999996</v>
      </c>
      <c r="K117" s="127">
        <f>IF(ISERROR(I117/'FIRM Load Pull'!Q128-1),"-",IF(ABS(I117/'FIRM Load Pull'!Q128-1)&gt;1000%," - ",(I117/'FIRM Load Pull'!Q128-1)))</f>
        <v>-0.56080266429982317</v>
      </c>
      <c r="L117" s="48">
        <f>'FIRM Load Pull'!E128-'FIRM Load Pull'!F128</f>
        <v>5.7539460000000098E-2</v>
      </c>
      <c r="M117" s="48">
        <f>'FIRM Load Pull'!E128-'FIRM Load Pull'!G128</f>
        <v>0.46365329559999946</v>
      </c>
      <c r="N117" s="216">
        <f>'Consol Pull'!G125</f>
        <v>81.462034971056781</v>
      </c>
      <c r="O117" s="48">
        <f>I117-N117</f>
        <v>-79.044410407056787</v>
      </c>
      <c r="P117" s="48">
        <f>I117-'Tracks Pull'!E118</f>
        <v>-24.093401571302483</v>
      </c>
      <c r="Q117" s="126">
        <f>M117-'Tracks Pull'!G118</f>
        <v>-4.4829327907918932</v>
      </c>
      <c r="R117" s="127" t="str">
        <f>IF(ISERROR(#REF!/'RETAIL Load Pull'!N156-1),"-",IF(ABS(#REF!/'RETAIL Load Pull'!N156-1)&gt;1000%," - ",(#REF!/'RETAIL Load Pull'!N156-1)))</f>
        <v>-</v>
      </c>
      <c r="S117" s="127"/>
      <c r="T117" s="127"/>
      <c r="U117" s="258">
        <f>'RETAIL Load Pull'!E156-'RETAIL Load Pull'!F156</f>
        <v>-0.22175908500000219</v>
      </c>
      <c r="V117" s="48">
        <f>'RETAIL Load Pull'!E156-'RETAIL Load Pull'!G156</f>
        <v>1.2713394405000003</v>
      </c>
      <c r="W117" s="48" t="e">
        <f>#REF!-N117</f>
        <v>#REF!</v>
      </c>
      <c r="X117" s="48"/>
      <c r="Y117" s="48" t="e">
        <f>#REF!-'Tracks Pull'!M118</f>
        <v>#REF!</v>
      </c>
      <c r="Z117" s="48"/>
      <c r="AA117" s="126">
        <f>V117-'Tracks Pull'!O118</f>
        <v>-3.6752466458918924</v>
      </c>
      <c r="AB117" s="146"/>
      <c r="AC117" s="48">
        <f t="shared" ref="AC117:AG117" si="14">AC24+AC55+AC86</f>
        <v>7.0856806157574663</v>
      </c>
      <c r="AD117" s="48">
        <f t="shared" si="14"/>
        <v>0.16417210645014199</v>
      </c>
      <c r="AE117" s="48">
        <f t="shared" si="14"/>
        <v>6.9215085093073245</v>
      </c>
      <c r="AF117" s="48">
        <f t="shared" si="14"/>
        <v>10.240363019900702</v>
      </c>
      <c r="AG117" s="48">
        <f t="shared" si="3"/>
        <v>17.326043635658166</v>
      </c>
      <c r="AH117" s="216">
        <f>'Consol Pull'!F125-'Consol Pull'!G125</f>
        <v>14.632163348955814</v>
      </c>
      <c r="AI117" s="48">
        <f t="shared" si="5"/>
        <v>2.6938802867023526</v>
      </c>
      <c r="AJ117" s="146"/>
      <c r="AK117" s="224">
        <f>I117+AG117</f>
        <v>19.743668199658167</v>
      </c>
      <c r="AL117" s="224"/>
      <c r="AM117" s="224">
        <f>AK117-E117</f>
        <v>-76.350530120354421</v>
      </c>
      <c r="AN117" s="146"/>
      <c r="AO117" s="48" t="e">
        <f>'FIRM Load Pull'!#REF!</f>
        <v>#REF!</v>
      </c>
      <c r="AP117" s="216" t="e">
        <f>I117+AG117+AO117</f>
        <v>#REF!</v>
      </c>
      <c r="AQ117" s="48" t="e">
        <f>AP117-E117</f>
        <v>#REF!</v>
      </c>
      <c r="AR117" s="2"/>
      <c r="AS117" s="2"/>
      <c r="AT117" s="2"/>
    </row>
    <row r="118" spans="1:46" ht="16.2" customHeight="1" outlineLevel="2">
      <c r="A118" s="2" t="s">
        <v>242</v>
      </c>
      <c r="B118" s="44" t="s">
        <v>105</v>
      </c>
      <c r="C118" s="236" t="s">
        <v>105</v>
      </c>
      <c r="D118" s="313" t="s">
        <v>105</v>
      </c>
      <c r="E118" s="48">
        <f>'Consol Pull'!F126</f>
        <v>218.18841220908428</v>
      </c>
      <c r="F118" s="162"/>
      <c r="G118" s="127">
        <f>IF(ISERROR(E118/'Consol Pull'!T126-1),"-",IF(ABS(E118/'Consol Pull'!T126-1)&gt;1000%," - ",(E118/'Consol Pull'!T126-1)))</f>
        <v>0.44340494917893758</v>
      </c>
      <c r="H118" s="146"/>
      <c r="I118" s="48">
        <f>'FIRM Load Pull'!E129</f>
        <v>38.196229806499993</v>
      </c>
      <c r="J118" s="48">
        <f>'FIRM Load Pull'!E129</f>
        <v>38.196229806499993</v>
      </c>
      <c r="K118" s="127">
        <f>IF(ISERROR(I118/'FIRM Load Pull'!Q129-1),"-",IF(ABS(I118/'FIRM Load Pull'!Q129-1)&gt;1000%," - ",(I118/'FIRM Load Pull'!Q129-1)))</f>
        <v>-4.5105461360444798E-2</v>
      </c>
      <c r="L118" s="48">
        <f>'FIRM Load Pull'!E129-'FIRM Load Pull'!F129</f>
        <v>0.12835934349998013</v>
      </c>
      <c r="M118" s="48">
        <f>'FIRM Load Pull'!E129-'FIRM Load Pull'!G129</f>
        <v>11.600290714999993</v>
      </c>
      <c r="N118" s="216">
        <f>'Consol Pull'!G126</f>
        <v>188.94433273257945</v>
      </c>
      <c r="O118" s="48">
        <f>I118-N118</f>
        <v>-150.74810292607947</v>
      </c>
      <c r="P118" s="48">
        <f>I118-'Tracks Pull'!E119</f>
        <v>1.0494740522119841</v>
      </c>
      <c r="Q118" s="126">
        <f>M118-'Tracks Pull'!G119</f>
        <v>4.6311959092821127</v>
      </c>
      <c r="R118" s="127" t="str">
        <f>IF(ISERROR(#REF!/'RETAIL Load Pull'!N157-1),"-",IF(ABS(#REF!/'RETAIL Load Pull'!N157-1)&gt;1000%," - ",(#REF!/'RETAIL Load Pull'!N157-1)))</f>
        <v>-</v>
      </c>
      <c r="S118" s="127"/>
      <c r="T118" s="127"/>
      <c r="U118" s="258">
        <f>'RETAIL Load Pull'!E157-'RETAIL Load Pull'!F157</f>
        <v>1.4347105466000016</v>
      </c>
      <c r="V118" s="48">
        <f>'RETAIL Load Pull'!E157-'RETAIL Load Pull'!G157</f>
        <v>19.684864891699988</v>
      </c>
      <c r="W118" s="48" t="e">
        <f>#REF!-N118</f>
        <v>#REF!</v>
      </c>
      <c r="X118" s="48"/>
      <c r="Y118" s="48" t="e">
        <f>#REF!-'Tracks Pull'!M119</f>
        <v>#REF!</v>
      </c>
      <c r="Z118" s="48"/>
      <c r="AA118" s="126">
        <f>V118-'Tracks Pull'!O119</f>
        <v>12.715770085982108</v>
      </c>
      <c r="AB118" s="146"/>
      <c r="AC118" s="48">
        <f t="shared" ref="AC118:AG118" si="15">AC25+AC56+AC87</f>
        <v>11.329133883743902</v>
      </c>
      <c r="AD118" s="48">
        <f t="shared" si="15"/>
        <v>1.043840047853448</v>
      </c>
      <c r="AE118" s="48">
        <f t="shared" si="15"/>
        <v>10.285293835890455</v>
      </c>
      <c r="AF118" s="48">
        <f t="shared" si="15"/>
        <v>28.999367536335601</v>
      </c>
      <c r="AG118" s="48">
        <f t="shared" si="3"/>
        <v>40.328501420079505</v>
      </c>
      <c r="AH118" s="216">
        <f>'Consol Pull'!F126-'Consol Pull'!G126</f>
        <v>29.244079476504822</v>
      </c>
      <c r="AI118" s="48">
        <f t="shared" si="5"/>
        <v>11.084421943574682</v>
      </c>
      <c r="AJ118" s="146"/>
      <c r="AK118" s="224">
        <f>I118+AG118</f>
        <v>78.52473122657949</v>
      </c>
      <c r="AL118" s="224"/>
      <c r="AM118" s="224">
        <f>AK118-E118</f>
        <v>-139.66368098250479</v>
      </c>
      <c r="AN118" s="146"/>
      <c r="AO118" s="48" t="e">
        <f>'FIRM Load Pull'!#REF!</f>
        <v>#REF!</v>
      </c>
      <c r="AP118" s="216" t="e">
        <f>I118+AG118+AO118</f>
        <v>#REF!</v>
      </c>
      <c r="AQ118" s="48" t="e">
        <f>AP118-E118</f>
        <v>#REF!</v>
      </c>
      <c r="AR118" s="2"/>
      <c r="AS118" s="2"/>
      <c r="AT118" s="2"/>
    </row>
    <row r="119" spans="1:46" s="140" customFormat="1" ht="16.2" customHeight="1" outlineLevel="1">
      <c r="A119" s="141" t="s">
        <v>242</v>
      </c>
      <c r="B119" s="46" t="s">
        <v>26</v>
      </c>
      <c r="C119" s="236" t="s">
        <v>26</v>
      </c>
      <c r="D119" s="311" t="s">
        <v>26</v>
      </c>
      <c r="E119" s="248">
        <f>'Consol Pull'!F127</f>
        <v>1059.9605262912826</v>
      </c>
      <c r="F119" s="246"/>
      <c r="G119" s="127">
        <f>IF(ISERROR(E119/'Consol Pull'!T127-1),"-",IF(ABS(E119/'Consol Pull'!T127-1)&gt;1000%," - ",(E119/'Consol Pull'!T127-1)))</f>
        <v>6.023738460579553E-2</v>
      </c>
      <c r="H119" s="247"/>
      <c r="I119" s="248">
        <f>'FIRM Load Pull'!E130</f>
        <v>176.25338095340015</v>
      </c>
      <c r="J119" s="248">
        <f>'FIRM Load Pull'!E130</f>
        <v>176.25338095340015</v>
      </c>
      <c r="K119" s="127">
        <f>IF(ISERROR(I119/'FIRM Load Pull'!Q130-1),"-",IF(ABS(I119/'FIRM Load Pull'!Q130-1)&gt;1000%," - ",(I119/'FIRM Load Pull'!Q130-1)))</f>
        <v>0.3254514657976646</v>
      </c>
      <c r="L119" s="248">
        <f>'FIRM Load Pull'!E130-'FIRM Load Pull'!F130</f>
        <v>7.5675741656000355</v>
      </c>
      <c r="M119" s="248">
        <f>'FIRM Load Pull'!E130-'FIRM Load Pull'!G130</f>
        <v>35.334469652600092</v>
      </c>
      <c r="N119" s="223">
        <f>'Consol Pull'!G127</f>
        <v>916.48891857343449</v>
      </c>
      <c r="O119" s="248">
        <f>I119-N119</f>
        <v>-740.23553762003439</v>
      </c>
      <c r="P119" s="248">
        <f>I119-'Tracks Pull'!E120</f>
        <v>-77.860414453277031</v>
      </c>
      <c r="Q119" s="250">
        <f>M119-'Tracks Pull'!G120</f>
        <v>-24.858303500131228</v>
      </c>
      <c r="R119" s="127" t="str">
        <f>IF(ISERROR(#REF!/'RETAIL Load Pull'!N158-1),"-",IF(ABS(#REF!/'RETAIL Load Pull'!N158-1)&gt;1000%," - ",(#REF!/'RETAIL Load Pull'!N158-1)))</f>
        <v>-</v>
      </c>
      <c r="S119" s="249"/>
      <c r="T119" s="249"/>
      <c r="U119" s="262">
        <f>'RETAIL Load Pull'!E158-'RETAIL Load Pull'!F158</f>
        <v>23.836398983899926</v>
      </c>
      <c r="V119" s="248">
        <f>'RETAIL Load Pull'!E158-'RETAIL Load Pull'!G158</f>
        <v>146.73846833489961</v>
      </c>
      <c r="W119" s="248" t="e">
        <f>#REF!-N119</f>
        <v>#REF!</v>
      </c>
      <c r="X119" s="248"/>
      <c r="Y119" s="248" t="e">
        <f>#REF!-'Tracks Pull'!M120</f>
        <v>#REF!</v>
      </c>
      <c r="Z119" s="248"/>
      <c r="AA119" s="250">
        <f>V119-'Tracks Pull'!O120</f>
        <v>86.545695182168288</v>
      </c>
      <c r="AB119" s="247"/>
      <c r="AC119" s="48">
        <f t="shared" ref="AC119:AG119" si="16">AC26+AC57+AC88</f>
        <v>39.25859206782583</v>
      </c>
      <c r="AD119" s="48">
        <f t="shared" si="16"/>
        <v>4.0310486334232918</v>
      </c>
      <c r="AE119" s="48">
        <f t="shared" si="16"/>
        <v>35.227543434402534</v>
      </c>
      <c r="AF119" s="48">
        <f t="shared" si="16"/>
        <v>128.727672464335</v>
      </c>
      <c r="AG119" s="48">
        <f t="shared" si="3"/>
        <v>167.98626453216082</v>
      </c>
      <c r="AH119" s="223">
        <f>'Consol Pull'!F127-'Consol Pull'!G127</f>
        <v>143.47160771784809</v>
      </c>
      <c r="AI119" s="248">
        <f t="shared" si="5"/>
        <v>24.51465681431273</v>
      </c>
      <c r="AJ119" s="247"/>
      <c r="AK119" s="251">
        <f>I119+AG119</f>
        <v>344.23964548556097</v>
      </c>
      <c r="AL119" s="251"/>
      <c r="AM119" s="251">
        <f>AK119-E119</f>
        <v>-715.72088080572166</v>
      </c>
      <c r="AN119" s="247"/>
      <c r="AO119" s="248" t="e">
        <f>'FIRM Load Pull'!#REF!</f>
        <v>#REF!</v>
      </c>
      <c r="AP119" s="223" t="e">
        <f>I119+AG119+AO119</f>
        <v>#REF!</v>
      </c>
      <c r="AQ119" s="248" t="e">
        <f>AP119-E119</f>
        <v>#REF!</v>
      </c>
      <c r="AR119" s="141"/>
      <c r="AS119" s="141"/>
      <c r="AT119" s="141"/>
    </row>
    <row r="120" spans="1:46" ht="16.2" customHeight="1" outlineLevel="2">
      <c r="A120" s="2" t="s">
        <v>242</v>
      </c>
      <c r="B120" s="44" t="s">
        <v>235</v>
      </c>
      <c r="C120" s="236" t="s">
        <v>235</v>
      </c>
      <c r="D120" s="313" t="s">
        <v>235</v>
      </c>
      <c r="E120" s="48">
        <f>'Consol Pull'!F128</f>
        <v>255.2601457716562</v>
      </c>
      <c r="F120" s="162"/>
      <c r="G120" s="127">
        <f>IF(ISERROR(E120/'Consol Pull'!T128-1),"-",IF(ABS(E120/'Consol Pull'!T128-1)&gt;1000%," - ",(E120/'Consol Pull'!T128-1)))</f>
        <v>-0.21426868301591451</v>
      </c>
      <c r="H120" s="146"/>
      <c r="I120" s="48">
        <f>'FIRM Load Pull'!E131</f>
        <v>28.273675758800014</v>
      </c>
      <c r="J120" s="48">
        <f>'FIRM Load Pull'!E131</f>
        <v>28.273675758800014</v>
      </c>
      <c r="K120" s="127">
        <f>IF(ISERROR(I120/'FIRM Load Pull'!Q131-1),"-",IF(ABS(I120/'FIRM Load Pull'!Q131-1)&gt;1000%," - ",(I120/'FIRM Load Pull'!Q131-1)))</f>
        <v>0.58338841683766018</v>
      </c>
      <c r="L120" s="48">
        <f>'FIRM Load Pull'!E131-'FIRM Load Pull'!F131</f>
        <v>0.22000886000000008</v>
      </c>
      <c r="M120" s="48">
        <f>'FIRM Load Pull'!E131-'FIRM Load Pull'!G131</f>
        <v>1.1811960643000141</v>
      </c>
      <c r="N120" s="216">
        <f>'Consol Pull'!G128</f>
        <v>222.08167473639375</v>
      </c>
      <c r="O120" s="48">
        <f>I120-N120</f>
        <v>-193.80799897759374</v>
      </c>
      <c r="P120" s="48">
        <f>I120-'Tracks Pull'!E121</f>
        <v>-44.561887537943207</v>
      </c>
      <c r="Q120" s="126">
        <f>M120-'Tracks Pull'!G121</f>
        <v>-16.156058898986632</v>
      </c>
      <c r="R120" s="127" t="str">
        <f>IF(ISERROR(#REF!/'RETAIL Load Pull'!N159-1),"-",IF(ABS(#REF!/'RETAIL Load Pull'!N159-1)&gt;1000%," - ",(#REF!/'RETAIL Load Pull'!N159-1)))</f>
        <v>-</v>
      </c>
      <c r="S120" s="127"/>
      <c r="T120" s="127"/>
      <c r="U120" s="258">
        <f>'RETAIL Load Pull'!E159-'RETAIL Load Pull'!F159</f>
        <v>1.3046994623999524</v>
      </c>
      <c r="V120" s="48">
        <f>'RETAIL Load Pull'!E159-'RETAIL Load Pull'!G159</f>
        <v>20.611756179599922</v>
      </c>
      <c r="W120" s="48" t="e">
        <f>#REF!-N120</f>
        <v>#REF!</v>
      </c>
      <c r="X120" s="48"/>
      <c r="Y120" s="48" t="e">
        <f>#REF!-'Tracks Pull'!M121</f>
        <v>#REF!</v>
      </c>
      <c r="Z120" s="48"/>
      <c r="AA120" s="126">
        <f>V120-'Tracks Pull'!O121</f>
        <v>3.2745012163132756</v>
      </c>
      <c r="AB120" s="146"/>
      <c r="AC120" s="48">
        <f t="shared" ref="AC120:AG120" si="17">AC27+AC58+AC89</f>
        <v>19.988037506627972</v>
      </c>
      <c r="AD120" s="48">
        <f t="shared" si="17"/>
        <v>0.65884755448272192</v>
      </c>
      <c r="AE120" s="48">
        <f t="shared" si="17"/>
        <v>19.329189952145249</v>
      </c>
      <c r="AF120" s="48">
        <f t="shared" si="17"/>
        <v>28.189451499299107</v>
      </c>
      <c r="AG120" s="48">
        <f t="shared" si="3"/>
        <v>48.177489005927079</v>
      </c>
      <c r="AH120" s="216">
        <f>'Consol Pull'!F128-'Consol Pull'!G128</f>
        <v>33.178471035262447</v>
      </c>
      <c r="AI120" s="48">
        <f t="shared" si="5"/>
        <v>14.999017970664632</v>
      </c>
      <c r="AJ120" s="146"/>
      <c r="AK120" s="224">
        <f>I120+AG120</f>
        <v>76.451164764727096</v>
      </c>
      <c r="AL120" s="224"/>
      <c r="AM120" s="224">
        <f>AK120-E120</f>
        <v>-178.80898100692912</v>
      </c>
      <c r="AN120" s="146"/>
      <c r="AO120" s="48" t="e">
        <f>'FIRM Load Pull'!#REF!</f>
        <v>#REF!</v>
      </c>
      <c r="AP120" s="216" t="e">
        <f>I120+AG120+AO120</f>
        <v>#REF!</v>
      </c>
      <c r="AQ120" s="48" t="e">
        <f>AP120-E120</f>
        <v>#REF!</v>
      </c>
      <c r="AR120" s="2"/>
      <c r="AS120" s="2"/>
      <c r="AT120" s="2"/>
    </row>
    <row r="121" spans="1:46" ht="16.2" customHeight="1" outlineLevel="2">
      <c r="A121" s="2" t="s">
        <v>242</v>
      </c>
      <c r="B121" s="44" t="s">
        <v>106</v>
      </c>
      <c r="C121" s="236" t="s">
        <v>106</v>
      </c>
      <c r="D121" s="313" t="s">
        <v>106</v>
      </c>
      <c r="E121" s="48">
        <f>'Consol Pull'!F129</f>
        <v>150.88851104170473</v>
      </c>
      <c r="F121" s="162"/>
      <c r="G121" s="127">
        <f>IF(ISERROR(E121/'Consol Pull'!T129-1),"-",IF(ABS(E121/'Consol Pull'!T129-1)&gt;1000%," - ",(E121/'Consol Pull'!T129-1)))</f>
        <v>0.62361768857944866</v>
      </c>
      <c r="H121" s="146"/>
      <c r="I121" s="48">
        <f>'FIRM Load Pull'!E132</f>
        <v>14.075385461099991</v>
      </c>
      <c r="J121" s="48">
        <f>'FIRM Load Pull'!E132</f>
        <v>14.075385461099991</v>
      </c>
      <c r="K121" s="127">
        <f>IF(ISERROR(I121/'FIRM Load Pull'!Q132-1),"-",IF(ABS(I121/'FIRM Load Pull'!Q132-1)&gt;1000%," - ",(I121/'FIRM Load Pull'!Q132-1)))</f>
        <v>1.6966015300332864</v>
      </c>
      <c r="L121" s="48">
        <f>'FIRM Load Pull'!E132-'FIRM Load Pull'!F132</f>
        <v>0.14672400899999616</v>
      </c>
      <c r="M121" s="48">
        <f>'FIRM Load Pull'!E132-'FIRM Load Pull'!G132</f>
        <v>0.68964003429999643</v>
      </c>
      <c r="N121" s="216">
        <f>'Consol Pull'!G129</f>
        <v>131.78624622127833</v>
      </c>
      <c r="O121" s="48">
        <f>I121-N121</f>
        <v>-117.71086076017835</v>
      </c>
      <c r="P121" s="48">
        <f>I121-'Tracks Pull'!E122</f>
        <v>-11.218127836609519</v>
      </c>
      <c r="Q121" s="126">
        <f>M121-'Tracks Pull'!G122</f>
        <v>-5.2313807048089718</v>
      </c>
      <c r="R121" s="127" t="str">
        <f>IF(ISERROR(#REF!/'RETAIL Load Pull'!N160-1),"-",IF(ABS(#REF!/'RETAIL Load Pull'!N160-1)&gt;1000%," - ",(#REF!/'RETAIL Load Pull'!N160-1)))</f>
        <v>-</v>
      </c>
      <c r="S121" s="127"/>
      <c r="T121" s="127"/>
      <c r="U121" s="258">
        <f>'RETAIL Load Pull'!E160-'RETAIL Load Pull'!F160</f>
        <v>1.4322704408999698</v>
      </c>
      <c r="V121" s="48">
        <f>'RETAIL Load Pull'!E160-'RETAIL Load Pull'!G160</f>
        <v>13.152890440299927</v>
      </c>
      <c r="W121" s="48" t="e">
        <f>#REF!-N121</f>
        <v>#REF!</v>
      </c>
      <c r="X121" s="48"/>
      <c r="Y121" s="48" t="e">
        <f>#REF!-'Tracks Pull'!M122</f>
        <v>#REF!</v>
      </c>
      <c r="Z121" s="48"/>
      <c r="AA121" s="126">
        <f>V121-'Tracks Pull'!O122</f>
        <v>7.2318697011909592</v>
      </c>
      <c r="AB121" s="146"/>
      <c r="AC121" s="48">
        <f t="shared" ref="AC121:AG121" si="18">AC28+AC59+AC90</f>
        <v>1.890806779039423</v>
      </c>
      <c r="AD121" s="48">
        <f t="shared" si="18"/>
        <v>0.48033698349436799</v>
      </c>
      <c r="AE121" s="48">
        <f t="shared" si="18"/>
        <v>1.4104697955450549</v>
      </c>
      <c r="AF121" s="48">
        <f t="shared" si="18"/>
        <v>17.662287799526137</v>
      </c>
      <c r="AG121" s="48">
        <f t="shared" si="3"/>
        <v>19.55309457856556</v>
      </c>
      <c r="AH121" s="216">
        <f>'Consol Pull'!F129-'Consol Pull'!G129</f>
        <v>19.102264820426399</v>
      </c>
      <c r="AI121" s="48">
        <f t="shared" si="5"/>
        <v>0.45082975813916093</v>
      </c>
      <c r="AJ121" s="146"/>
      <c r="AK121" s="224">
        <f>I121+AG121</f>
        <v>33.628480039665547</v>
      </c>
      <c r="AL121" s="224"/>
      <c r="AM121" s="224">
        <f>AK121-E121</f>
        <v>-117.26003100203918</v>
      </c>
      <c r="AN121" s="146"/>
      <c r="AO121" s="48" t="e">
        <f>'FIRM Load Pull'!#REF!</f>
        <v>#REF!</v>
      </c>
      <c r="AP121" s="216" t="e">
        <f>I121+AG121+AO121</f>
        <v>#REF!</v>
      </c>
      <c r="AQ121" s="48" t="e">
        <f>AP121-E121</f>
        <v>#REF!</v>
      </c>
      <c r="AR121" s="2"/>
      <c r="AS121" s="2"/>
      <c r="AT121" s="2"/>
    </row>
    <row r="122" spans="1:46" ht="16.2" customHeight="1" outlineLevel="2">
      <c r="A122" s="2" t="s">
        <v>242</v>
      </c>
      <c r="B122" s="44" t="s">
        <v>87</v>
      </c>
      <c r="C122" s="236" t="s">
        <v>87</v>
      </c>
      <c r="D122" s="313" t="s">
        <v>87</v>
      </c>
      <c r="E122" s="48">
        <f>'Consol Pull'!F130</f>
        <v>139.85434311066373</v>
      </c>
      <c r="F122" s="162"/>
      <c r="G122" s="127">
        <f>IF(ISERROR(E122/'Consol Pull'!T130-1),"-",IF(ABS(E122/'Consol Pull'!T130-1)&gt;1000%," - ",(E122/'Consol Pull'!T130-1)))</f>
        <v>2.0423906656454438E-2</v>
      </c>
      <c r="H122" s="146"/>
      <c r="I122" s="48">
        <f>'FIRM Load Pull'!E133</f>
        <v>6.7185063147000017</v>
      </c>
      <c r="J122" s="48">
        <f>'FIRM Load Pull'!E133</f>
        <v>6.7185063147000017</v>
      </c>
      <c r="K122" s="127">
        <f>IF(ISERROR(I122/'FIRM Load Pull'!Q133-1),"-",IF(ABS(I122/'FIRM Load Pull'!Q133-1)&gt;1000%," - ",(I122/'FIRM Load Pull'!Q133-1)))</f>
        <v>-0.41958028550794768</v>
      </c>
      <c r="L122" s="48">
        <f>'FIRM Load Pull'!E133-'FIRM Load Pull'!F133</f>
        <v>0</v>
      </c>
      <c r="M122" s="48">
        <f>'FIRM Load Pull'!E133-'FIRM Load Pull'!G133</f>
        <v>-0.47565042999999996</v>
      </c>
      <c r="N122" s="216">
        <f>'Consol Pull'!G130</f>
        <v>120.40160649997601</v>
      </c>
      <c r="O122" s="48">
        <f>I122-N122</f>
        <v>-113.683100185276</v>
      </c>
      <c r="P122" s="48">
        <f>I122-'Tracks Pull'!E123</f>
        <v>-24.566253008889952</v>
      </c>
      <c r="Q122" s="126">
        <f>M122-'Tracks Pull'!G123</f>
        <v>-7.8559406640180836</v>
      </c>
      <c r="R122" s="127" t="str">
        <f>IF(ISERROR(#REF!/'RETAIL Load Pull'!N161-1),"-",IF(ABS(#REF!/'RETAIL Load Pull'!N161-1)&gt;1000%," - ",(#REF!/'RETAIL Load Pull'!N161-1)))</f>
        <v>-</v>
      </c>
      <c r="S122" s="127"/>
      <c r="T122" s="127"/>
      <c r="U122" s="258">
        <f>'RETAIL Load Pull'!E161-'RETAIL Load Pull'!F161</f>
        <v>7.6668697233000103</v>
      </c>
      <c r="V122" s="48">
        <f>'RETAIL Load Pull'!E161-'RETAIL Load Pull'!G161</f>
        <v>28.099070532399992</v>
      </c>
      <c r="W122" s="48" t="e">
        <f>#REF!-N122</f>
        <v>#REF!</v>
      </c>
      <c r="X122" s="48"/>
      <c r="Y122" s="48" t="e">
        <f>#REF!-'Tracks Pull'!M123</f>
        <v>#REF!</v>
      </c>
      <c r="Z122" s="48"/>
      <c r="AA122" s="126">
        <f>V122-'Tracks Pull'!O123</f>
        <v>20.718780298381908</v>
      </c>
      <c r="AB122" s="146"/>
      <c r="AC122" s="48">
        <f t="shared" ref="AC122:AG122" si="19">AC29+AC60+AC91</f>
        <v>2.532607451158821</v>
      </c>
      <c r="AD122" s="48">
        <f t="shared" si="19"/>
        <v>0.23564059164377998</v>
      </c>
      <c r="AE122" s="48">
        <f t="shared" si="19"/>
        <v>2.2969668595150408</v>
      </c>
      <c r="AF122" s="48">
        <f t="shared" si="19"/>
        <v>16.418691964861399</v>
      </c>
      <c r="AG122" s="48">
        <f t="shared" si="3"/>
        <v>18.95129941602022</v>
      </c>
      <c r="AH122" s="216">
        <f>'Consol Pull'!F130-'Consol Pull'!G130</f>
        <v>19.452736610687722</v>
      </c>
      <c r="AI122" s="48">
        <f t="shared" si="5"/>
        <v>-0.50143719466750269</v>
      </c>
      <c r="AJ122" s="146"/>
      <c r="AK122" s="224">
        <f>I122+AG122</f>
        <v>25.669805730720221</v>
      </c>
      <c r="AL122" s="224"/>
      <c r="AM122" s="224">
        <f>AK122-E122</f>
        <v>-114.18453737994352</v>
      </c>
      <c r="AN122" s="146"/>
      <c r="AO122" s="48" t="e">
        <f>'FIRM Load Pull'!#REF!</f>
        <v>#REF!</v>
      </c>
      <c r="AP122" s="216" t="e">
        <f>I122+AG122+AO122</f>
        <v>#REF!</v>
      </c>
      <c r="AQ122" s="48" t="e">
        <f>AP122-E122</f>
        <v>#REF!</v>
      </c>
      <c r="AR122" s="2"/>
      <c r="AS122" s="2"/>
      <c r="AT122" s="2"/>
    </row>
    <row r="123" spans="1:46" ht="16.2" customHeight="1" outlineLevel="2">
      <c r="A123" s="2" t="s">
        <v>242</v>
      </c>
      <c r="B123" s="44" t="s">
        <v>107</v>
      </c>
      <c r="C123" s="236" t="s">
        <v>107</v>
      </c>
      <c r="D123" s="313" t="s">
        <v>107</v>
      </c>
      <c r="E123" s="48">
        <f>'Consol Pull'!F131</f>
        <v>104.43554911776528</v>
      </c>
      <c r="F123" s="162"/>
      <c r="G123" s="127">
        <f>IF(ISERROR(E123/'Consol Pull'!T131-1),"-",IF(ABS(E123/'Consol Pull'!T131-1)&gt;1000%," - ",(E123/'Consol Pull'!T131-1)))</f>
        <v>0.26606652251732976</v>
      </c>
      <c r="H123" s="146"/>
      <c r="I123" s="48">
        <f>'FIRM Load Pull'!E134</f>
        <v>33.369014701499999</v>
      </c>
      <c r="J123" s="48">
        <f>'FIRM Load Pull'!E134</f>
        <v>33.369014701499999</v>
      </c>
      <c r="K123" s="127">
        <f>IF(ISERROR(I123/'FIRM Load Pull'!Q134-1),"-",IF(ABS(I123/'FIRM Load Pull'!Q134-1)&gt;1000%," - ",(I123/'FIRM Load Pull'!Q134-1)))</f>
        <v>1.4799749871820294</v>
      </c>
      <c r="L123" s="48">
        <f>'FIRM Load Pull'!E134-'FIRM Load Pull'!F134</f>
        <v>0.32008561109999789</v>
      </c>
      <c r="M123" s="48">
        <f>'FIRM Load Pull'!E134-'FIRM Load Pull'!G134</f>
        <v>9.8022351336</v>
      </c>
      <c r="N123" s="216">
        <f>'Consol Pull'!G131</f>
        <v>91.983836387655401</v>
      </c>
      <c r="O123" s="48">
        <f>I123-N123</f>
        <v>-58.614821686155402</v>
      </c>
      <c r="P123" s="48">
        <f>I123-'Tracks Pull'!E124</f>
        <v>13.314892314120762</v>
      </c>
      <c r="Q123" s="126">
        <f>M123-'Tracks Pull'!G124</f>
        <v>5.0751300663349319</v>
      </c>
      <c r="R123" s="127" t="str">
        <f>IF(ISERROR(#REF!/'RETAIL Load Pull'!N162-1),"-",IF(ABS(#REF!/'RETAIL Load Pull'!N162-1)&gt;1000%," - ",(#REF!/'RETAIL Load Pull'!N162-1)))</f>
        <v>-</v>
      </c>
      <c r="S123" s="127"/>
      <c r="T123" s="127"/>
      <c r="U123" s="258">
        <f>'RETAIL Load Pull'!E162-'RETAIL Load Pull'!F162</f>
        <v>1.8013682122000318</v>
      </c>
      <c r="V123" s="48">
        <f>'RETAIL Load Pull'!E162-'RETAIL Load Pull'!G162</f>
        <v>50.87414811560005</v>
      </c>
      <c r="W123" s="48" t="e">
        <f>#REF!-N123</f>
        <v>#REF!</v>
      </c>
      <c r="X123" s="48"/>
      <c r="Y123" s="48" t="e">
        <f>#REF!-'Tracks Pull'!M124</f>
        <v>#REF!</v>
      </c>
      <c r="Z123" s="48"/>
      <c r="AA123" s="126">
        <f>V123-'Tracks Pull'!O124</f>
        <v>46.147043048334979</v>
      </c>
      <c r="AB123" s="146"/>
      <c r="AC123" s="48">
        <f t="shared" ref="AC123:AG123" si="20">AC30+AC61+AC92</f>
        <v>1.3048205214965942</v>
      </c>
      <c r="AD123" s="48">
        <f t="shared" si="20"/>
        <v>0.32343773658631902</v>
      </c>
      <c r="AE123" s="48">
        <f t="shared" si="20"/>
        <v>0.98138278491027497</v>
      </c>
      <c r="AF123" s="48">
        <f t="shared" si="20"/>
        <v>12.449669340907089</v>
      </c>
      <c r="AG123" s="48">
        <f t="shared" si="3"/>
        <v>13.754489862403684</v>
      </c>
      <c r="AH123" s="216">
        <f>'Consol Pull'!F131-'Consol Pull'!G131</f>
        <v>12.451712730109875</v>
      </c>
      <c r="AI123" s="48">
        <f t="shared" si="5"/>
        <v>1.3027771322938086</v>
      </c>
      <c r="AJ123" s="146"/>
      <c r="AK123" s="224">
        <f>I123+AG123</f>
        <v>47.12350456390368</v>
      </c>
      <c r="AL123" s="224"/>
      <c r="AM123" s="224">
        <f>AK123-E123</f>
        <v>-57.312044553861597</v>
      </c>
      <c r="AN123" s="146"/>
      <c r="AO123" s="48" t="e">
        <f>'FIRM Load Pull'!#REF!</f>
        <v>#REF!</v>
      </c>
      <c r="AP123" s="216" t="e">
        <f>I123+AG123+AO123</f>
        <v>#REF!</v>
      </c>
      <c r="AQ123" s="48" t="e">
        <f>AP123-E123</f>
        <v>#REF!</v>
      </c>
      <c r="AR123" s="2"/>
      <c r="AS123" s="2"/>
      <c r="AT123" s="2"/>
    </row>
    <row r="124" spans="1:46" ht="16.2" customHeight="1" outlineLevel="2">
      <c r="A124" s="2" t="s">
        <v>242</v>
      </c>
      <c r="B124" s="44" t="s">
        <v>236</v>
      </c>
      <c r="C124" s="236" t="s">
        <v>236</v>
      </c>
      <c r="D124" s="313" t="s">
        <v>236</v>
      </c>
      <c r="E124" s="48">
        <f>'Consol Pull'!F132</f>
        <v>70.91381496745133</v>
      </c>
      <c r="F124" s="162"/>
      <c r="G124" s="127">
        <f>IF(ISERROR(E124/'Consol Pull'!T132-1),"-",IF(ABS(E124/'Consol Pull'!T132-1)&gt;1000%," - ",(E124/'Consol Pull'!T132-1)))</f>
        <v>5.2549936780883488E-2</v>
      </c>
      <c r="H124" s="146"/>
      <c r="I124" s="48">
        <f>'FIRM Load Pull'!E135</f>
        <v>18.620437829499998</v>
      </c>
      <c r="J124" s="48">
        <f>'FIRM Load Pull'!E135</f>
        <v>18.620437829499998</v>
      </c>
      <c r="K124" s="127">
        <f>IF(ISERROR(I124/'FIRM Load Pull'!Q135-1),"-",IF(ABS(I124/'FIRM Load Pull'!Q135-1)&gt;1000%," - ",(I124/'FIRM Load Pull'!Q135-1)))</f>
        <v>1.2235408249045587</v>
      </c>
      <c r="L124" s="48">
        <f>'FIRM Load Pull'!E135-'FIRM Load Pull'!F135</f>
        <v>1.8318924555000002</v>
      </c>
      <c r="M124" s="48">
        <f>'FIRM Load Pull'!E135-'FIRM Load Pull'!G135</f>
        <v>7.6473199039999979</v>
      </c>
      <c r="N124" s="216">
        <f>'Consol Pull'!G132</f>
        <v>58.026912132216204</v>
      </c>
      <c r="O124" s="48">
        <f>I124-N124</f>
        <v>-39.406474302716205</v>
      </c>
      <c r="P124" s="48">
        <f>I124-'Tracks Pull'!E125</f>
        <v>-0.54175306594602191</v>
      </c>
      <c r="Q124" s="126">
        <f>M124-'Tracks Pull'!G125</f>
        <v>3.0990319531792068</v>
      </c>
      <c r="R124" s="127" t="str">
        <f>IF(ISERROR(#REF!/'RETAIL Load Pull'!N163-1),"-",IF(ABS(#REF!/'RETAIL Load Pull'!N163-1)&gt;1000%," - ",(#REF!/'RETAIL Load Pull'!N163-1)))</f>
        <v>-</v>
      </c>
      <c r="S124" s="127"/>
      <c r="T124" s="127"/>
      <c r="U124" s="258">
        <f>'RETAIL Load Pull'!E163-'RETAIL Load Pull'!F163</f>
        <v>2.1185212708999899</v>
      </c>
      <c r="V124" s="48">
        <f>'RETAIL Load Pull'!E163-'RETAIL Load Pull'!G163</f>
        <v>13.303485143900005</v>
      </c>
      <c r="W124" s="48" t="e">
        <f>#REF!-N124</f>
        <v>#REF!</v>
      </c>
      <c r="X124" s="48"/>
      <c r="Y124" s="48" t="e">
        <f>#REF!-'Tracks Pull'!M125</f>
        <v>#REF!</v>
      </c>
      <c r="Z124" s="48"/>
      <c r="AA124" s="126">
        <f>V124-'Tracks Pull'!O125</f>
        <v>8.7551971930792138</v>
      </c>
      <c r="AB124" s="146"/>
      <c r="AC124" s="48">
        <f t="shared" ref="AC124:AG124" si="21">AC31+AC62+AC93</f>
        <v>2.8914368651688389</v>
      </c>
      <c r="AD124" s="48">
        <f t="shared" si="21"/>
        <v>0.81112784925857795</v>
      </c>
      <c r="AE124" s="48">
        <f t="shared" si="21"/>
        <v>2.0803090159102609</v>
      </c>
      <c r="AF124" s="48">
        <f t="shared" si="21"/>
        <v>12.334752753151763</v>
      </c>
      <c r="AG124" s="48">
        <f t="shared" si="3"/>
        <v>15.226189618320602</v>
      </c>
      <c r="AH124" s="216">
        <f>'Consol Pull'!F132-'Consol Pull'!G132</f>
        <v>12.886902835235126</v>
      </c>
      <c r="AI124" s="48">
        <f t="shared" si="5"/>
        <v>2.3392867830854751</v>
      </c>
      <c r="AJ124" s="146"/>
      <c r="AK124" s="224">
        <f>I124+AG124</f>
        <v>33.846627447820602</v>
      </c>
      <c r="AL124" s="224"/>
      <c r="AM124" s="224">
        <f>AK124-E124</f>
        <v>-37.067187519630728</v>
      </c>
      <c r="AN124" s="146"/>
      <c r="AO124" s="48" t="e">
        <f>'FIRM Load Pull'!#REF!</f>
        <v>#REF!</v>
      </c>
      <c r="AP124" s="216" t="e">
        <f>I124+AG124+AO124</f>
        <v>#REF!</v>
      </c>
      <c r="AQ124" s="48" t="e">
        <f>AP124-E124</f>
        <v>#REF!</v>
      </c>
      <c r="AR124" s="2"/>
      <c r="AS124" s="2"/>
      <c r="AT124" s="2"/>
    </row>
    <row r="125" spans="1:46" ht="16.2" customHeight="1" outlineLevel="2">
      <c r="A125" s="2" t="s">
        <v>242</v>
      </c>
      <c r="B125" s="44" t="s">
        <v>237</v>
      </c>
      <c r="C125" s="236" t="s">
        <v>237</v>
      </c>
      <c r="D125" s="313" t="s">
        <v>237</v>
      </c>
      <c r="E125" s="48">
        <f>'Consol Pull'!F133</f>
        <v>185.7217110381012</v>
      </c>
      <c r="F125" s="162"/>
      <c r="G125" s="127">
        <f>IF(ISERROR(E125/'Consol Pull'!T133-1),"-",IF(ABS(E125/'Consol Pull'!T133-1)&gt;1000%," - ",(E125/'Consol Pull'!T133-1)))</f>
        <v>-6.4392221682508577E-2</v>
      </c>
      <c r="H125" s="146"/>
      <c r="I125" s="48">
        <f>'FIRM Load Pull'!E136</f>
        <v>43.221803662999989</v>
      </c>
      <c r="J125" s="48">
        <f>'FIRM Load Pull'!E136</f>
        <v>43.221803662999989</v>
      </c>
      <c r="K125" s="127">
        <f>IF(ISERROR(I125/'FIRM Load Pull'!Q136-1),"-",IF(ABS(I125/'FIRM Load Pull'!Q136-1)&gt;1000%," - ",(I125/'FIRM Load Pull'!Q136-1)))</f>
        <v>-0.14999939790236116</v>
      </c>
      <c r="L125" s="48">
        <f>'FIRM Load Pull'!E136-'FIRM Load Pull'!F136</f>
        <v>4.6996311499999948</v>
      </c>
      <c r="M125" s="48">
        <f>'FIRM Load Pull'!E136-'FIRM Load Pull'!G136</f>
        <v>8.9796928181999931</v>
      </c>
      <c r="N125" s="216">
        <f>'Consol Pull'!G133</f>
        <v>155.17252665365581</v>
      </c>
      <c r="O125" s="48">
        <f>I125-N125</f>
        <v>-111.95072299065582</v>
      </c>
      <c r="P125" s="48">
        <f>I125-'Tracks Pull'!E126</f>
        <v>-3.2498131871614646</v>
      </c>
      <c r="Q125" s="126">
        <f>M125-'Tracks Pull'!G126</f>
        <v>-2.0367768789468812</v>
      </c>
      <c r="R125" s="127" t="str">
        <f>IF(ISERROR(#REF!/'RETAIL Load Pull'!N164-1),"-",IF(ABS(#REF!/'RETAIL Load Pull'!N164-1)&gt;1000%," - ",(#REF!/'RETAIL Load Pull'!N164-1)))</f>
        <v>-</v>
      </c>
      <c r="S125" s="127"/>
      <c r="T125" s="127"/>
      <c r="U125" s="258">
        <f>'RETAIL Load Pull'!E164-'RETAIL Load Pull'!F164</f>
        <v>9.7418386859999941</v>
      </c>
      <c r="V125" s="48">
        <f>'RETAIL Load Pull'!E164-'RETAIL Load Pull'!G164</f>
        <v>20.051055604900029</v>
      </c>
      <c r="W125" s="48" t="e">
        <f>#REF!-N125</f>
        <v>#REF!</v>
      </c>
      <c r="X125" s="48"/>
      <c r="Y125" s="48" t="e">
        <f>#REF!-'Tracks Pull'!M126</f>
        <v>#REF!</v>
      </c>
      <c r="Z125" s="48"/>
      <c r="AA125" s="126">
        <f>V125-'Tracks Pull'!O126</f>
        <v>9.0345859077531543</v>
      </c>
      <c r="AB125" s="146"/>
      <c r="AC125" s="48">
        <f t="shared" ref="AC125:AG125" si="22">AC32+AC63+AC94</f>
        <v>1.7835506924811551</v>
      </c>
      <c r="AD125" s="48">
        <f t="shared" si="22"/>
        <v>-5.3140999999999996E-4</v>
      </c>
      <c r="AE125" s="48">
        <f t="shared" si="22"/>
        <v>1.7840821024811551</v>
      </c>
      <c r="AF125" s="48">
        <f t="shared" si="22"/>
        <v>18.934793373885164</v>
      </c>
      <c r="AG125" s="48">
        <f t="shared" si="3"/>
        <v>20.718344066366321</v>
      </c>
      <c r="AH125" s="216">
        <f>'Consol Pull'!F133-'Consol Pull'!G133</f>
        <v>30.549184384445397</v>
      </c>
      <c r="AI125" s="48">
        <f t="shared" si="5"/>
        <v>-9.8308403180790762</v>
      </c>
      <c r="AJ125" s="146"/>
      <c r="AK125" s="224">
        <f>I125+AG125</f>
        <v>63.940147729366309</v>
      </c>
      <c r="AL125" s="224"/>
      <c r="AM125" s="224">
        <f>AK125-E125</f>
        <v>-121.78156330873489</v>
      </c>
      <c r="AN125" s="146"/>
      <c r="AO125" s="48" t="e">
        <f>'FIRM Load Pull'!#REF!</f>
        <v>#REF!</v>
      </c>
      <c r="AP125" s="216" t="e">
        <f>I125+AG125+AO125</f>
        <v>#REF!</v>
      </c>
      <c r="AQ125" s="48" t="e">
        <f>AP125-E125</f>
        <v>#REF!</v>
      </c>
      <c r="AR125" s="2"/>
      <c r="AS125" s="2"/>
      <c r="AT125" s="2"/>
    </row>
    <row r="126" spans="1:46" ht="16.2" customHeight="1" outlineLevel="2">
      <c r="A126" s="2" t="s">
        <v>242</v>
      </c>
      <c r="B126" s="44" t="s">
        <v>163</v>
      </c>
      <c r="C126" s="236" t="s">
        <v>163</v>
      </c>
      <c r="D126" s="313" t="s">
        <v>163</v>
      </c>
      <c r="E126" s="48">
        <f>'Consol Pull'!F134</f>
        <v>152.88644529020038</v>
      </c>
      <c r="F126" s="162"/>
      <c r="G126" s="127">
        <f>IF(ISERROR(E126/'Consol Pull'!T134-1),"-",IF(ABS(E126/'Consol Pull'!T134-1)&gt;1000%," - ",(E126/'Consol Pull'!T134-1)))</f>
        <v>0.61084607636241439</v>
      </c>
      <c r="H126" s="146"/>
      <c r="I126" s="48">
        <f>'FIRM Load Pull'!E137</f>
        <v>29.0345572248</v>
      </c>
      <c r="J126" s="48">
        <f>'FIRM Load Pull'!E137</f>
        <v>29.0345572248</v>
      </c>
      <c r="K126" s="127">
        <f>IF(ISERROR(I126/'FIRM Load Pull'!Q137-1),"-",IF(ABS(I126/'FIRM Load Pull'!Q137-1)&gt;1000%," - ",(I126/'FIRM Load Pull'!Q137-1)))</f>
        <v>0.41502828896682931</v>
      </c>
      <c r="L126" s="48">
        <f>'FIRM Load Pull'!E137-'FIRM Load Pull'!F137</f>
        <v>0.34923208000000017</v>
      </c>
      <c r="M126" s="48">
        <f>'FIRM Load Pull'!E137-'FIRM Load Pull'!G137</f>
        <v>7.5100361282000065</v>
      </c>
      <c r="N126" s="216">
        <f>'Consol Pull'!G134</f>
        <v>137.03606464439048</v>
      </c>
      <c r="O126" s="48">
        <f>I126-N126</f>
        <v>-108.00150741959048</v>
      </c>
      <c r="P126" s="48">
        <f>I126-'Tracks Pull'!E127</f>
        <v>-9.9774721308477972</v>
      </c>
      <c r="Q126" s="126">
        <f>M126-'Tracks Pull'!G127</f>
        <v>-1.7523083728848405</v>
      </c>
      <c r="R126" s="127" t="str">
        <f>IF(ISERROR(#REF!/'RETAIL Load Pull'!N165-1),"-",IF(ABS(#REF!/'RETAIL Load Pull'!N165-1)&gt;1000%," - ",(#REF!/'RETAIL Load Pull'!N165-1)))</f>
        <v>-</v>
      </c>
      <c r="S126" s="127"/>
      <c r="T126" s="127"/>
      <c r="U126" s="258">
        <f>'RETAIL Load Pull'!E165-'RETAIL Load Pull'!F165</f>
        <v>-0.22916881180000814</v>
      </c>
      <c r="V126" s="48">
        <f>'RETAIL Load Pull'!E165-'RETAIL Load Pull'!G165</f>
        <v>0.64606231819998072</v>
      </c>
      <c r="W126" s="48" t="e">
        <f>#REF!-N126</f>
        <v>#REF!</v>
      </c>
      <c r="X126" s="48"/>
      <c r="Y126" s="48" t="e">
        <f>#REF!-'Tracks Pull'!M127</f>
        <v>#REF!</v>
      </c>
      <c r="Z126" s="48"/>
      <c r="AA126" s="126">
        <f>V126-'Tracks Pull'!O127</f>
        <v>-8.6162821828848664</v>
      </c>
      <c r="AB126" s="146"/>
      <c r="AC126" s="48">
        <f t="shared" ref="AC126:AG126" si="23">AC33+AC64+AC95</f>
        <v>0.92507586216005588</v>
      </c>
      <c r="AD126" s="48">
        <f t="shared" si="23"/>
        <v>-5.7003440000000002E-2</v>
      </c>
      <c r="AE126" s="48">
        <f t="shared" si="23"/>
        <v>0.98207930216005601</v>
      </c>
      <c r="AF126" s="48">
        <f t="shared" si="23"/>
        <v>8.5348138708862109</v>
      </c>
      <c r="AG126" s="48">
        <f t="shared" si="3"/>
        <v>9.4598897330462677</v>
      </c>
      <c r="AH126" s="216">
        <f>'Consol Pull'!F134-'Consol Pull'!G134</f>
        <v>15.850380645809906</v>
      </c>
      <c r="AI126" s="48">
        <f t="shared" si="5"/>
        <v>-6.3904909127636387</v>
      </c>
      <c r="AJ126" s="146"/>
      <c r="AK126" s="224">
        <f>I126+AG126</f>
        <v>38.494446957846264</v>
      </c>
      <c r="AL126" s="224"/>
      <c r="AM126" s="224">
        <f>AK126-E126</f>
        <v>-114.39199833235412</v>
      </c>
      <c r="AN126" s="146"/>
      <c r="AO126" s="48" t="e">
        <f>'FIRM Load Pull'!#REF!</f>
        <v>#REF!</v>
      </c>
      <c r="AP126" s="216" t="e">
        <f>I126+AG126+AO126</f>
        <v>#REF!</v>
      </c>
      <c r="AQ126" s="48" t="e">
        <f>AP126-E126</f>
        <v>#REF!</v>
      </c>
      <c r="AR126" s="2"/>
      <c r="AS126" s="2"/>
      <c r="AT126" s="2"/>
    </row>
    <row r="127" spans="1:46" ht="16.2" customHeight="1" outlineLevel="2">
      <c r="A127" s="2" t="s">
        <v>242</v>
      </c>
      <c r="B127" s="44" t="s">
        <v>404</v>
      </c>
      <c r="C127" s="236" t="s">
        <v>404</v>
      </c>
      <c r="D127" s="313" t="s">
        <v>404</v>
      </c>
      <c r="E127" s="48"/>
      <c r="F127" s="162"/>
      <c r="G127" s="127"/>
      <c r="H127" s="146"/>
      <c r="I127" s="48"/>
      <c r="J127" s="48"/>
      <c r="K127" s="127"/>
      <c r="L127" s="48"/>
      <c r="M127" s="48"/>
      <c r="N127" s="216"/>
      <c r="O127" s="48"/>
      <c r="P127" s="48"/>
      <c r="Q127" s="126"/>
      <c r="R127" s="127"/>
      <c r="S127" s="127"/>
      <c r="T127" s="127"/>
      <c r="U127" s="258"/>
      <c r="V127" s="48"/>
      <c r="W127" s="48"/>
      <c r="X127" s="48"/>
      <c r="Y127" s="48"/>
      <c r="Z127" s="48"/>
      <c r="AA127" s="126"/>
      <c r="AB127" s="146"/>
      <c r="AC127" s="48">
        <f t="shared" ref="AC127:AG127" si="24">AC34+AC65+AC96</f>
        <v>0</v>
      </c>
      <c r="AD127" s="48">
        <f t="shared" si="24"/>
        <v>0</v>
      </c>
      <c r="AE127" s="48">
        <f t="shared" si="24"/>
        <v>0</v>
      </c>
      <c r="AF127" s="48">
        <f t="shared" si="24"/>
        <v>0.78678218181818205</v>
      </c>
      <c r="AG127" s="48">
        <f t="shared" si="3"/>
        <v>0.78678218181818205</v>
      </c>
      <c r="AH127" s="216"/>
      <c r="AI127" s="48"/>
      <c r="AJ127" s="146"/>
      <c r="AK127" s="224"/>
      <c r="AL127" s="224"/>
      <c r="AM127" s="224"/>
      <c r="AN127" s="146"/>
      <c r="AO127" s="48"/>
      <c r="AP127" s="216"/>
      <c r="AQ127" s="48"/>
      <c r="AR127" s="2"/>
      <c r="AS127" s="2"/>
      <c r="AT127" s="2"/>
    </row>
    <row r="128" spans="1:46" s="140" customFormat="1" ht="16.2" customHeight="1" outlineLevel="1">
      <c r="A128" s="141" t="s">
        <v>242</v>
      </c>
      <c r="B128" s="46" t="s">
        <v>59</v>
      </c>
      <c r="C128" s="236" t="s">
        <v>59</v>
      </c>
      <c r="D128" s="311" t="s">
        <v>59</v>
      </c>
      <c r="E128" s="248">
        <f>'Consol Pull'!F136</f>
        <v>220.92310767274253</v>
      </c>
      <c r="F128" s="246"/>
      <c r="G128" s="127">
        <f>IF(ISERROR(E128/'Consol Pull'!T136-1),"-",IF(ABS(E128/'Consol Pull'!T136-1)&gt;1000%," - ",(E128/'Consol Pull'!T136-1)))</f>
        <v>-2.7590228330345079E-2</v>
      </c>
      <c r="H128" s="247"/>
      <c r="I128" s="248">
        <f>'FIRM Load Pull'!E139</f>
        <v>60.706007734500005</v>
      </c>
      <c r="J128" s="248">
        <f>'FIRM Load Pull'!E139</f>
        <v>60.706007734500005</v>
      </c>
      <c r="K128" s="127">
        <f>IF(ISERROR(I128/'FIRM Load Pull'!Q139-1),"-",IF(ABS(I128/'FIRM Load Pull'!Q139-1)&gt;1000%," - ",(I128/'FIRM Load Pull'!Q139-1)))</f>
        <v>-9.7414387149757697E-2</v>
      </c>
      <c r="L128" s="248">
        <f>'FIRM Load Pull'!E139-'FIRM Load Pull'!F139</f>
        <v>0.28880971849999071</v>
      </c>
      <c r="M128" s="248">
        <f>'FIRM Load Pull'!E139-'FIRM Load Pull'!G139</f>
        <v>11.944444304899996</v>
      </c>
      <c r="N128" s="223">
        <f>'Consol Pull'!G136</f>
        <v>161.68844496686697</v>
      </c>
      <c r="O128" s="248">
        <f>I128-N128</f>
        <v>-100.98243723236696</v>
      </c>
      <c r="P128" s="248">
        <f>I128-'Tracks Pull'!E129</f>
        <v>0.43028583550363209</v>
      </c>
      <c r="Q128" s="250">
        <f>M128-'Tracks Pull'!G129</f>
        <v>3.9387339438747304</v>
      </c>
      <c r="R128" s="127" t="str">
        <f>IF(ISERROR(#REF!/'RETAIL Load Pull'!N167-1),"-",IF(ABS(#REF!/'RETAIL Load Pull'!N167-1)&gt;1000%," - ",(#REF!/'RETAIL Load Pull'!N167-1)))</f>
        <v>-</v>
      </c>
      <c r="S128" s="249"/>
      <c r="T128" s="249"/>
      <c r="U128" s="262">
        <f>'RETAIL Load Pull'!E167-'RETAIL Load Pull'!F167</f>
        <v>10.916358737799968</v>
      </c>
      <c r="V128" s="248">
        <f>'RETAIL Load Pull'!E167-'RETAIL Load Pull'!G167</f>
        <v>12.364108063199922</v>
      </c>
      <c r="W128" s="248" t="e">
        <f>#REF!-N128</f>
        <v>#REF!</v>
      </c>
      <c r="X128" s="248"/>
      <c r="Y128" s="248" t="e">
        <f>#REF!-'Tracks Pull'!M129</f>
        <v>#REF!</v>
      </c>
      <c r="Z128" s="248"/>
      <c r="AA128" s="250">
        <f>V128-'Tracks Pull'!O129</f>
        <v>4.3583977021746563</v>
      </c>
      <c r="AB128" s="247"/>
      <c r="AC128" s="48">
        <f t="shared" ref="AC128:AG128" si="25">AC35+AC66+AC97</f>
        <v>9.5128586836891902</v>
      </c>
      <c r="AD128" s="48">
        <f t="shared" si="25"/>
        <v>3.439291254973925</v>
      </c>
      <c r="AE128" s="48">
        <f t="shared" si="25"/>
        <v>6.073567428715263</v>
      </c>
      <c r="AF128" s="48">
        <f t="shared" si="25"/>
        <v>46.623966851934291</v>
      </c>
      <c r="AG128" s="48">
        <f t="shared" si="3"/>
        <v>56.13682553562348</v>
      </c>
      <c r="AH128" s="223">
        <f>'Consol Pull'!F136-'Consol Pull'!G136</f>
        <v>59.234662705875564</v>
      </c>
      <c r="AI128" s="248">
        <f t="shared" si="5"/>
        <v>-3.0978371702520846</v>
      </c>
      <c r="AJ128" s="247"/>
      <c r="AK128" s="251">
        <f>I128+AG128</f>
        <v>116.84283327012349</v>
      </c>
      <c r="AL128" s="251"/>
      <c r="AM128" s="251">
        <f>AK128-E128</f>
        <v>-104.08027440261904</v>
      </c>
      <c r="AN128" s="247"/>
      <c r="AO128" s="248" t="e">
        <f>'FIRM Load Pull'!#REF!</f>
        <v>#REF!</v>
      </c>
      <c r="AP128" s="223" t="e">
        <f>I128+AG128+AO128</f>
        <v>#REF!</v>
      </c>
      <c r="AQ128" s="248" t="e">
        <f>AP128-E128</f>
        <v>#REF!</v>
      </c>
      <c r="AR128" s="141"/>
      <c r="AS128" s="141"/>
      <c r="AT128" s="141"/>
    </row>
    <row r="129" spans="1:46" s="140" customFormat="1" ht="16.2" customHeight="1" outlineLevel="1">
      <c r="A129" s="141" t="s">
        <v>242</v>
      </c>
      <c r="B129" s="46" t="s">
        <v>34</v>
      </c>
      <c r="C129" s="236" t="s">
        <v>34</v>
      </c>
      <c r="D129" s="311" t="s">
        <v>34</v>
      </c>
      <c r="E129" s="248">
        <f>'Consol Pull'!F137</f>
        <v>312.16019498853939</v>
      </c>
      <c r="F129" s="246"/>
      <c r="G129" s="127">
        <f>IF(ISERROR(E129/'Consol Pull'!T137-1),"-",IF(ABS(E129/'Consol Pull'!T137-1)&gt;1000%," - ",(E129/'Consol Pull'!T137-1)))</f>
        <v>5.5939369514919068E-2</v>
      </c>
      <c r="H129" s="247"/>
      <c r="I129" s="248">
        <f>'FIRM Load Pull'!E140</f>
        <v>44.520158450000054</v>
      </c>
      <c r="J129" s="248">
        <f>'FIRM Load Pull'!E140</f>
        <v>44.520158450000054</v>
      </c>
      <c r="K129" s="127">
        <f>IF(ISERROR(I129/'FIRM Load Pull'!Q140-1),"-",IF(ABS(I129/'FIRM Load Pull'!Q140-1)&gt;1000%," - ",(I129/'FIRM Load Pull'!Q140-1)))</f>
        <v>-0.11942622360768684</v>
      </c>
      <c r="L129" s="248">
        <f>'FIRM Load Pull'!E140-'FIRM Load Pull'!F140</f>
        <v>0.72769288750001238</v>
      </c>
      <c r="M129" s="248">
        <f>'FIRM Load Pull'!E140-'FIRM Load Pull'!G140</f>
        <v>-0.9850915004999905</v>
      </c>
      <c r="N129" s="223">
        <f>'Consol Pull'!G137</f>
        <v>267.85503890211896</v>
      </c>
      <c r="O129" s="248">
        <f>I129-N129</f>
        <v>-223.33488045211891</v>
      </c>
      <c r="P129" s="248">
        <f>I129-'Tracks Pull'!E130</f>
        <v>-50.849791080654938</v>
      </c>
      <c r="Q129" s="250">
        <f>M129-'Tracks Pull'!G130</f>
        <v>-15.427484184344024</v>
      </c>
      <c r="R129" s="127" t="str">
        <f>IF(ISERROR(#REF!/'RETAIL Load Pull'!N168-1),"-",IF(ABS(#REF!/'RETAIL Load Pull'!N168-1)&gt;1000%," - ",(#REF!/'RETAIL Load Pull'!N168-1)))</f>
        <v>-</v>
      </c>
      <c r="S129" s="249"/>
      <c r="T129" s="249"/>
      <c r="U129" s="262">
        <f>'RETAIL Load Pull'!E168-'RETAIL Load Pull'!F168</f>
        <v>-2.2150379864000342</v>
      </c>
      <c r="V129" s="248">
        <f>'RETAIL Load Pull'!E168-'RETAIL Load Pull'!G168</f>
        <v>161.94312643059988</v>
      </c>
      <c r="W129" s="248" t="e">
        <f>#REF!-N129</f>
        <v>#REF!</v>
      </c>
      <c r="X129" s="248"/>
      <c r="Y129" s="248" t="e">
        <f>#REF!-'Tracks Pull'!M130</f>
        <v>#REF!</v>
      </c>
      <c r="Z129" s="248"/>
      <c r="AA129" s="250">
        <f>V129-'Tracks Pull'!O130</f>
        <v>147.50073374675583</v>
      </c>
      <c r="AB129" s="247"/>
      <c r="AC129" s="48">
        <f t="shared" ref="AC129:AG129" si="26">AC36+AC67+AC98</f>
        <v>19.22845165483502</v>
      </c>
      <c r="AD129" s="48">
        <f t="shared" si="26"/>
        <v>2.6655652382013049</v>
      </c>
      <c r="AE129" s="48">
        <f t="shared" si="26"/>
        <v>16.562886416633717</v>
      </c>
      <c r="AF129" s="48">
        <f t="shared" si="26"/>
        <v>31.502349650031999</v>
      </c>
      <c r="AG129" s="48">
        <f t="shared" si="3"/>
        <v>50.730801304867015</v>
      </c>
      <c r="AH129" s="223">
        <f>'Consol Pull'!F137-'Consol Pull'!G137</f>
        <v>44.305156086420425</v>
      </c>
      <c r="AI129" s="248">
        <f t="shared" si="5"/>
        <v>6.42564521844659</v>
      </c>
      <c r="AJ129" s="247"/>
      <c r="AK129" s="251">
        <f>I129+AG129</f>
        <v>95.250959754867068</v>
      </c>
      <c r="AL129" s="251"/>
      <c r="AM129" s="251">
        <f>AK129-E129</f>
        <v>-216.90923523367232</v>
      </c>
      <c r="AN129" s="247"/>
      <c r="AO129" s="248" t="e">
        <f>'FIRM Load Pull'!#REF!</f>
        <v>#REF!</v>
      </c>
      <c r="AP129" s="223" t="e">
        <f>I129+AG129+AO129</f>
        <v>#REF!</v>
      </c>
      <c r="AQ129" s="248" t="e">
        <f>AP129-E129</f>
        <v>#REF!</v>
      </c>
      <c r="AR129" s="141"/>
      <c r="AS129" s="141"/>
      <c r="AT129" s="141"/>
    </row>
    <row r="130" spans="1:46" s="140" customFormat="1" ht="16.2" customHeight="1" outlineLevel="1">
      <c r="A130" s="604" t="s">
        <v>242</v>
      </c>
      <c r="B130" s="46" t="s">
        <v>399</v>
      </c>
      <c r="C130" s="236" t="s">
        <v>399</v>
      </c>
      <c r="D130" s="313" t="s">
        <v>399</v>
      </c>
      <c r="E130" s="48">
        <f>'Consol Pull'!F138</f>
        <v>94.863174443268235</v>
      </c>
      <c r="F130" s="246"/>
      <c r="G130" s="127"/>
      <c r="H130" s="247"/>
      <c r="I130" s="248"/>
      <c r="J130" s="248"/>
      <c r="K130" s="127"/>
      <c r="L130" s="248"/>
      <c r="M130" s="248"/>
      <c r="N130" s="223"/>
      <c r="O130" s="248"/>
      <c r="P130" s="248"/>
      <c r="Q130" s="250"/>
      <c r="R130" s="127"/>
      <c r="S130" s="249"/>
      <c r="T130" s="249"/>
      <c r="U130" s="262"/>
      <c r="V130" s="248"/>
      <c r="W130" s="248"/>
      <c r="X130" s="248"/>
      <c r="Y130" s="248"/>
      <c r="Z130" s="248"/>
      <c r="AA130" s="250"/>
      <c r="AB130" s="247"/>
      <c r="AC130" s="48">
        <f t="shared" ref="AC130:AG130" si="27">AC37+AC68+AC99</f>
        <v>4.5629418109245155</v>
      </c>
      <c r="AD130" s="48">
        <f t="shared" si="27"/>
        <v>1.2618116928984211</v>
      </c>
      <c r="AE130" s="48">
        <f t="shared" si="27"/>
        <v>3.3011301180260952</v>
      </c>
      <c r="AF130" s="48">
        <f t="shared" si="27"/>
        <v>9.3516722950000073</v>
      </c>
      <c r="AG130" s="48">
        <f t="shared" si="3"/>
        <v>13.914614105924523</v>
      </c>
      <c r="AH130" s="223"/>
      <c r="AI130" s="248"/>
      <c r="AJ130" s="247"/>
      <c r="AK130" s="251"/>
      <c r="AL130" s="251"/>
      <c r="AM130" s="251"/>
      <c r="AN130" s="247"/>
      <c r="AO130" s="248"/>
      <c r="AP130" s="223"/>
      <c r="AQ130" s="248"/>
      <c r="AR130" s="141"/>
      <c r="AS130" s="141"/>
      <c r="AT130" s="141"/>
    </row>
    <row r="131" spans="1:46" ht="16.2" customHeight="1" outlineLevel="2">
      <c r="A131" s="2" t="s">
        <v>242</v>
      </c>
      <c r="B131" s="44" t="s">
        <v>92</v>
      </c>
      <c r="C131" s="236" t="s">
        <v>400</v>
      </c>
      <c r="D131" s="313" t="s">
        <v>92</v>
      </c>
      <c r="E131" s="48">
        <f>'Consol Pull'!F139</f>
        <v>58.569468505451198</v>
      </c>
      <c r="F131" s="162"/>
      <c r="G131" s="127">
        <f>IF(ISERROR(E131/'Consol Pull'!T138-1),"-",IF(ABS(E131/'Consol Pull'!T138-1)&gt;1000%," - ",(E131/'Consol Pull'!T138-1)))</f>
        <v>-0.14343928610089363</v>
      </c>
      <c r="H131" s="146"/>
      <c r="I131" s="48">
        <f>'FIRM Load Pull'!E141</f>
        <v>11.595991683599996</v>
      </c>
      <c r="J131" s="48">
        <f>'FIRM Load Pull'!E141</f>
        <v>11.595991683599996</v>
      </c>
      <c r="K131" s="127">
        <f>IF(ISERROR(I131/'FIRM Load Pull'!Q141-1),"-",IF(ABS(I131/'FIRM Load Pull'!Q141-1)&gt;1000%," - ",(I131/'FIRM Load Pull'!Q141-1)))</f>
        <v>-0.3645463475299946</v>
      </c>
      <c r="L131" s="48">
        <f>'FIRM Load Pull'!E141-'FIRM Load Pull'!F141</f>
        <v>0.49279555999999758</v>
      </c>
      <c r="M131" s="48">
        <f>'FIRM Load Pull'!E141-'FIRM Load Pull'!G141</f>
        <v>2.0398737326999967</v>
      </c>
      <c r="N131" s="216">
        <f>'Consol Pull'!G138</f>
        <v>81.775342632764705</v>
      </c>
      <c r="O131" s="48">
        <f>I131-N131</f>
        <v>-70.179350949164714</v>
      </c>
      <c r="P131" s="48">
        <f>I131-'Tracks Pull'!E131</f>
        <v>-13.893145516261734</v>
      </c>
      <c r="Q131" s="126">
        <f>M131-'Tracks Pull'!G131</f>
        <v>-1.6003435002356401</v>
      </c>
      <c r="R131" s="127" t="str">
        <f>IF(ISERROR(#REF!/'RETAIL Load Pull'!N169-1),"-",IF(ABS(#REF!/'RETAIL Load Pull'!N169-1)&gt;1000%," - ",(#REF!/'RETAIL Load Pull'!N169-1)))</f>
        <v>-</v>
      </c>
      <c r="S131" s="127"/>
      <c r="T131" s="127"/>
      <c r="U131" s="258">
        <f>'RETAIL Load Pull'!E169-'RETAIL Load Pull'!F169</f>
        <v>1.6145156850000006</v>
      </c>
      <c r="V131" s="48">
        <f>'RETAIL Load Pull'!E169-'RETAIL Load Pull'!G169</f>
        <v>6.8001338582000024</v>
      </c>
      <c r="W131" s="48" t="e">
        <f>#REF!-N131</f>
        <v>#REF!</v>
      </c>
      <c r="X131" s="48"/>
      <c r="Y131" s="48" t="e">
        <f>#REF!-'Tracks Pull'!M131</f>
        <v>#REF!</v>
      </c>
      <c r="Z131" s="48"/>
      <c r="AA131" s="126">
        <f>V131-'Tracks Pull'!O131</f>
        <v>3.1599166252643656</v>
      </c>
      <c r="AB131" s="146"/>
      <c r="AC131" s="48">
        <f t="shared" ref="AC131:AG131" si="28">AC38+AC69+AC100</f>
        <v>4.9716145112747325</v>
      </c>
      <c r="AD131" s="48">
        <f t="shared" si="28"/>
        <v>0.14138808999999999</v>
      </c>
      <c r="AE131" s="48">
        <f t="shared" si="28"/>
        <v>4.8302264212747321</v>
      </c>
      <c r="AF131" s="48">
        <f t="shared" si="28"/>
        <v>6.926995754999993</v>
      </c>
      <c r="AG131" s="48">
        <f t="shared" si="3"/>
        <v>11.898610266274726</v>
      </c>
      <c r="AH131" s="216">
        <f>'Consol Pull'!F138-'Consol Pull'!G138</f>
        <v>13.087831810503531</v>
      </c>
      <c r="AI131" s="48">
        <f t="shared" si="5"/>
        <v>-1.1892215442288041</v>
      </c>
      <c r="AJ131" s="146"/>
      <c r="AK131" s="224">
        <f>I131+AG131</f>
        <v>23.494601949874721</v>
      </c>
      <c r="AL131" s="224"/>
      <c r="AM131" s="224">
        <f>AK131-E131</f>
        <v>-35.074866555576477</v>
      </c>
      <c r="AN131" s="146"/>
      <c r="AO131" s="48" t="e">
        <f>'FIRM Load Pull'!#REF!</f>
        <v>#REF!</v>
      </c>
      <c r="AP131" s="216" t="e">
        <f>I131+AG131+AO131</f>
        <v>#REF!</v>
      </c>
      <c r="AQ131" s="48" t="e">
        <f>AP131-E131</f>
        <v>#REF!</v>
      </c>
      <c r="AR131" s="2"/>
      <c r="AS131" s="2"/>
      <c r="AT131" s="2"/>
    </row>
    <row r="132" spans="1:46" ht="16.2" customHeight="1" outlineLevel="2">
      <c r="A132" s="2" t="s">
        <v>242</v>
      </c>
      <c r="B132" s="44" t="s">
        <v>408</v>
      </c>
      <c r="C132" s="236" t="s">
        <v>401</v>
      </c>
      <c r="D132" s="313" t="s">
        <v>401</v>
      </c>
      <c r="E132" s="48">
        <f>'Consol Pull'!F140</f>
        <v>43.800578240076035</v>
      </c>
      <c r="F132" s="162"/>
      <c r="G132" s="127"/>
      <c r="H132" s="146"/>
      <c r="I132" s="48"/>
      <c r="J132" s="48"/>
      <c r="K132" s="127"/>
      <c r="L132" s="48"/>
      <c r="M132" s="48"/>
      <c r="N132" s="216"/>
      <c r="O132" s="48"/>
      <c r="P132" s="48"/>
      <c r="Q132" s="126"/>
      <c r="R132" s="127"/>
      <c r="S132" s="127"/>
      <c r="T132" s="127"/>
      <c r="U132" s="258"/>
      <c r="V132" s="48"/>
      <c r="W132" s="48"/>
      <c r="X132" s="48"/>
      <c r="Y132" s="48"/>
      <c r="Z132" s="48"/>
      <c r="AA132" s="126"/>
      <c r="AB132" s="146"/>
      <c r="AC132" s="48">
        <f t="shared" ref="AC132:AG132" si="29">AC39+AC70+AC101</f>
        <v>1.9348938691904969</v>
      </c>
      <c r="AD132" s="48">
        <f t="shared" si="29"/>
        <v>0.34508999917778105</v>
      </c>
      <c r="AE132" s="48">
        <f t="shared" si="29"/>
        <v>1.5898038700127159</v>
      </c>
      <c r="AF132" s="48">
        <f t="shared" si="29"/>
        <v>2.3855098999999997</v>
      </c>
      <c r="AG132" s="48">
        <f t="shared" si="3"/>
        <v>4.3204037691904968</v>
      </c>
      <c r="AH132" s="216"/>
      <c r="AI132" s="48"/>
      <c r="AJ132" s="146"/>
      <c r="AK132" s="224"/>
      <c r="AL132" s="224"/>
      <c r="AM132" s="224"/>
      <c r="AN132" s="146"/>
      <c r="AO132" s="48"/>
      <c r="AP132" s="216"/>
      <c r="AQ132" s="48"/>
      <c r="AR132" s="2"/>
      <c r="AS132" s="2"/>
      <c r="AT132" s="2"/>
    </row>
    <row r="133" spans="1:46" ht="16.2" customHeight="1" outlineLevel="2">
      <c r="A133" s="2" t="s">
        <v>242</v>
      </c>
      <c r="B133" s="44" t="s">
        <v>93</v>
      </c>
      <c r="C133" s="236" t="s">
        <v>93</v>
      </c>
      <c r="D133" s="313" t="s">
        <v>93</v>
      </c>
      <c r="E133" s="48">
        <f>'Consol Pull'!F141</f>
        <v>48.518824967639567</v>
      </c>
      <c r="F133" s="162"/>
      <c r="G133" s="127">
        <f>IF(ISERROR(E133/'Consol Pull'!T141-1),"-",IF(ABS(E133/'Consol Pull'!T141-1)&gt;1000%," - ",(E133/'Consol Pull'!T141-1)))</f>
        <v>0.84816948013191662</v>
      </c>
      <c r="H133" s="146"/>
      <c r="I133" s="48">
        <f>'FIRM Load Pull'!E144</f>
        <v>5.5696155126999987</v>
      </c>
      <c r="J133" s="48">
        <f>'FIRM Load Pull'!E144</f>
        <v>5.5696155126999987</v>
      </c>
      <c r="K133" s="127">
        <f>IF(ISERROR(I133/'FIRM Load Pull'!Q144-1),"-",IF(ABS(I133/'FIRM Load Pull'!Q144-1)&gt;1000%," - ",(I133/'FIRM Load Pull'!Q144-1)))</f>
        <v>1.2786229931941362</v>
      </c>
      <c r="L133" s="48">
        <f>'FIRM Load Pull'!E144-'FIRM Load Pull'!F144</f>
        <v>0</v>
      </c>
      <c r="M133" s="48">
        <f>'FIRM Load Pull'!E144-'FIRM Load Pull'!G144</f>
        <v>-4.6632236106000029</v>
      </c>
      <c r="N133" s="216">
        <f>'Consol Pull'!G141</f>
        <v>41.554028322679443</v>
      </c>
      <c r="O133" s="48">
        <f>I133-N133</f>
        <v>-35.984412809979446</v>
      </c>
      <c r="P133" s="48">
        <f>I133-'Tracks Pull'!E134</f>
        <v>-12.30168478115265</v>
      </c>
      <c r="Q133" s="126">
        <f>M133-'Tracks Pull'!G134</f>
        <v>-7.3173253008736694</v>
      </c>
      <c r="R133" s="127" t="str">
        <f>IF(ISERROR(#REF!/'RETAIL Load Pull'!N172-1),"-",IF(ABS(#REF!/'RETAIL Load Pull'!N172-1)&gt;1000%," - ",(#REF!/'RETAIL Load Pull'!N172-1)))</f>
        <v>-</v>
      </c>
      <c r="S133" s="127"/>
      <c r="T133" s="127"/>
      <c r="U133" s="258">
        <f>'RETAIL Load Pull'!E172-'RETAIL Load Pull'!F172</f>
        <v>0</v>
      </c>
      <c r="V133" s="48">
        <f>'RETAIL Load Pull'!E172-'RETAIL Load Pull'!G172</f>
        <v>156.29967885940002</v>
      </c>
      <c r="W133" s="48" t="e">
        <f>#REF!-N133</f>
        <v>#REF!</v>
      </c>
      <c r="X133" s="48"/>
      <c r="Y133" s="48" t="e">
        <f>#REF!-'Tracks Pull'!M134</f>
        <v>#REF!</v>
      </c>
      <c r="Z133" s="48"/>
      <c r="AA133" s="126">
        <f>V133-'Tracks Pull'!O134</f>
        <v>153.64557716912634</v>
      </c>
      <c r="AB133" s="146"/>
      <c r="AC133" s="48">
        <f t="shared" ref="AC133:AG133" si="30">AC40+AC71+AC102</f>
        <v>2.626950631137416</v>
      </c>
      <c r="AD133" s="48">
        <f t="shared" si="30"/>
        <v>0.50999994322972897</v>
      </c>
      <c r="AE133" s="48">
        <f t="shared" si="30"/>
        <v>2.1169506879076869</v>
      </c>
      <c r="AF133" s="48">
        <f t="shared" si="30"/>
        <v>4.3757959750320019</v>
      </c>
      <c r="AG133" s="48">
        <f t="shared" si="3"/>
        <v>7.0027466061694179</v>
      </c>
      <c r="AH133" s="216">
        <f>'Consol Pull'!F141-'Consol Pull'!G141</f>
        <v>6.9647966449601242</v>
      </c>
      <c r="AI133" s="48">
        <f t="shared" si="5"/>
        <v>3.7949961209293726E-2</v>
      </c>
      <c r="AJ133" s="146"/>
      <c r="AK133" s="224">
        <f>I133+AG133</f>
        <v>12.572362118869417</v>
      </c>
      <c r="AL133" s="224"/>
      <c r="AM133" s="224">
        <f>AK133-E133</f>
        <v>-35.946462848770153</v>
      </c>
      <c r="AN133" s="146"/>
      <c r="AO133" s="48" t="e">
        <f>'FIRM Load Pull'!#REF!</f>
        <v>#REF!</v>
      </c>
      <c r="AP133" s="216" t="e">
        <f>I133+AG133+AO133</f>
        <v>#REF!</v>
      </c>
      <c r="AQ133" s="48" t="e">
        <f>AP133-E133</f>
        <v>#REF!</v>
      </c>
      <c r="AR133" s="2"/>
      <c r="AS133" s="2"/>
      <c r="AT133" s="2"/>
    </row>
    <row r="134" spans="1:46" ht="16.2" customHeight="1" outlineLevel="2">
      <c r="A134" s="2" t="s">
        <v>242</v>
      </c>
      <c r="B134" s="44" t="s">
        <v>238</v>
      </c>
      <c r="C134" s="236" t="s">
        <v>238</v>
      </c>
      <c r="D134" s="313" t="s">
        <v>238</v>
      </c>
      <c r="E134" s="48">
        <f>'Consol Pull'!F142</f>
        <v>73.118467904456864</v>
      </c>
      <c r="F134" s="162"/>
      <c r="G134" s="127">
        <f>IF(ISERROR(E134/'Consol Pull'!T142-1),"-",IF(ABS(E134/'Consol Pull'!T142-1)&gt;1000%," - ",(E134/'Consol Pull'!T142-1)))</f>
        <v>-0.14588610722984807</v>
      </c>
      <c r="H134" s="146"/>
      <c r="I134" s="48">
        <f>'FIRM Load Pull'!E145</f>
        <v>14.533630810000012</v>
      </c>
      <c r="J134" s="48">
        <f>'FIRM Load Pull'!E145</f>
        <v>14.533630810000012</v>
      </c>
      <c r="K134" s="127">
        <f>IF(ISERROR(I134/'FIRM Load Pull'!Q145-1),"-",IF(ABS(I134/'FIRM Load Pull'!Q145-1)&gt;1000%," - ",(I134/'FIRM Load Pull'!Q145-1)))</f>
        <v>0.16106566115410925</v>
      </c>
      <c r="L134" s="48">
        <f>'FIRM Load Pull'!E145-'FIRM Load Pull'!F145</f>
        <v>0</v>
      </c>
      <c r="M134" s="48">
        <f>'FIRM Load Pull'!E145-'FIRM Load Pull'!G145</f>
        <v>0.80662906000000767</v>
      </c>
      <c r="N134" s="216">
        <f>'Consol Pull'!G142</f>
        <v>63.420510459188243</v>
      </c>
      <c r="O134" s="48">
        <f>I134-N134</f>
        <v>-48.886879649188231</v>
      </c>
      <c r="P134" s="48">
        <f>I134-'Tracks Pull'!E135</f>
        <v>-11.281693105828278</v>
      </c>
      <c r="Q134" s="126">
        <f>M134-'Tracks Pull'!G135</f>
        <v>-3.0842994098024921</v>
      </c>
      <c r="R134" s="127" t="str">
        <f>IF(ISERROR(#REF!/'RETAIL Load Pull'!N173-1),"-",IF(ABS(#REF!/'RETAIL Load Pull'!N173-1)&gt;1000%," - ",(#REF!/'RETAIL Load Pull'!N173-1)))</f>
        <v>-</v>
      </c>
      <c r="S134" s="127"/>
      <c r="T134" s="127"/>
      <c r="U134" s="258">
        <f>'RETAIL Load Pull'!E173-'RETAIL Load Pull'!F173</f>
        <v>-4.0897778046000326</v>
      </c>
      <c r="V134" s="48">
        <f>'RETAIL Load Pull'!E173-'RETAIL Load Pull'!G173</f>
        <v>-3.3514439046000177</v>
      </c>
      <c r="W134" s="48" t="e">
        <f>#REF!-N134</f>
        <v>#REF!</v>
      </c>
      <c r="X134" s="48"/>
      <c r="Y134" s="48" t="e">
        <f>#REF!-'Tracks Pull'!M135</f>
        <v>#REF!</v>
      </c>
      <c r="Z134" s="48"/>
      <c r="AA134" s="126">
        <f>V134-'Tracks Pull'!O135</f>
        <v>-7.2423723744025175</v>
      </c>
      <c r="AB134" s="146"/>
      <c r="AC134" s="48">
        <f>AC41+AC72+AC103</f>
        <v>5.1320508323078604</v>
      </c>
      <c r="AD134" s="48">
        <f t="shared" ref="AD134:AG134" si="31">AD41+AD72+AD103</f>
        <v>0.407275512895374</v>
      </c>
      <c r="AE134" s="48">
        <f t="shared" si="31"/>
        <v>4.724775319412486</v>
      </c>
      <c r="AF134" s="48">
        <f t="shared" si="31"/>
        <v>8.4623757250000029</v>
      </c>
      <c r="AG134" s="48">
        <f t="shared" si="3"/>
        <v>13.594426557307862</v>
      </c>
      <c r="AH134" s="216">
        <f>'Consol Pull'!F142-'Consol Pull'!G142</f>
        <v>9.6979574452686208</v>
      </c>
      <c r="AI134" s="48">
        <f t="shared" si="5"/>
        <v>3.8964691120392416</v>
      </c>
      <c r="AJ134" s="146"/>
      <c r="AK134" s="224">
        <f>I134+AG134</f>
        <v>28.128057367307875</v>
      </c>
      <c r="AL134" s="224"/>
      <c r="AM134" s="224">
        <f>AK134-E134</f>
        <v>-44.990410537148989</v>
      </c>
      <c r="AN134" s="146"/>
      <c r="AO134" s="48" t="e">
        <f>'FIRM Load Pull'!#REF!</f>
        <v>#REF!</v>
      </c>
      <c r="AP134" s="216" t="e">
        <f>I134+AG134+AO134</f>
        <v>#REF!</v>
      </c>
      <c r="AQ134" s="48" t="e">
        <f>AP134-E134</f>
        <v>#REF!</v>
      </c>
      <c r="AR134" s="2"/>
      <c r="AS134" s="2"/>
      <c r="AT134" s="2"/>
    </row>
    <row r="135" spans="1:46" ht="16.2" customHeight="1" outlineLevel="2">
      <c r="A135" s="2" t="s">
        <v>242</v>
      </c>
      <c r="B135" s="44" t="s">
        <v>419</v>
      </c>
      <c r="C135" s="236" t="s">
        <v>402</v>
      </c>
      <c r="D135" s="313" t="s">
        <v>419</v>
      </c>
      <c r="E135" s="48"/>
      <c r="F135" s="162"/>
      <c r="G135" s="127"/>
      <c r="H135" s="146"/>
      <c r="I135" s="48"/>
      <c r="J135" s="48"/>
      <c r="K135" s="127"/>
      <c r="L135" s="48"/>
      <c r="M135" s="48"/>
      <c r="N135" s="216"/>
      <c r="O135" s="48"/>
      <c r="P135" s="48"/>
      <c r="Q135" s="126"/>
      <c r="R135" s="127"/>
      <c r="S135" s="127"/>
      <c r="T135" s="127"/>
      <c r="U135" s="258"/>
      <c r="V135" s="48"/>
      <c r="W135" s="48"/>
      <c r="X135" s="48"/>
      <c r="Y135" s="48"/>
      <c r="Z135" s="48"/>
      <c r="AA135" s="126"/>
      <c r="AB135" s="146"/>
      <c r="AC135" s="48"/>
      <c r="AD135" s="48"/>
      <c r="AE135" s="48"/>
      <c r="AF135" s="48"/>
      <c r="AG135" s="48">
        <f t="shared" si="3"/>
        <v>0</v>
      </c>
      <c r="AH135" s="216"/>
      <c r="AI135" s="48"/>
      <c r="AJ135" s="146"/>
      <c r="AK135" s="224"/>
      <c r="AL135" s="224"/>
      <c r="AM135" s="224"/>
      <c r="AN135" s="146"/>
      <c r="AO135" s="48"/>
      <c r="AP135" s="216"/>
      <c r="AQ135" s="48"/>
      <c r="AR135" s="2"/>
      <c r="AS135" s="2"/>
      <c r="AT135" s="2"/>
    </row>
    <row r="136" spans="1:46" ht="16.2" customHeight="1">
      <c r="A136" s="141" t="s">
        <v>57</v>
      </c>
      <c r="B136" s="46" t="s">
        <v>13</v>
      </c>
      <c r="C136" s="236"/>
      <c r="D136" s="311" t="s">
        <v>57</v>
      </c>
      <c r="E136" s="48">
        <f>'Consol Pull'!F106</f>
        <v>18.736802856872199</v>
      </c>
      <c r="F136" s="162"/>
      <c r="G136" s="127">
        <f>IF(ISERROR(E136/'Consol Pull'!T106-1),"-",IF(ABS(E136/'Consol Pull'!T106-1)&gt;1000%," - ",(E136/'Consol Pull'!T106-1)))</f>
        <v>0.53215791390018286</v>
      </c>
      <c r="H136" s="146"/>
      <c r="I136" s="48">
        <f>'FIRM Load Pull'!E106</f>
        <v>0</v>
      </c>
      <c r="J136" s="48">
        <f>'FIRM Load Pull'!E106</f>
        <v>0</v>
      </c>
      <c r="K136" s="127" t="str">
        <f>IF(ISERROR(I136/'FIRM Load Pull'!Q106-1),"-",IF(ABS(I136/'FIRM Load Pull'!Q106-1)&gt;1000%," - ",(I136/'FIRM Load Pull'!Q106-1)))</f>
        <v>-</v>
      </c>
      <c r="L136" s="48">
        <f>'FIRM Load Pull'!E106-'FIRM Load Pull'!F106</f>
        <v>0</v>
      </c>
      <c r="M136" s="48">
        <f>'FIRM Load Pull'!E106-'FIRM Load Pull'!G106</f>
        <v>0</v>
      </c>
      <c r="N136" s="216">
        <f>'Consol Pull'!G106</f>
        <v>0</v>
      </c>
      <c r="O136" s="48">
        <f>I136-N136</f>
        <v>0</v>
      </c>
      <c r="P136" s="48">
        <f>I136-'Tracks Pull'!E103</f>
        <v>0</v>
      </c>
      <c r="Q136" s="126">
        <f>M136-'Tracks Pull'!G103</f>
        <v>0</v>
      </c>
      <c r="R136" s="127" t="str">
        <f>IF(ISERROR(#REF!/'RETAIL Load Pull'!N106-1),"-",IF(ABS(#REF!/'RETAIL Load Pull'!N106-1)&gt;1000%," - ",(#REF!/'RETAIL Load Pull'!N106-1)))</f>
        <v>-</v>
      </c>
      <c r="S136" s="127"/>
      <c r="T136" s="127"/>
      <c r="U136" s="258">
        <f>'RETAIL Load Pull'!E106-'RETAIL Load Pull'!F106</f>
        <v>0</v>
      </c>
      <c r="V136" s="48">
        <f>'RETAIL Load Pull'!E106-'RETAIL Load Pull'!G106</f>
        <v>0</v>
      </c>
      <c r="W136" s="48" t="e">
        <f>#REF!-N136</f>
        <v>#REF!</v>
      </c>
      <c r="X136" s="48"/>
      <c r="Y136" s="48" t="e">
        <f>#REF!-'Tracks Pull'!M103</f>
        <v>#REF!</v>
      </c>
      <c r="Z136" s="48"/>
      <c r="AA136" s="126">
        <f>V136-'Tracks Pull'!O103</f>
        <v>0</v>
      </c>
      <c r="AB136" s="146"/>
      <c r="AC136" s="126">
        <f>'Stream Pull'!F106</f>
        <v>0</v>
      </c>
      <c r="AD136" s="126">
        <f>'Stream Pull'!G106</f>
        <v>0</v>
      </c>
      <c r="AE136" s="126">
        <f>'Stream Pull'!H106</f>
        <v>0</v>
      </c>
      <c r="AF136" s="126">
        <f>'Stream Pull'!M106</f>
        <v>16.5</v>
      </c>
      <c r="AG136" s="126">
        <f>AC136+AF136</f>
        <v>16.5</v>
      </c>
      <c r="AH136" s="216">
        <f>'Consol Pull'!F106-'Consol Pull'!G106</f>
        <v>18.736802856872199</v>
      </c>
      <c r="AI136" s="48">
        <f>AG136-AH136</f>
        <v>-2.2368028568721989</v>
      </c>
      <c r="AJ136" s="146"/>
      <c r="AK136" s="224">
        <f>I136+AG136</f>
        <v>16.5</v>
      </c>
      <c r="AL136" s="224"/>
      <c r="AM136" s="253">
        <f>AK136-E136</f>
        <v>-2.2368028568721989</v>
      </c>
      <c r="AN136" s="146"/>
      <c r="AO136" s="48" t="e">
        <f>'FIRM Load Pull'!#REF!</f>
        <v>#REF!</v>
      </c>
      <c r="AP136" s="48" t="e">
        <f>I136+AG136+AO136</f>
        <v>#REF!</v>
      </c>
      <c r="AQ136" s="48" t="e">
        <f>AP136-E136</f>
        <v>#REF!</v>
      </c>
      <c r="AR136" s="2"/>
      <c r="AS136" s="2"/>
      <c r="AT136" s="2"/>
    </row>
    <row r="137" spans="1:46" ht="16.2" customHeight="1">
      <c r="A137" s="141" t="s">
        <v>39</v>
      </c>
      <c r="B137" s="46" t="s">
        <v>13</v>
      </c>
      <c r="C137" s="236" t="s">
        <v>13</v>
      </c>
      <c r="D137" s="311" t="s">
        <v>39</v>
      </c>
      <c r="E137" s="48">
        <f>'Consol Pull'!F107</f>
        <v>14.035644238337479</v>
      </c>
      <c r="F137" s="162"/>
      <c r="G137" s="127">
        <f>IF(ISERROR(E137/'Consol Pull'!T107-1),"-",IF(ABS(E137/'Consol Pull'!T107-1)&gt;1000%," - ",(E137/'Consol Pull'!T107-1)))</f>
        <v>-0.3227575690305311</v>
      </c>
      <c r="H137" s="146"/>
      <c r="I137" s="48">
        <f>'FIRM Load Pull'!E107</f>
        <v>5.5241985599999994</v>
      </c>
      <c r="J137" s="48">
        <f>'FIRM Load Pull'!E107</f>
        <v>5.5241985599999994</v>
      </c>
      <c r="K137" s="127">
        <f>IF(ISERROR(I137/'FIRM Load Pull'!Q107-1),"-",IF(ABS(I137/'FIRM Load Pull'!Q107-1)&gt;1000%," - ",(I137/'FIRM Load Pull'!Q107-1)))</f>
        <v>-0.66369401306315146</v>
      </c>
      <c r="L137" s="48">
        <f>'FIRM Load Pull'!E107-'FIRM Load Pull'!F107</f>
        <v>0</v>
      </c>
      <c r="M137" s="48">
        <f>'FIRM Load Pull'!E107-'FIRM Load Pull'!G107</f>
        <v>0</v>
      </c>
      <c r="N137" s="216">
        <f>'Consol Pull'!G107</f>
        <v>14.035644238337479</v>
      </c>
      <c r="O137" s="48">
        <f>I137-N137</f>
        <v>-8.5114456783374806</v>
      </c>
      <c r="P137" s="48">
        <f>I137-'Tracks Pull'!E104</f>
        <v>5.5241985599999994</v>
      </c>
      <c r="Q137" s="126">
        <f>M137-'Tracks Pull'!G104</f>
        <v>0</v>
      </c>
      <c r="R137" s="127" t="str">
        <f>IF(ISERROR(#REF!/'RETAIL Load Pull'!N107-1),"-",IF(ABS(#REF!/'RETAIL Load Pull'!N107-1)&gt;1000%," - ",(#REF!/'RETAIL Load Pull'!N107-1)))</f>
        <v>-</v>
      </c>
      <c r="S137" s="127"/>
      <c r="T137" s="127"/>
      <c r="U137" s="258">
        <f>'RETAIL Load Pull'!E107-'RETAIL Load Pull'!F107</f>
        <v>0</v>
      </c>
      <c r="V137" s="48">
        <f>'RETAIL Load Pull'!E107-'RETAIL Load Pull'!G107</f>
        <v>0</v>
      </c>
      <c r="W137" s="48" t="e">
        <f>#REF!-N137</f>
        <v>#REF!</v>
      </c>
      <c r="X137" s="48"/>
      <c r="Y137" s="48" t="e">
        <f>#REF!-'Tracks Pull'!M104</f>
        <v>#REF!</v>
      </c>
      <c r="Z137" s="48"/>
      <c r="AA137" s="126">
        <f>V137-'Tracks Pull'!O104</f>
        <v>0</v>
      </c>
      <c r="AB137" s="146"/>
      <c r="AC137" s="48"/>
      <c r="AD137" s="48"/>
      <c r="AE137" s="48"/>
      <c r="AF137" s="48"/>
      <c r="AG137" s="48">
        <f t="shared" si="3"/>
        <v>0</v>
      </c>
      <c r="AH137" s="216">
        <f>'Consol Pull'!F107-'Consol Pull'!G107</f>
        <v>0</v>
      </c>
      <c r="AI137" s="48">
        <f>AG137-AH137</f>
        <v>0</v>
      </c>
      <c r="AJ137" s="146"/>
      <c r="AK137" s="224">
        <f>I137+AG137</f>
        <v>5.5241985599999994</v>
      </c>
      <c r="AL137" s="224"/>
      <c r="AM137" s="253">
        <f>AK137-E137</f>
        <v>-8.5114456783374806</v>
      </c>
      <c r="AN137" s="146"/>
      <c r="AO137" s="48" t="e">
        <f>'FIRM Load Pull'!#REF!</f>
        <v>#REF!</v>
      </c>
      <c r="AP137" s="48" t="e">
        <f>I137+AG137+AO137</f>
        <v>#REF!</v>
      </c>
      <c r="AQ137" s="48" t="e">
        <f>AP137-E137</f>
        <v>#REF!</v>
      </c>
      <c r="AR137" s="2"/>
      <c r="AS137" s="2"/>
      <c r="AT137" s="2"/>
    </row>
    <row r="138" spans="1:46" ht="16.2" customHeight="1" outlineLevel="1">
      <c r="A138" s="141" t="s">
        <v>239</v>
      </c>
      <c r="B138" s="46" t="s">
        <v>13</v>
      </c>
      <c r="C138" s="236" t="s">
        <v>243</v>
      </c>
      <c r="D138" s="310" t="s">
        <v>239</v>
      </c>
      <c r="E138" s="48">
        <f>SUM('Consol Pull'!F108:'Consol Pull'!F111)</f>
        <v>40.4519846096509</v>
      </c>
      <c r="F138" s="162"/>
      <c r="G138" s="127" t="str">
        <f>IF(ISERROR(E138/'Consol Pull'!T108-1),"-",IF(ABS(E138/'Consol Pull'!T108-1)&gt;1000%," - ",(E138/'Consol Pull'!T108-1)))</f>
        <v xml:space="preserve"> - </v>
      </c>
      <c r="H138" s="146"/>
      <c r="I138" s="48" t="e">
        <f>'FIRM Load Pull'!#REF!</f>
        <v>#REF!</v>
      </c>
      <c r="J138" s="48" t="e">
        <f>'FIRM Load Pull'!#REF!</f>
        <v>#REF!</v>
      </c>
      <c r="K138" s="127" t="str">
        <f>IF(ISERROR(I138/'FIRM Load Pull'!#REF!-1),"-",IF(ABS(I138/'FIRM Load Pull'!#REF!-1)&gt;1000%," - ",(I138/'FIRM Load Pull'!#REF!-1)))</f>
        <v>-</v>
      </c>
      <c r="L138" s="48" t="e">
        <f>'FIRM Load Pull'!#REF!-'FIRM Load Pull'!#REF!</f>
        <v>#REF!</v>
      </c>
      <c r="M138" s="48" t="e">
        <f>'FIRM Load Pull'!#REF!-'FIRM Load Pull'!#REF!</f>
        <v>#REF!</v>
      </c>
      <c r="N138" s="216">
        <f>'Consol Pull'!G108</f>
        <v>0</v>
      </c>
      <c r="O138" s="48" t="e">
        <f>I138-N138</f>
        <v>#REF!</v>
      </c>
      <c r="P138" s="48" t="e">
        <f>I138-'Tracks Pull'!E105</f>
        <v>#REF!</v>
      </c>
      <c r="Q138" s="126" t="e">
        <f>M138-'Tracks Pull'!G105</f>
        <v>#REF!</v>
      </c>
      <c r="R138" s="127" t="str">
        <f>IF(ISERROR(#REF!/'RETAIL Load Pull'!N113-1),"-",IF(ABS(#REF!/'RETAIL Load Pull'!N113-1)&gt;1000%," - ",(#REF!/'RETAIL Load Pull'!N113-1)))</f>
        <v>-</v>
      </c>
      <c r="S138" s="127"/>
      <c r="T138" s="127"/>
      <c r="U138" s="258">
        <f>'RETAIL Load Pull'!E113-'RETAIL Load Pull'!F113</f>
        <v>0</v>
      </c>
      <c r="V138" s="48">
        <f>'RETAIL Load Pull'!E113-'RETAIL Load Pull'!G113</f>
        <v>0</v>
      </c>
      <c r="W138" s="48" t="e">
        <f>#REF!-N138</f>
        <v>#REF!</v>
      </c>
      <c r="X138" s="48"/>
      <c r="Y138" s="48" t="e">
        <f>#REF!-'Tracks Pull'!M105</f>
        <v>#REF!</v>
      </c>
      <c r="Z138" s="48"/>
      <c r="AA138" s="126">
        <f>V138-'Tracks Pull'!O105</f>
        <v>0</v>
      </c>
      <c r="AB138" s="146"/>
      <c r="AC138" s="48"/>
      <c r="AD138" s="48"/>
      <c r="AE138" s="48"/>
      <c r="AF138" s="48"/>
      <c r="AG138" s="48">
        <f t="shared" si="3"/>
        <v>0</v>
      </c>
      <c r="AH138" s="216">
        <f>'Consol Pull'!F108-'Consol Pull'!G108</f>
        <v>0</v>
      </c>
      <c r="AI138" s="48">
        <f>AG138-AH138</f>
        <v>0</v>
      </c>
      <c r="AJ138" s="146"/>
      <c r="AK138" s="224" t="e">
        <f>I138+AG138</f>
        <v>#REF!</v>
      </c>
      <c r="AL138" s="224"/>
      <c r="AM138" s="253" t="e">
        <f>AK138-E138</f>
        <v>#REF!</v>
      </c>
      <c r="AN138" s="146"/>
      <c r="AO138" s="48" t="e">
        <f>'FIRM Load Pull'!#REF!</f>
        <v>#REF!</v>
      </c>
      <c r="AP138" s="48" t="e">
        <f>I138+AG138+AO138</f>
        <v>#REF!</v>
      </c>
      <c r="AQ138" s="48" t="e">
        <f>AP138-E138</f>
        <v>#REF!</v>
      </c>
      <c r="AR138" s="2"/>
      <c r="AS138" s="2"/>
      <c r="AT138" s="2"/>
    </row>
    <row r="139" spans="1:46" outlineLevel="1">
      <c r="A139" s="263"/>
      <c r="B139" s="264"/>
      <c r="C139" s="236" t="s">
        <v>234</v>
      </c>
      <c r="D139" s="30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</row>
    <row r="140" spans="1:46" s="2" customFormat="1">
      <c r="A140" s="263"/>
      <c r="B140" s="264"/>
      <c r="C140" s="236" t="s">
        <v>58</v>
      </c>
      <c r="D140" s="307"/>
    </row>
    <row r="141" spans="1:46" s="230" customFormat="1">
      <c r="A141" s="266"/>
      <c r="B141" s="267"/>
      <c r="C141" s="236" t="s">
        <v>17</v>
      </c>
      <c r="D141" s="312" t="s">
        <v>227</v>
      </c>
      <c r="E141" s="268">
        <f>E106-E13-E44-E75-E136-E137-E138</f>
        <v>15.734950998337418</v>
      </c>
      <c r="F141" s="268"/>
      <c r="G141" s="268"/>
      <c r="H141" s="268"/>
      <c r="I141" s="268" t="e">
        <f>I106-I13-I44-I75-I136-I137-I138</f>
        <v>#REF!</v>
      </c>
      <c r="J141" s="268"/>
      <c r="K141" s="268"/>
      <c r="L141" s="268" t="e">
        <f>L106-L13-L44-L75-L136-L137-L138</f>
        <v>#REF!</v>
      </c>
      <c r="M141" s="268" t="e">
        <f>M106-M13-M44-M75-M136-M137-M138</f>
        <v>#REF!</v>
      </c>
      <c r="N141" s="268">
        <f>N106-N13-N44-N75-N136-N137-N138</f>
        <v>-27.904511347828727</v>
      </c>
      <c r="O141" s="268" t="e">
        <f>O106-O13-O44-O75-O136-O137-O138</f>
        <v>#REF!</v>
      </c>
      <c r="P141" s="268" t="e">
        <f>P106-P13-P44-P75-P136-P138</f>
        <v>#REF!</v>
      </c>
      <c r="Q141" s="268" t="e">
        <f>Q106-Q13-Q44-Q75-Q136-Q138</f>
        <v>#REF!</v>
      </c>
      <c r="R141" s="268" t="e">
        <f>R106-R13-R44-R75-R136-R137-R138</f>
        <v>#VALUE!</v>
      </c>
      <c r="S141" s="268"/>
      <c r="T141" s="268"/>
      <c r="U141" s="268">
        <f>U106-U13-U44-U75-U136-U137-U138</f>
        <v>-9.3791641120333225E-13</v>
      </c>
      <c r="V141" s="268">
        <f>V106-V13-V44-V75-V136-V137-V138</f>
        <v>6.8212102632969618E-13</v>
      </c>
      <c r="W141" s="268" t="e">
        <f>W106-W13-W44-W75-W136-W137-W138</f>
        <v>#REF!</v>
      </c>
      <c r="X141" s="268"/>
      <c r="Y141" s="268" t="e">
        <f>Y106-Y13-Y44-Y75-Y136-Y138</f>
        <v>#REF!</v>
      </c>
      <c r="Z141" s="268"/>
      <c r="AA141" s="268">
        <f>AA106-AA13-AA44-AA75-AA136-AA138</f>
        <v>6.5369931689929217E-13</v>
      </c>
      <c r="AB141" s="268">
        <f>AB106-AB13-AB44-AB75-AB136-AB137-AB138</f>
        <v>0</v>
      </c>
      <c r="AC141" s="268">
        <f>AC106-AC13-AC44-AC75-AC136-AC137-AC138</f>
        <v>-1.4210854715202004E-14</v>
      </c>
      <c r="AD141" s="268">
        <f>AD106-AD13-AD44-AD75-AD136-AD137-AD138</f>
        <v>2.7755575615628914E-17</v>
      </c>
      <c r="AE141" s="268">
        <f>AE106-AE13-AE44-AE75-AE136-AE137-AE138</f>
        <v>0</v>
      </c>
      <c r="AF141" s="268">
        <f>AF106-AF13-AF44-AF75-AF137-AF138</f>
        <v>-1.0658141036401503E-14</v>
      </c>
      <c r="AG141" s="268">
        <f>AG106-AG13-AG44-AG75-AG138</f>
        <v>-8.5265128291212022E-14</v>
      </c>
      <c r="AH141" s="268">
        <f>AH106-AH13-AH44-AH75-AH136-AH137-AH138</f>
        <v>-38.180676140000656</v>
      </c>
      <c r="AI141" s="268">
        <f>AI106-AI13-AI44-AI75-AI136-AI137-AI138</f>
        <v>21.680676140000568</v>
      </c>
      <c r="AJ141" s="268"/>
      <c r="AK141" s="268" t="e">
        <f>AK106-AK13-AK44-AK75-AK136-AK138-AK137</f>
        <v>#REF!</v>
      </c>
      <c r="AL141" s="268"/>
      <c r="AM141" s="268" t="e">
        <f>AM106-AM13-AM44-AM75-AM136-AM138</f>
        <v>#REF!</v>
      </c>
      <c r="AN141" s="268"/>
      <c r="AO141" s="268" t="e">
        <f>AO106-AO13-AO44-AO75-AO136-AO137-AO138</f>
        <v>#REF!</v>
      </c>
      <c r="AP141" s="268" t="e">
        <f>AP106-AP13-AP44-AP75-AP136-AP137-AP138</f>
        <v>#REF!</v>
      </c>
      <c r="AQ141" s="268" t="e">
        <f>AQ106-AQ13-AQ44-AQ75-AQ136-AQ137-AQ138</f>
        <v>#REF!</v>
      </c>
    </row>
    <row r="142" spans="1:46" s="2" customFormat="1">
      <c r="A142" s="263"/>
      <c r="B142" s="265"/>
      <c r="C142" s="236" t="s">
        <v>18</v>
      </c>
      <c r="D142" s="307"/>
    </row>
    <row r="143" spans="1:46">
      <c r="C143" s="236" t="s">
        <v>19</v>
      </c>
      <c r="P143" t="s">
        <v>39</v>
      </c>
      <c r="Y143" t="s">
        <v>39</v>
      </c>
    </row>
    <row r="144" spans="1:46">
      <c r="C144" s="236" t="s">
        <v>77</v>
      </c>
    </row>
    <row r="145" spans="3:3">
      <c r="C145" s="236" t="s">
        <v>78</v>
      </c>
    </row>
    <row r="146" spans="3:3">
      <c r="C146" s="236" t="s">
        <v>393</v>
      </c>
    </row>
    <row r="147" spans="3:3">
      <c r="C147" s="236" t="s">
        <v>80</v>
      </c>
    </row>
    <row r="148" spans="3:3">
      <c r="C148" s="236" t="s">
        <v>104</v>
      </c>
    </row>
    <row r="149" spans="3:3">
      <c r="C149" s="236" t="s">
        <v>105</v>
      </c>
    </row>
    <row r="150" spans="3:3">
      <c r="C150" s="236" t="s">
        <v>26</v>
      </c>
    </row>
    <row r="151" spans="3:3">
      <c r="C151" s="236" t="s">
        <v>235</v>
      </c>
    </row>
    <row r="152" spans="3:3">
      <c r="C152" s="236" t="s">
        <v>106</v>
      </c>
    </row>
    <row r="153" spans="3:3">
      <c r="C153" s="236" t="s">
        <v>87</v>
      </c>
    </row>
    <row r="154" spans="3:3">
      <c r="C154" s="236" t="s">
        <v>107</v>
      </c>
    </row>
    <row r="155" spans="3:3">
      <c r="C155" s="236" t="s">
        <v>236</v>
      </c>
    </row>
    <row r="156" spans="3:3">
      <c r="C156" s="236" t="s">
        <v>237</v>
      </c>
    </row>
    <row r="157" spans="3:3">
      <c r="C157" s="236" t="s">
        <v>163</v>
      </c>
    </row>
    <row r="158" spans="3:3">
      <c r="C158" s="236" t="s">
        <v>404</v>
      </c>
    </row>
    <row r="159" spans="3:3">
      <c r="C159" s="236" t="s">
        <v>59</v>
      </c>
    </row>
    <row r="160" spans="3:3">
      <c r="C160" s="236" t="s">
        <v>34</v>
      </c>
    </row>
    <row r="161" spans="3:3">
      <c r="C161" s="236" t="s">
        <v>399</v>
      </c>
    </row>
    <row r="162" spans="3:3">
      <c r="C162" s="236" t="s">
        <v>400</v>
      </c>
    </row>
    <row r="163" spans="3:3">
      <c r="C163" s="236" t="s">
        <v>401</v>
      </c>
    </row>
    <row r="164" spans="3:3">
      <c r="C164" s="236" t="s">
        <v>93</v>
      </c>
    </row>
    <row r="165" spans="3:3">
      <c r="C165" s="236" t="s">
        <v>238</v>
      </c>
    </row>
    <row r="166" spans="3:3">
      <c r="C166" s="236" t="s">
        <v>402</v>
      </c>
    </row>
    <row r="167" spans="3:3">
      <c r="C167" s="236"/>
    </row>
    <row r="168" spans="3:3">
      <c r="C168" s="236" t="s">
        <v>13</v>
      </c>
    </row>
    <row r="169" spans="3:3">
      <c r="C169" s="236" t="s">
        <v>243</v>
      </c>
    </row>
    <row r="170" spans="3:3">
      <c r="C170" s="236" t="s">
        <v>234</v>
      </c>
    </row>
    <row r="171" spans="3:3">
      <c r="C171" s="236" t="s">
        <v>58</v>
      </c>
    </row>
    <row r="172" spans="3:3">
      <c r="C172" s="236" t="s">
        <v>17</v>
      </c>
    </row>
    <row r="173" spans="3:3">
      <c r="C173" s="236" t="s">
        <v>18</v>
      </c>
    </row>
    <row r="174" spans="3:3">
      <c r="C174" s="236" t="s">
        <v>19</v>
      </c>
    </row>
    <row r="175" spans="3:3">
      <c r="C175" s="236" t="s">
        <v>77</v>
      </c>
    </row>
    <row r="176" spans="3:3">
      <c r="C176" s="236" t="s">
        <v>78</v>
      </c>
    </row>
    <row r="177" spans="3:3">
      <c r="C177" s="236" t="s">
        <v>393</v>
      </c>
    </row>
    <row r="178" spans="3:3">
      <c r="C178" s="236" t="s">
        <v>80</v>
      </c>
    </row>
    <row r="179" spans="3:3">
      <c r="C179" s="236" t="s">
        <v>104</v>
      </c>
    </row>
    <row r="180" spans="3:3">
      <c r="C180" s="236" t="s">
        <v>105</v>
      </c>
    </row>
    <row r="181" spans="3:3">
      <c r="C181" s="236" t="s">
        <v>26</v>
      </c>
    </row>
    <row r="182" spans="3:3">
      <c r="C182" s="236" t="s">
        <v>235</v>
      </c>
    </row>
    <row r="183" spans="3:3">
      <c r="C183" s="236" t="s">
        <v>106</v>
      </c>
    </row>
    <row r="184" spans="3:3">
      <c r="C184" s="236" t="s">
        <v>87</v>
      </c>
    </row>
    <row r="185" spans="3:3">
      <c r="C185" s="236" t="s">
        <v>107</v>
      </c>
    </row>
    <row r="186" spans="3:3">
      <c r="C186" s="236" t="s">
        <v>236</v>
      </c>
    </row>
    <row r="187" spans="3:3">
      <c r="C187" s="236" t="s">
        <v>237</v>
      </c>
    </row>
    <row r="188" spans="3:3">
      <c r="C188" s="236" t="s">
        <v>163</v>
      </c>
    </row>
    <row r="189" spans="3:3">
      <c r="C189" s="236" t="s">
        <v>404</v>
      </c>
    </row>
    <row r="190" spans="3:3">
      <c r="C190" s="236" t="s">
        <v>59</v>
      </c>
    </row>
    <row r="191" spans="3:3">
      <c r="C191" s="236" t="s">
        <v>34</v>
      </c>
    </row>
    <row r="192" spans="3:3">
      <c r="C192" s="236" t="s">
        <v>399</v>
      </c>
    </row>
    <row r="193" spans="3:3">
      <c r="C193" s="236" t="s">
        <v>400</v>
      </c>
    </row>
    <row r="194" spans="3:3">
      <c r="C194" s="236" t="s">
        <v>401</v>
      </c>
    </row>
    <row r="195" spans="3:3">
      <c r="C195" s="236" t="s">
        <v>93</v>
      </c>
    </row>
    <row r="196" spans="3:3">
      <c r="C196" s="236" t="s">
        <v>238</v>
      </c>
    </row>
    <row r="197" spans="3:3">
      <c r="C197" s="236" t="s">
        <v>402</v>
      </c>
    </row>
  </sheetData>
  <mergeCells count="7">
    <mergeCell ref="AK10:AM10"/>
    <mergeCell ref="AO10:AQ10"/>
    <mergeCell ref="E11:G11"/>
    <mergeCell ref="E10:G10"/>
    <mergeCell ref="I10:Q10"/>
    <mergeCell ref="R10:AA10"/>
    <mergeCell ref="AC10:AI10"/>
  </mergeCells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3DFE6-29F7-4A7D-B74C-CE87089579E9}">
  <sheetPr>
    <tabColor theme="4" tint="0.39997558519241921"/>
  </sheetPr>
  <dimension ref="A1:AX296"/>
  <sheetViews>
    <sheetView zoomScale="80" zoomScaleNormal="80" workbookViewId="0">
      <pane xSplit="5" ySplit="12" topLeftCell="J93" activePane="bottomRight" state="frozen"/>
      <selection pane="topRight" activeCell="F1" sqref="F1"/>
      <selection pane="bottomLeft" activeCell="A13" sqref="A13"/>
      <selection pane="bottomRight" activeCell="F111" sqref="F110:F111"/>
    </sheetView>
  </sheetViews>
  <sheetFormatPr defaultRowHeight="14.4" outlineLevelRow="2" outlineLevelCol="1"/>
  <cols>
    <col min="1" max="1" width="15.44140625" style="237" customWidth="1"/>
    <col min="2" max="2" width="11.44140625" style="235" customWidth="1"/>
    <col min="3" max="3" width="32.6640625" customWidth="1"/>
    <col min="4" max="4" width="10.33203125" customWidth="1"/>
    <col min="5" max="5" width="16.6640625" customWidth="1"/>
    <col min="6" max="6" width="10.44140625" customWidth="1"/>
    <col min="7" max="8" width="10.33203125" customWidth="1"/>
    <col min="9" max="9" width="12.44140625" customWidth="1"/>
    <col min="10" max="11" width="11.6640625" customWidth="1"/>
    <col min="12" max="12" width="7.33203125" style="2" customWidth="1"/>
    <col min="13" max="18" width="9.109375" customWidth="1" outlineLevel="1"/>
    <col min="19" max="19" width="2.109375" style="2" customWidth="1" outlineLevel="1"/>
    <col min="20" max="20" width="10" customWidth="1"/>
    <col min="21" max="21" width="11.5546875" customWidth="1"/>
    <col min="22" max="25" width="8.5546875" customWidth="1"/>
    <col min="26" max="26" width="1.6640625" style="2" customWidth="1"/>
    <col min="27" max="27" width="10.44140625" customWidth="1" outlineLevel="1"/>
    <col min="28" max="28" width="11.5546875" customWidth="1" outlineLevel="1"/>
    <col min="29" max="29" width="10.109375" customWidth="1" outlineLevel="1"/>
    <col min="30" max="32" width="8.44140625" customWidth="1" outlineLevel="1"/>
    <col min="33" max="33" width="1.6640625" style="2" customWidth="1" outlineLevel="1"/>
    <col min="34" max="34" width="8.5546875" customWidth="1"/>
    <col min="35" max="35" width="11" customWidth="1"/>
    <col min="36" max="36" width="10.6640625" customWidth="1"/>
    <col min="37" max="39" width="8.44140625" customWidth="1"/>
    <col min="40" max="40" width="1.6640625" style="2" customWidth="1"/>
    <col min="41" max="41" width="8.5546875" customWidth="1"/>
    <col min="42" max="42" width="11" customWidth="1"/>
    <col min="43" max="43" width="8.5546875" customWidth="1"/>
    <col min="44" max="46" width="8.44140625" customWidth="1"/>
  </cols>
  <sheetData>
    <row r="1" spans="1:46">
      <c r="A1" s="281" t="s">
        <v>275</v>
      </c>
      <c r="C1" s="270" t="s">
        <v>255</v>
      </c>
      <c r="Z1"/>
      <c r="AG1"/>
      <c r="AN1"/>
    </row>
    <row r="3" spans="1:46">
      <c r="D3" s="9" t="s">
        <v>1</v>
      </c>
      <c r="F3" s="276" t="s">
        <v>252</v>
      </c>
    </row>
    <row r="4" spans="1:46">
      <c r="C4" t="s">
        <v>172</v>
      </c>
      <c r="D4" s="10" t="s">
        <v>68</v>
      </c>
      <c r="F4" s="275"/>
      <c r="H4" s="56"/>
    </row>
    <row r="5" spans="1:46">
      <c r="C5" t="s">
        <v>173</v>
      </c>
      <c r="D5" s="10" t="s">
        <v>70</v>
      </c>
      <c r="H5" s="56"/>
    </row>
    <row r="6" spans="1:46">
      <c r="C6" t="s">
        <v>174</v>
      </c>
      <c r="D6" s="10" t="s">
        <v>69</v>
      </c>
      <c r="F6" s="56"/>
      <c r="AK6" s="56"/>
    </row>
    <row r="7" spans="1:46">
      <c r="C7" t="s">
        <v>175</v>
      </c>
      <c r="D7" s="11" t="s">
        <v>4</v>
      </c>
      <c r="F7" s="56"/>
      <c r="M7" s="56"/>
      <c r="T7" s="56">
        <f>+T116-SUM(T76,T45,T14)</f>
        <v>34.890843679998397</v>
      </c>
      <c r="AA7" s="56" t="e">
        <f>-#REF!+#REF!</f>
        <v>#REF!</v>
      </c>
    </row>
    <row r="8" spans="1:46">
      <c r="C8" s="137"/>
      <c r="F8" s="254" t="s">
        <v>98</v>
      </c>
      <c r="G8" s="254"/>
      <c r="H8" s="254"/>
      <c r="I8" s="254"/>
      <c r="J8" s="254"/>
      <c r="K8" s="254"/>
      <c r="L8" s="91"/>
      <c r="M8" s="537" t="s">
        <v>176</v>
      </c>
      <c r="N8" s="537"/>
      <c r="O8" s="537"/>
      <c r="P8" s="211"/>
      <c r="Q8" s="211"/>
      <c r="R8" s="211"/>
      <c r="S8" s="91"/>
      <c r="T8" s="537" t="s">
        <v>177</v>
      </c>
      <c r="U8" s="537"/>
      <c r="V8" s="537"/>
      <c r="W8" s="211"/>
      <c r="X8" s="211"/>
      <c r="Y8" s="211"/>
      <c r="AA8" s="537" t="s">
        <v>178</v>
      </c>
      <c r="AB8" s="537"/>
      <c r="AC8" s="537"/>
      <c r="AD8" s="211"/>
      <c r="AE8" s="211"/>
      <c r="AF8" s="211"/>
      <c r="AH8" s="537" t="s">
        <v>179</v>
      </c>
      <c r="AI8" s="537"/>
      <c r="AJ8" s="537"/>
      <c r="AK8" s="211"/>
      <c r="AL8" s="211"/>
      <c r="AM8" s="211"/>
      <c r="AO8" s="537" t="s">
        <v>180</v>
      </c>
      <c r="AP8" s="537"/>
      <c r="AQ8" s="537"/>
      <c r="AR8" s="211"/>
      <c r="AS8" s="211"/>
      <c r="AT8" s="211"/>
    </row>
    <row r="9" spans="1:46" s="138" customFormat="1" ht="13.8">
      <c r="A9" s="237"/>
      <c r="B9" s="235"/>
      <c r="C9" s="137"/>
      <c r="D9" s="137"/>
      <c r="E9" s="205"/>
      <c r="F9" s="50" t="str">
        <f>INPUT!$J$2</f>
        <v>BUDcm</v>
      </c>
      <c r="G9" s="50" t="str">
        <f>INPUT!$J$2</f>
        <v>BUDcm</v>
      </c>
      <c r="H9" s="50" t="str">
        <f>INPUT!$J$2</f>
        <v>BUDcm</v>
      </c>
      <c r="I9" s="50" t="str">
        <f>INPUT!$J$2</f>
        <v>BUDcm</v>
      </c>
      <c r="J9" s="50" t="str">
        <f>INPUT!$J$2</f>
        <v>BUDcm</v>
      </c>
      <c r="K9" s="50" t="s">
        <v>214</v>
      </c>
      <c r="L9" s="50"/>
      <c r="M9" s="50" t="str">
        <f>INPUT!$J$3</f>
        <v>FCTcm</v>
      </c>
      <c r="N9" s="50" t="str">
        <f>INPUT!$J$3</f>
        <v>FCTcm</v>
      </c>
      <c r="O9" s="50" t="str">
        <f>INPUT!$J$3</f>
        <v>FCTcm</v>
      </c>
      <c r="P9" s="50" t="str">
        <f>INPUT!$J$2</f>
        <v>BUDcm</v>
      </c>
      <c r="Q9" s="50" t="str">
        <f>INPUT!$J$2</f>
        <v>BUDcm</v>
      </c>
      <c r="R9" s="50" t="s">
        <v>214</v>
      </c>
      <c r="S9" s="50"/>
      <c r="T9" s="50" t="str">
        <f>INPUT!$L$2</f>
        <v>AAP2024</v>
      </c>
      <c r="U9" s="50" t="str">
        <f>INPUT!$L$2</f>
        <v>AAP2024</v>
      </c>
      <c r="V9" s="50" t="str">
        <f>INPUT!$L$2</f>
        <v>AAP2024</v>
      </c>
      <c r="W9" s="50" t="str">
        <f>INPUT!$L$2</f>
        <v>AAP2024</v>
      </c>
      <c r="X9" s="50" t="str">
        <f>INPUT!$L$2</f>
        <v>AAP2024</v>
      </c>
      <c r="Y9" s="50" t="s">
        <v>214</v>
      </c>
      <c r="Z9" s="50"/>
      <c r="AA9" s="50" t="str">
        <f>INPUT!$L$2</f>
        <v>AAP2024</v>
      </c>
      <c r="AB9" s="50" t="str">
        <f>INPUT!$L$2</f>
        <v>AAP2024</v>
      </c>
      <c r="AC9" s="50" t="str">
        <f>INPUT!$L$2</f>
        <v>AAP2024</v>
      </c>
      <c r="AD9" s="50" t="str">
        <f>INPUT!$L$2</f>
        <v>AAP2024</v>
      </c>
      <c r="AE9" s="50" t="str">
        <f>INPUT!$L$2</f>
        <v>AAP2024</v>
      </c>
      <c r="AF9" s="50" t="s">
        <v>214</v>
      </c>
      <c r="AG9" s="50"/>
      <c r="AH9" s="50" t="str">
        <f>INPUT!$L$3</f>
        <v>AAP2023</v>
      </c>
      <c r="AI9" s="50" t="str">
        <f>INPUT!$L$3</f>
        <v>AAP2023</v>
      </c>
      <c r="AJ9" s="50" t="str">
        <f>INPUT!$L$3</f>
        <v>AAP2023</v>
      </c>
      <c r="AK9" s="50" t="str">
        <f>INPUT!$L$3</f>
        <v>AAP2023</v>
      </c>
      <c r="AL9" s="50" t="str">
        <f>INPUT!$L$3</f>
        <v>AAP2023</v>
      </c>
      <c r="AM9" s="50" t="s">
        <v>214</v>
      </c>
      <c r="AN9" s="50"/>
      <c r="AO9" s="50" t="str">
        <f>INPUT!$L$3</f>
        <v>AAP2023</v>
      </c>
      <c r="AP9" s="50" t="str">
        <f>INPUT!$L$3</f>
        <v>AAP2023</v>
      </c>
      <c r="AQ9" s="50" t="str">
        <f>INPUT!$L$3</f>
        <v>AAP2023</v>
      </c>
      <c r="AR9" s="50" t="str">
        <f>INPUT!$L$3</f>
        <v>AAP2023</v>
      </c>
      <c r="AS9" s="50" t="str">
        <f>INPUT!$L$3</f>
        <v>AAP2023</v>
      </c>
      <c r="AT9" s="50" t="s">
        <v>214</v>
      </c>
    </row>
    <row r="10" spans="1:46">
      <c r="C10" s="12"/>
      <c r="D10" s="12"/>
      <c r="E10" s="206"/>
      <c r="F10" s="50" t="s">
        <v>71</v>
      </c>
      <c r="G10" s="50" t="s">
        <v>71</v>
      </c>
      <c r="H10" s="50" t="s">
        <v>71</v>
      </c>
      <c r="I10" s="50" t="s">
        <v>71</v>
      </c>
      <c r="J10" s="50" t="s">
        <v>71</v>
      </c>
      <c r="K10" s="50"/>
      <c r="L10" s="50"/>
      <c r="M10" s="50" t="s">
        <v>71</v>
      </c>
      <c r="N10" s="50" t="s">
        <v>71</v>
      </c>
      <c r="O10" s="50" t="s">
        <v>71</v>
      </c>
      <c r="P10" s="50" t="s">
        <v>71</v>
      </c>
      <c r="Q10" s="50" t="s">
        <v>71</v>
      </c>
      <c r="R10" s="50"/>
      <c r="S10" s="50"/>
      <c r="T10" s="50" t="s">
        <v>71</v>
      </c>
      <c r="U10" s="50" t="s">
        <v>71</v>
      </c>
      <c r="V10" s="50" t="s">
        <v>71</v>
      </c>
      <c r="W10" s="50" t="s">
        <v>71</v>
      </c>
      <c r="X10" s="50" t="s">
        <v>71</v>
      </c>
      <c r="Y10" s="50"/>
      <c r="Z10" s="50"/>
      <c r="AA10" s="50" t="s">
        <v>71</v>
      </c>
      <c r="AB10" s="50" t="s">
        <v>71</v>
      </c>
      <c r="AC10" s="50" t="s">
        <v>71</v>
      </c>
      <c r="AD10" s="50" t="s">
        <v>71</v>
      </c>
      <c r="AE10" s="50" t="s">
        <v>71</v>
      </c>
      <c r="AF10" s="50"/>
      <c r="AG10" s="50"/>
      <c r="AH10" s="50" t="s">
        <v>71</v>
      </c>
      <c r="AI10" s="50" t="s">
        <v>71</v>
      </c>
      <c r="AJ10" s="50" t="s">
        <v>71</v>
      </c>
      <c r="AK10" s="50" t="s">
        <v>71</v>
      </c>
      <c r="AL10" s="50" t="s">
        <v>71</v>
      </c>
      <c r="AM10" s="50"/>
      <c r="AN10" s="50"/>
      <c r="AO10" s="50" t="s">
        <v>71</v>
      </c>
      <c r="AP10" s="50" t="s">
        <v>71</v>
      </c>
      <c r="AQ10" s="50" t="s">
        <v>71</v>
      </c>
      <c r="AR10" s="50" t="s">
        <v>71</v>
      </c>
      <c r="AS10" s="50" t="s">
        <v>71</v>
      </c>
      <c r="AT10" s="50"/>
    </row>
    <row r="11" spans="1:46" s="138" customFormat="1" ht="13.8">
      <c r="A11" s="237"/>
      <c r="B11" s="235"/>
      <c r="C11" s="137"/>
      <c r="D11" s="139"/>
      <c r="E11" s="205"/>
      <c r="F11" s="50" t="str">
        <f>INPUT!$B$2</f>
        <v>4Q</v>
      </c>
      <c r="G11" s="50" t="str">
        <f>INPUT!$B$2</f>
        <v>4Q</v>
      </c>
      <c r="H11" s="50" t="str">
        <f>INPUT!$B$2</f>
        <v>4Q</v>
      </c>
      <c r="I11" s="50" t="str">
        <f>INPUT!$B$2</f>
        <v>4Q</v>
      </c>
      <c r="J11" s="50" t="str">
        <f>INPUT!$B$2</f>
        <v>4Q</v>
      </c>
      <c r="K11" s="50"/>
      <c r="L11" s="50"/>
      <c r="M11" s="50" t="str">
        <f>INPUT!$C$4</f>
        <v>FebYTD</v>
      </c>
      <c r="N11" s="50" t="str">
        <f>INPUT!$C$4</f>
        <v>FebYTD</v>
      </c>
      <c r="O11" s="50" t="str">
        <f>INPUT!$C$4</f>
        <v>FebYTD</v>
      </c>
      <c r="P11" s="50" t="str">
        <f>INPUT!$C$4</f>
        <v>FebYTD</v>
      </c>
      <c r="Q11" s="50" t="str">
        <f>INPUT!$C$4</f>
        <v>FebYTD</v>
      </c>
      <c r="R11" s="50"/>
      <c r="S11" s="50"/>
      <c r="T11" s="50" t="str">
        <f>INPUT!$B$2</f>
        <v>4Q</v>
      </c>
      <c r="U11" s="50" t="str">
        <f>INPUT!$B$2</f>
        <v>4Q</v>
      </c>
      <c r="V11" s="50" t="str">
        <f>INPUT!$B$2</f>
        <v>4Q</v>
      </c>
      <c r="W11" s="50" t="str">
        <f>INPUT!$B$2</f>
        <v>4Q</v>
      </c>
      <c r="X11" s="50" t="str">
        <f>INPUT!$B$2</f>
        <v>4Q</v>
      </c>
      <c r="Y11" s="50" t="str">
        <f>INPUT!$B$2</f>
        <v>4Q</v>
      </c>
      <c r="Z11" s="50"/>
      <c r="AA11" s="50" t="str">
        <f>INPUT!$C$4</f>
        <v>FebYTD</v>
      </c>
      <c r="AB11" s="50" t="str">
        <f>INPUT!$C$4</f>
        <v>FebYTD</v>
      </c>
      <c r="AC11" s="50" t="str">
        <f>INPUT!$C$4</f>
        <v>FebYTD</v>
      </c>
      <c r="AD11" s="50" t="str">
        <f>INPUT!$C$4</f>
        <v>FebYTD</v>
      </c>
      <c r="AE11" s="50" t="str">
        <f>INPUT!$C$4</f>
        <v>FebYTD</v>
      </c>
      <c r="AF11" s="50"/>
      <c r="AG11" s="50"/>
      <c r="AH11" s="50" t="str">
        <f>INPUT!$B$2</f>
        <v>4Q</v>
      </c>
      <c r="AI11" s="50" t="str">
        <f>INPUT!$B$2</f>
        <v>4Q</v>
      </c>
      <c r="AJ11" s="50" t="str">
        <f>INPUT!$B$2</f>
        <v>4Q</v>
      </c>
      <c r="AK11" s="50" t="str">
        <f>INPUT!$B$2</f>
        <v>4Q</v>
      </c>
      <c r="AL11" s="50" t="str">
        <f>INPUT!$B$2</f>
        <v>4Q</v>
      </c>
      <c r="AM11" s="50"/>
      <c r="AN11" s="50"/>
      <c r="AO11" s="50" t="str">
        <f>INPUT!$C$4</f>
        <v>FebYTD</v>
      </c>
      <c r="AP11" s="50" t="str">
        <f>INPUT!$C$4</f>
        <v>FebYTD</v>
      </c>
      <c r="AQ11" s="50" t="str">
        <f>INPUT!$C$4</f>
        <v>FebYTD</v>
      </c>
      <c r="AR11" s="50" t="str">
        <f>INPUT!$C$4</f>
        <v>FebYTD</v>
      </c>
      <c r="AS11" s="50" t="str">
        <f>INPUT!$C$4</f>
        <v>FebYTD</v>
      </c>
      <c r="AT11" s="50"/>
    </row>
    <row r="12" spans="1:46" s="274" customFormat="1" ht="62.4" customHeight="1">
      <c r="A12" s="271" t="s">
        <v>240</v>
      </c>
      <c r="B12" s="236" t="s">
        <v>241</v>
      </c>
      <c r="C12" s="272"/>
      <c r="D12" s="272"/>
      <c r="E12" s="273"/>
      <c r="F12" s="50" t="s">
        <v>211</v>
      </c>
      <c r="G12" s="50" t="s">
        <v>212</v>
      </c>
      <c r="H12" s="50" t="s">
        <v>213</v>
      </c>
      <c r="I12" s="50" t="s">
        <v>209</v>
      </c>
      <c r="J12" s="50" t="s">
        <v>210</v>
      </c>
      <c r="K12" s="50" t="s">
        <v>411</v>
      </c>
      <c r="L12" s="50"/>
      <c r="M12" s="50" t="s">
        <v>211</v>
      </c>
      <c r="N12" s="50" t="s">
        <v>212</v>
      </c>
      <c r="O12" s="50" t="s">
        <v>213</v>
      </c>
      <c r="P12" s="50" t="s">
        <v>209</v>
      </c>
      <c r="Q12" s="50" t="s">
        <v>210</v>
      </c>
      <c r="R12" s="50" t="s">
        <v>313</v>
      </c>
      <c r="S12" s="50"/>
      <c r="T12" s="50">
        <v>3997100</v>
      </c>
      <c r="U12" s="50">
        <v>3297100</v>
      </c>
      <c r="V12" s="50">
        <v>3187100</v>
      </c>
      <c r="W12" s="50" t="s">
        <v>209</v>
      </c>
      <c r="X12" s="50" t="s">
        <v>210</v>
      </c>
      <c r="Y12" s="50" t="s">
        <v>251</v>
      </c>
      <c r="Z12" s="50"/>
      <c r="AA12" s="50">
        <v>3997100</v>
      </c>
      <c r="AB12" s="50">
        <v>3297100</v>
      </c>
      <c r="AC12" s="50">
        <v>3187100</v>
      </c>
      <c r="AD12" s="50" t="s">
        <v>209</v>
      </c>
      <c r="AE12" s="50" t="s">
        <v>210</v>
      </c>
      <c r="AF12" s="50" t="s">
        <v>251</v>
      </c>
      <c r="AG12" s="50"/>
      <c r="AH12" s="50">
        <v>3997100</v>
      </c>
      <c r="AI12" s="50">
        <v>3297100</v>
      </c>
      <c r="AJ12" s="50">
        <v>3187100</v>
      </c>
      <c r="AK12" s="50" t="s">
        <v>209</v>
      </c>
      <c r="AL12" s="50" t="s">
        <v>210</v>
      </c>
      <c r="AM12" s="50" t="s">
        <v>251</v>
      </c>
      <c r="AN12" s="50"/>
      <c r="AO12" s="50">
        <v>3997100</v>
      </c>
      <c r="AP12" s="50">
        <v>3297100</v>
      </c>
      <c r="AQ12" s="50">
        <v>3187100</v>
      </c>
      <c r="AR12" s="50" t="s">
        <v>209</v>
      </c>
      <c r="AS12" s="50" t="s">
        <v>210</v>
      </c>
      <c r="AT12" s="50" t="s">
        <v>251</v>
      </c>
    </row>
    <row r="13" spans="1:46">
      <c r="A13" s="237">
        <v>26</v>
      </c>
      <c r="B13" s="236" t="s">
        <v>13</v>
      </c>
      <c r="C13" s="577" t="s">
        <v>11</v>
      </c>
      <c r="D13" s="577" t="s">
        <v>72</v>
      </c>
      <c r="E13" s="577" t="s">
        <v>73</v>
      </c>
      <c r="F13" s="54">
        <v>1670.7776981566833</v>
      </c>
      <c r="G13" s="54">
        <v>1440.3421289716473</v>
      </c>
      <c r="H13" s="54">
        <v>1440.3421289716473</v>
      </c>
      <c r="I13" s="54">
        <v>1440.2639642157701</v>
      </c>
      <c r="J13" s="54">
        <v>230.51373394091289</v>
      </c>
      <c r="K13" s="128"/>
      <c r="L13" s="128"/>
      <c r="M13" s="54">
        <v>214.3442265261003</v>
      </c>
      <c r="N13" s="54">
        <v>65.657107217788962</v>
      </c>
      <c r="O13" s="54">
        <v>65.657107217788962</v>
      </c>
      <c r="P13" s="54">
        <v>0</v>
      </c>
      <c r="Q13" s="54">
        <v>0</v>
      </c>
      <c r="R13" s="128"/>
      <c r="S13" s="128"/>
      <c r="T13" s="54">
        <v>1223.6108301400006</v>
      </c>
      <c r="U13" s="54">
        <v>891.68680939000023</v>
      </c>
      <c r="V13" s="54">
        <v>891.49598939000032</v>
      </c>
      <c r="W13" s="54">
        <v>982.37755398000013</v>
      </c>
      <c r="X13" s="54">
        <v>241.23327616000009</v>
      </c>
      <c r="Y13" s="128"/>
      <c r="Z13" s="128"/>
      <c r="AA13" s="54">
        <v>223.94316436000017</v>
      </c>
      <c r="AB13" s="54">
        <v>60.83608833000001</v>
      </c>
      <c r="AC13" s="54">
        <v>60.71596833000001</v>
      </c>
      <c r="AD13" s="54">
        <v>70.992225070000018</v>
      </c>
      <c r="AE13" s="54">
        <v>152.95093929000024</v>
      </c>
      <c r="AF13" s="128"/>
      <c r="AG13" s="128"/>
      <c r="AH13" s="54">
        <v>1527.2295467100018</v>
      </c>
      <c r="AI13" s="54">
        <v>1230.2982131200004</v>
      </c>
      <c r="AJ13" s="54">
        <v>1230.1428681200005</v>
      </c>
      <c r="AK13" s="54">
        <v>1292.4900305800006</v>
      </c>
      <c r="AL13" s="54">
        <v>234.73951612999991</v>
      </c>
      <c r="AM13" s="128"/>
      <c r="AN13" s="128"/>
      <c r="AO13" s="54">
        <v>243.83608611000037</v>
      </c>
      <c r="AP13" s="54">
        <v>90.898436019999977</v>
      </c>
      <c r="AQ13" s="54">
        <v>90.734611019999974</v>
      </c>
      <c r="AR13" s="54">
        <v>92.903656459999993</v>
      </c>
      <c r="AS13" s="54">
        <v>150.93242965000007</v>
      </c>
      <c r="AT13" s="128"/>
    </row>
    <row r="14" spans="1:46">
      <c r="A14" s="237">
        <v>26</v>
      </c>
      <c r="B14" s="236" t="s">
        <v>243</v>
      </c>
      <c r="C14" s="577" t="s">
        <v>11</v>
      </c>
      <c r="D14" s="577" t="s">
        <v>72</v>
      </c>
      <c r="E14" s="577" t="s">
        <v>74</v>
      </c>
      <c r="F14" s="54">
        <v>1670.7776981566833</v>
      </c>
      <c r="G14" s="54">
        <v>1440.3421289716473</v>
      </c>
      <c r="H14" s="54">
        <v>1440.3421289716473</v>
      </c>
      <c r="I14" s="54">
        <v>1440.2639642157701</v>
      </c>
      <c r="J14" s="54">
        <v>230.51373394091289</v>
      </c>
      <c r="K14" s="128"/>
      <c r="L14" s="128"/>
      <c r="M14" s="54">
        <v>214.3442265261003</v>
      </c>
      <c r="N14" s="54">
        <v>65.657107217788962</v>
      </c>
      <c r="O14" s="54">
        <v>65.657107217788962</v>
      </c>
      <c r="P14" s="54">
        <v>0</v>
      </c>
      <c r="Q14" s="54">
        <v>0</v>
      </c>
      <c r="R14" s="128"/>
      <c r="S14" s="128"/>
      <c r="T14" s="54">
        <v>1226.8977536600005</v>
      </c>
      <c r="U14" s="54">
        <v>894.97373291000031</v>
      </c>
      <c r="V14" s="54">
        <v>891.49598939000032</v>
      </c>
      <c r="W14" s="54">
        <v>985.6644775000002</v>
      </c>
      <c r="X14" s="54">
        <v>241.23327616000009</v>
      </c>
      <c r="Y14" s="128"/>
      <c r="Z14" s="128"/>
      <c r="AA14" s="54">
        <v>231.95564610000017</v>
      </c>
      <c r="AB14" s="54">
        <v>68.848570070000008</v>
      </c>
      <c r="AC14" s="54">
        <v>60.71596833000001</v>
      </c>
      <c r="AD14" s="54">
        <v>79.004706810000016</v>
      </c>
      <c r="AE14" s="54">
        <v>152.95093929000024</v>
      </c>
      <c r="AF14" s="128"/>
      <c r="AG14" s="128"/>
      <c r="AH14" s="54">
        <v>1531.6741841500018</v>
      </c>
      <c r="AI14" s="54">
        <v>1234.7428505600003</v>
      </c>
      <c r="AJ14" s="54">
        <v>1230.1428681200005</v>
      </c>
      <c r="AK14" s="54">
        <v>1296.9346680200006</v>
      </c>
      <c r="AL14" s="54">
        <v>234.73951612999991</v>
      </c>
      <c r="AM14" s="128"/>
      <c r="AN14" s="128"/>
      <c r="AO14" s="54">
        <v>241.89257827000037</v>
      </c>
      <c r="AP14" s="54">
        <v>88.954928179999982</v>
      </c>
      <c r="AQ14" s="54">
        <v>90.734611019999974</v>
      </c>
      <c r="AR14" s="54">
        <v>90.960148619999998</v>
      </c>
      <c r="AS14" s="54">
        <v>150.93242965000007</v>
      </c>
      <c r="AT14" s="128"/>
    </row>
    <row r="15" spans="1:46">
      <c r="A15" s="237">
        <v>26</v>
      </c>
      <c r="B15" s="236" t="s">
        <v>234</v>
      </c>
      <c r="C15" s="577" t="s">
        <v>11</v>
      </c>
      <c r="D15" s="577" t="s">
        <v>72</v>
      </c>
      <c r="E15" s="577" t="s">
        <v>75</v>
      </c>
      <c r="F15" s="54">
        <v>0</v>
      </c>
      <c r="G15" s="54">
        <v>0</v>
      </c>
      <c r="H15" s="54">
        <v>0</v>
      </c>
      <c r="I15" s="54">
        <v>0</v>
      </c>
      <c r="J15" s="54">
        <v>0</v>
      </c>
      <c r="K15" s="128"/>
      <c r="L15" s="128"/>
      <c r="M15" s="54">
        <v>0</v>
      </c>
      <c r="N15" s="54">
        <v>0</v>
      </c>
      <c r="O15" s="54">
        <v>0</v>
      </c>
      <c r="P15" s="54">
        <v>0</v>
      </c>
      <c r="Q15" s="54">
        <v>0</v>
      </c>
      <c r="R15" s="128"/>
      <c r="S15" s="128"/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128"/>
      <c r="Z15" s="128"/>
      <c r="AA15" s="54">
        <v>0</v>
      </c>
      <c r="AB15" s="54">
        <v>0</v>
      </c>
      <c r="AC15" s="54">
        <v>0</v>
      </c>
      <c r="AD15" s="54">
        <v>0</v>
      </c>
      <c r="AE15" s="54">
        <v>0</v>
      </c>
      <c r="AF15" s="128"/>
      <c r="AG15" s="128"/>
      <c r="AH15" s="54">
        <v>0</v>
      </c>
      <c r="AI15" s="54">
        <v>0</v>
      </c>
      <c r="AJ15" s="54">
        <v>0</v>
      </c>
      <c r="AK15" s="54">
        <v>0</v>
      </c>
      <c r="AL15" s="54">
        <v>0</v>
      </c>
      <c r="AM15" s="128"/>
      <c r="AN15" s="128"/>
      <c r="AO15" s="54">
        <v>0</v>
      </c>
      <c r="AP15" s="54">
        <v>0</v>
      </c>
      <c r="AQ15" s="54">
        <v>0</v>
      </c>
      <c r="AR15" s="54">
        <v>0</v>
      </c>
      <c r="AS15" s="54">
        <v>0</v>
      </c>
      <c r="AT15" s="128"/>
    </row>
    <row r="16" spans="1:46">
      <c r="A16" s="237">
        <v>26</v>
      </c>
      <c r="B16" s="236" t="s">
        <v>58</v>
      </c>
      <c r="C16" s="577" t="s">
        <v>11</v>
      </c>
      <c r="D16" s="577" t="s">
        <v>76</v>
      </c>
      <c r="E16" s="577" t="s">
        <v>16</v>
      </c>
      <c r="F16" s="54">
        <v>917.35540406750363</v>
      </c>
      <c r="G16" s="54">
        <v>804.79775054194397</v>
      </c>
      <c r="H16" s="54">
        <v>804.79775054194397</v>
      </c>
      <c r="I16" s="54">
        <v>804.73537862641069</v>
      </c>
      <c r="J16" s="54">
        <v>112.62002544109301</v>
      </c>
      <c r="K16" s="128"/>
      <c r="L16" s="128"/>
      <c r="M16" s="54">
        <v>114.53161053564338</v>
      </c>
      <c r="N16" s="54">
        <v>41.21292390507611</v>
      </c>
      <c r="O16" s="54">
        <v>41.21292390507611</v>
      </c>
      <c r="P16" s="54">
        <v>0</v>
      </c>
      <c r="Q16" s="54">
        <v>0</v>
      </c>
      <c r="R16" s="128"/>
      <c r="S16" s="128"/>
      <c r="T16" s="54">
        <v>627.78164009</v>
      </c>
      <c r="U16" s="54">
        <v>448.72606272000019</v>
      </c>
      <c r="V16" s="54">
        <v>448.5352427200001</v>
      </c>
      <c r="W16" s="54">
        <v>511.10174253000002</v>
      </c>
      <c r="X16" s="54">
        <v>116.67989756</v>
      </c>
      <c r="Y16" s="128"/>
      <c r="Z16" s="128"/>
      <c r="AA16" s="54">
        <v>125.22297817999997</v>
      </c>
      <c r="AB16" s="54">
        <v>43.64843264999999</v>
      </c>
      <c r="AC16" s="54">
        <v>43.52831264999999</v>
      </c>
      <c r="AD16" s="54">
        <v>52.98095580999999</v>
      </c>
      <c r="AE16" s="54">
        <v>72.242022370000015</v>
      </c>
      <c r="AF16" s="128"/>
      <c r="AG16" s="128"/>
      <c r="AH16" s="54">
        <v>970.08290622999971</v>
      </c>
      <c r="AI16" s="54">
        <v>818.95475692999992</v>
      </c>
      <c r="AJ16" s="54">
        <v>818.79941192999991</v>
      </c>
      <c r="AK16" s="54">
        <v>851.50099853999996</v>
      </c>
      <c r="AL16" s="54">
        <v>118.58190768999995</v>
      </c>
      <c r="AM16" s="128"/>
      <c r="AN16" s="128"/>
      <c r="AO16" s="54">
        <v>138.39748458000008</v>
      </c>
      <c r="AP16" s="54">
        <v>64.681289980000003</v>
      </c>
      <c r="AQ16" s="54">
        <v>64.51746498</v>
      </c>
      <c r="AR16" s="54">
        <v>66.369421239999994</v>
      </c>
      <c r="AS16" s="54">
        <v>72.028063340000003</v>
      </c>
      <c r="AT16" s="128"/>
    </row>
    <row r="17" spans="1:48" outlineLevel="1">
      <c r="A17" s="237">
        <v>26</v>
      </c>
      <c r="B17" s="236" t="s">
        <v>17</v>
      </c>
      <c r="C17" s="577" t="s">
        <v>11</v>
      </c>
      <c r="D17" s="577" t="s">
        <v>76</v>
      </c>
      <c r="E17" s="577" t="s">
        <v>17</v>
      </c>
      <c r="F17" s="54">
        <v>158.86588901383408</v>
      </c>
      <c r="G17" s="54">
        <v>127.91036718193547</v>
      </c>
      <c r="H17" s="54">
        <v>127.91036718193547</v>
      </c>
      <c r="I17" s="54">
        <v>127.92668877283546</v>
      </c>
      <c r="J17" s="54">
        <v>30.939200240998616</v>
      </c>
      <c r="K17" s="128"/>
      <c r="L17" s="128"/>
      <c r="M17" s="54">
        <v>30.78731518142504</v>
      </c>
      <c r="N17" s="54">
        <v>10.859747908367822</v>
      </c>
      <c r="O17" s="54">
        <v>10.859747908367822</v>
      </c>
      <c r="P17" s="54">
        <v>0</v>
      </c>
      <c r="Q17" s="54">
        <v>0</v>
      </c>
      <c r="R17" s="128"/>
      <c r="S17" s="128"/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128"/>
      <c r="Z17" s="128"/>
      <c r="AA17" s="54">
        <v>0</v>
      </c>
      <c r="AB17" s="54">
        <v>0</v>
      </c>
      <c r="AC17" s="54">
        <v>0</v>
      </c>
      <c r="AD17" s="54">
        <v>0</v>
      </c>
      <c r="AE17" s="54">
        <v>0</v>
      </c>
      <c r="AF17" s="128"/>
      <c r="AG17" s="128"/>
      <c r="AH17" s="54">
        <v>0</v>
      </c>
      <c r="AI17" s="54">
        <v>0</v>
      </c>
      <c r="AJ17" s="54">
        <v>0</v>
      </c>
      <c r="AK17" s="54">
        <v>0</v>
      </c>
      <c r="AL17" s="54">
        <v>0</v>
      </c>
      <c r="AM17" s="128"/>
      <c r="AN17" s="128"/>
      <c r="AO17" s="54">
        <v>0</v>
      </c>
      <c r="AP17" s="54">
        <v>0</v>
      </c>
      <c r="AQ17" s="54">
        <v>0</v>
      </c>
      <c r="AR17" s="54">
        <v>0</v>
      </c>
      <c r="AS17" s="54">
        <v>0</v>
      </c>
      <c r="AT17" s="128"/>
    </row>
    <row r="18" spans="1:48" outlineLevel="1">
      <c r="A18" s="237">
        <v>26</v>
      </c>
      <c r="B18" s="236" t="s">
        <v>18</v>
      </c>
      <c r="C18" s="577" t="s">
        <v>11</v>
      </c>
      <c r="D18" s="577" t="s">
        <v>76</v>
      </c>
      <c r="E18" s="577" t="s">
        <v>18</v>
      </c>
      <c r="F18" s="54">
        <v>2.6281159089405919</v>
      </c>
      <c r="G18" s="54">
        <v>2.4989438889406097</v>
      </c>
      <c r="H18" s="54">
        <v>2.4989438889406097</v>
      </c>
      <c r="I18" s="54">
        <v>2.4989438889405919</v>
      </c>
      <c r="J18" s="54">
        <v>0.12917201999999994</v>
      </c>
      <c r="K18" s="128"/>
      <c r="L18" s="128"/>
      <c r="M18" s="54">
        <v>0.41863317247646137</v>
      </c>
      <c r="N18" s="54">
        <v>8.2310846440460411E-2</v>
      </c>
      <c r="O18" s="54">
        <v>8.2310846440460411E-2</v>
      </c>
      <c r="P18" s="54">
        <v>0</v>
      </c>
      <c r="Q18" s="54">
        <v>0</v>
      </c>
      <c r="R18" s="128"/>
      <c r="S18" s="128"/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128"/>
      <c r="Z18" s="128"/>
      <c r="AA18" s="54">
        <v>0</v>
      </c>
      <c r="AB18" s="54">
        <v>0</v>
      </c>
      <c r="AC18" s="54">
        <v>0</v>
      </c>
      <c r="AD18" s="54">
        <v>0</v>
      </c>
      <c r="AE18" s="54">
        <v>0</v>
      </c>
      <c r="AF18" s="128"/>
      <c r="AG18" s="128"/>
      <c r="AH18" s="54">
        <v>0</v>
      </c>
      <c r="AI18" s="54">
        <v>0</v>
      </c>
      <c r="AJ18" s="54">
        <v>0</v>
      </c>
      <c r="AK18" s="54">
        <v>0</v>
      </c>
      <c r="AL18" s="54">
        <v>0</v>
      </c>
      <c r="AM18" s="128"/>
      <c r="AN18" s="128"/>
      <c r="AO18" s="54">
        <v>0</v>
      </c>
      <c r="AP18" s="54">
        <v>0</v>
      </c>
      <c r="AQ18" s="54">
        <v>0</v>
      </c>
      <c r="AR18" s="54">
        <v>0</v>
      </c>
      <c r="AS18" s="54">
        <v>0</v>
      </c>
      <c r="AT18" s="128"/>
      <c r="AV18" s="56"/>
    </row>
    <row r="19" spans="1:48" outlineLevel="1">
      <c r="A19" s="237">
        <v>26</v>
      </c>
      <c r="B19" s="236" t="s">
        <v>19</v>
      </c>
      <c r="C19" s="577" t="s">
        <v>11</v>
      </c>
      <c r="D19" s="577" t="s">
        <v>76</v>
      </c>
      <c r="E19" s="577" t="s">
        <v>19</v>
      </c>
      <c r="F19" s="54">
        <v>57.255863721850687</v>
      </c>
      <c r="G19" s="54">
        <v>38.285699783352968</v>
      </c>
      <c r="H19" s="54">
        <v>38.285699783352968</v>
      </c>
      <c r="I19" s="54">
        <v>38.285699783352989</v>
      </c>
      <c r="J19" s="54">
        <v>18.970163938497702</v>
      </c>
      <c r="K19" s="128"/>
      <c r="L19" s="128"/>
      <c r="M19" s="54">
        <v>17.178320979536181</v>
      </c>
      <c r="N19" s="54">
        <v>3.0930588229344655</v>
      </c>
      <c r="O19" s="54">
        <v>3.0930588229344655</v>
      </c>
      <c r="P19" s="54">
        <v>0</v>
      </c>
      <c r="Q19" s="54">
        <v>0</v>
      </c>
      <c r="R19" s="128"/>
      <c r="S19" s="128"/>
      <c r="T19" s="54">
        <v>0</v>
      </c>
      <c r="U19" s="54">
        <v>0</v>
      </c>
      <c r="V19" s="54">
        <v>0</v>
      </c>
      <c r="W19" s="54">
        <v>0</v>
      </c>
      <c r="X19" s="54">
        <v>0</v>
      </c>
      <c r="Y19" s="128"/>
      <c r="Z19" s="128"/>
      <c r="AA19" s="54">
        <v>0</v>
      </c>
      <c r="AB19" s="54">
        <v>0</v>
      </c>
      <c r="AC19" s="54">
        <v>0</v>
      </c>
      <c r="AD19" s="54">
        <v>0</v>
      </c>
      <c r="AE19" s="54">
        <v>0</v>
      </c>
      <c r="AF19" s="128"/>
      <c r="AG19" s="128"/>
      <c r="AH19" s="54">
        <v>0</v>
      </c>
      <c r="AI19" s="54">
        <v>0</v>
      </c>
      <c r="AJ19" s="54">
        <v>0</v>
      </c>
      <c r="AK19" s="54">
        <v>0</v>
      </c>
      <c r="AL19" s="54">
        <v>0</v>
      </c>
      <c r="AM19" s="128"/>
      <c r="AN19" s="128"/>
      <c r="AO19" s="54">
        <v>0</v>
      </c>
      <c r="AP19" s="54">
        <v>0</v>
      </c>
      <c r="AQ19" s="54">
        <v>0</v>
      </c>
      <c r="AR19" s="54">
        <v>0</v>
      </c>
      <c r="AS19" s="54">
        <v>0</v>
      </c>
      <c r="AT19" s="128"/>
    </row>
    <row r="20" spans="1:48" outlineLevel="1">
      <c r="A20" s="237">
        <v>26</v>
      </c>
      <c r="B20" s="236" t="s">
        <v>77</v>
      </c>
      <c r="C20" s="577" t="s">
        <v>11</v>
      </c>
      <c r="D20" s="577" t="s">
        <v>76</v>
      </c>
      <c r="E20" s="577" t="s">
        <v>77</v>
      </c>
      <c r="F20" s="54">
        <v>452.05484835228066</v>
      </c>
      <c r="G20" s="54">
        <v>428.30565719245817</v>
      </c>
      <c r="H20" s="54">
        <v>428.30565719245817</v>
      </c>
      <c r="I20" s="54">
        <v>428.30565719245811</v>
      </c>
      <c r="J20" s="54">
        <v>23.74919115982253</v>
      </c>
      <c r="K20" s="128"/>
      <c r="L20" s="128"/>
      <c r="M20" s="54">
        <v>27.037723986345611</v>
      </c>
      <c r="N20" s="54">
        <v>12.348740394233857</v>
      </c>
      <c r="O20" s="54">
        <v>12.348740394233857</v>
      </c>
      <c r="P20" s="54">
        <v>0</v>
      </c>
      <c r="Q20" s="54">
        <v>0</v>
      </c>
      <c r="R20" s="128"/>
      <c r="S20" s="128"/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128"/>
      <c r="Z20" s="128"/>
      <c r="AA20" s="54">
        <v>0</v>
      </c>
      <c r="AB20" s="54">
        <v>0</v>
      </c>
      <c r="AC20" s="54">
        <v>0</v>
      </c>
      <c r="AD20" s="54">
        <v>0</v>
      </c>
      <c r="AE20" s="54">
        <v>0</v>
      </c>
      <c r="AF20" s="128"/>
      <c r="AG20" s="128"/>
      <c r="AH20" s="54">
        <v>0</v>
      </c>
      <c r="AI20" s="54">
        <v>0</v>
      </c>
      <c r="AJ20" s="54">
        <v>0</v>
      </c>
      <c r="AK20" s="54">
        <v>0</v>
      </c>
      <c r="AL20" s="54">
        <v>0</v>
      </c>
      <c r="AM20" s="128"/>
      <c r="AN20" s="128"/>
      <c r="AO20" s="54">
        <v>0</v>
      </c>
      <c r="AP20" s="54">
        <v>0</v>
      </c>
      <c r="AQ20" s="54">
        <v>0</v>
      </c>
      <c r="AR20" s="54">
        <v>0</v>
      </c>
      <c r="AS20" s="54">
        <v>0</v>
      </c>
      <c r="AT20" s="128"/>
    </row>
    <row r="21" spans="1:48" outlineLevel="1">
      <c r="A21" s="237">
        <v>26</v>
      </c>
      <c r="B21" s="236" t="s">
        <v>78</v>
      </c>
      <c r="C21" s="577" t="s">
        <v>11</v>
      </c>
      <c r="D21" s="577" t="s">
        <v>76</v>
      </c>
      <c r="E21" s="577" t="s">
        <v>78</v>
      </c>
      <c r="F21" s="54">
        <v>73.275012521396476</v>
      </c>
      <c r="G21" s="54">
        <v>62.50172975419013</v>
      </c>
      <c r="H21" s="54">
        <v>62.50172975419013</v>
      </c>
      <c r="I21" s="54">
        <v>62.50172975419013</v>
      </c>
      <c r="J21" s="54">
        <v>10.77328276720635</v>
      </c>
      <c r="K21" s="128"/>
      <c r="L21" s="128"/>
      <c r="M21" s="54">
        <v>7.5045396255589987</v>
      </c>
      <c r="N21" s="54">
        <v>0.44849680149308579</v>
      </c>
      <c r="O21" s="54">
        <v>0.44849680149308579</v>
      </c>
      <c r="P21" s="54">
        <v>0</v>
      </c>
      <c r="Q21" s="54">
        <v>0</v>
      </c>
      <c r="R21" s="128"/>
      <c r="S21" s="128"/>
      <c r="T21" s="54">
        <v>0</v>
      </c>
      <c r="U21" s="54">
        <v>0</v>
      </c>
      <c r="V21" s="54">
        <v>0</v>
      </c>
      <c r="W21" s="54">
        <v>0</v>
      </c>
      <c r="X21" s="54">
        <v>0</v>
      </c>
      <c r="Y21" s="128"/>
      <c r="Z21" s="128"/>
      <c r="AA21" s="54">
        <v>0</v>
      </c>
      <c r="AB21" s="54">
        <v>0</v>
      </c>
      <c r="AC21" s="54">
        <v>0</v>
      </c>
      <c r="AD21" s="54">
        <v>0</v>
      </c>
      <c r="AE21" s="54">
        <v>0</v>
      </c>
      <c r="AF21" s="128"/>
      <c r="AG21" s="128"/>
      <c r="AH21" s="54">
        <v>0</v>
      </c>
      <c r="AI21" s="54">
        <v>0</v>
      </c>
      <c r="AJ21" s="54">
        <v>0</v>
      </c>
      <c r="AK21" s="54">
        <v>0</v>
      </c>
      <c r="AL21" s="54">
        <v>0</v>
      </c>
      <c r="AM21" s="128"/>
      <c r="AN21" s="128"/>
      <c r="AO21" s="54">
        <v>0</v>
      </c>
      <c r="AP21" s="54">
        <v>0</v>
      </c>
      <c r="AQ21" s="54">
        <v>0</v>
      </c>
      <c r="AR21" s="54">
        <v>0</v>
      </c>
      <c r="AS21" s="54">
        <v>0</v>
      </c>
      <c r="AT21" s="128"/>
    </row>
    <row r="22" spans="1:48" outlineLevel="1">
      <c r="A22" s="237">
        <v>26</v>
      </c>
      <c r="B22" s="236" t="s">
        <v>393</v>
      </c>
      <c r="C22" s="577" t="s">
        <v>11</v>
      </c>
      <c r="D22" s="577" t="s">
        <v>76</v>
      </c>
      <c r="E22" s="577" t="s">
        <v>393</v>
      </c>
      <c r="F22" s="54">
        <v>24.8756347107342</v>
      </c>
      <c r="G22" s="54">
        <v>19.8506593837804</v>
      </c>
      <c r="H22" s="54">
        <v>19.8506593837804</v>
      </c>
      <c r="I22" s="54">
        <v>19.8506593837804</v>
      </c>
      <c r="J22" s="54">
        <v>5.0249753269537996</v>
      </c>
      <c r="K22" s="128"/>
      <c r="L22" s="128"/>
      <c r="M22" s="54">
        <v>2.3855846652681052</v>
      </c>
      <c r="N22" s="54">
        <v>0.21095628930106369</v>
      </c>
      <c r="O22" s="54">
        <v>0.21095628930106369</v>
      </c>
      <c r="P22" s="54">
        <v>0</v>
      </c>
      <c r="Q22" s="54">
        <v>0</v>
      </c>
      <c r="R22" s="128"/>
      <c r="S22" s="128"/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128"/>
      <c r="Z22" s="128"/>
      <c r="AA22" s="54">
        <v>0</v>
      </c>
      <c r="AB22" s="54">
        <v>0</v>
      </c>
      <c r="AC22" s="54">
        <v>0</v>
      </c>
      <c r="AD22" s="54">
        <v>0</v>
      </c>
      <c r="AE22" s="54">
        <v>0</v>
      </c>
      <c r="AF22" s="128"/>
      <c r="AG22" s="128"/>
      <c r="AH22" s="54">
        <v>0</v>
      </c>
      <c r="AI22" s="54">
        <v>0</v>
      </c>
      <c r="AJ22" s="54">
        <v>0</v>
      </c>
      <c r="AK22" s="54">
        <v>0</v>
      </c>
      <c r="AL22" s="54">
        <v>0</v>
      </c>
      <c r="AM22" s="128"/>
      <c r="AN22" s="128"/>
      <c r="AO22" s="54">
        <v>0</v>
      </c>
      <c r="AP22" s="54">
        <v>0</v>
      </c>
      <c r="AQ22" s="54">
        <v>0</v>
      </c>
      <c r="AR22" s="54">
        <v>0</v>
      </c>
      <c r="AS22" s="54">
        <v>0</v>
      </c>
      <c r="AT22" s="128"/>
    </row>
    <row r="23" spans="1:48" outlineLevel="1">
      <c r="A23" s="237">
        <v>26</v>
      </c>
      <c r="B23" s="236" t="s">
        <v>80</v>
      </c>
      <c r="C23" s="577" t="s">
        <v>11</v>
      </c>
      <c r="D23" s="577" t="s">
        <v>76</v>
      </c>
      <c r="E23" s="577" t="s">
        <v>80</v>
      </c>
      <c r="F23" s="54">
        <v>-0.40787851255258456</v>
      </c>
      <c r="G23" s="54">
        <v>1.1312630211278899E-2</v>
      </c>
      <c r="H23" s="54">
        <v>1.1312630211278899E-2</v>
      </c>
      <c r="I23" s="54">
        <v>1.1312630211278429E-2</v>
      </c>
      <c r="J23" s="54">
        <v>-0.41919114276386299</v>
      </c>
      <c r="K23" s="128"/>
      <c r="L23" s="128"/>
      <c r="M23" s="54">
        <v>-0.27877292061532111</v>
      </c>
      <c r="N23" s="54">
        <v>2.7374318616247726E-3</v>
      </c>
      <c r="O23" s="54">
        <v>2.7374318616247726E-3</v>
      </c>
      <c r="P23" s="54">
        <v>0</v>
      </c>
      <c r="Q23" s="54">
        <v>0</v>
      </c>
      <c r="R23" s="128"/>
      <c r="S23" s="128"/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128"/>
      <c r="Z23" s="128"/>
      <c r="AA23" s="54">
        <v>0</v>
      </c>
      <c r="AB23" s="54">
        <v>0</v>
      </c>
      <c r="AC23" s="54">
        <v>0</v>
      </c>
      <c r="AD23" s="54">
        <v>0</v>
      </c>
      <c r="AE23" s="54">
        <v>0</v>
      </c>
      <c r="AF23" s="128"/>
      <c r="AG23" s="128"/>
      <c r="AH23" s="54">
        <v>0</v>
      </c>
      <c r="AI23" s="54">
        <v>0</v>
      </c>
      <c r="AJ23" s="54">
        <v>0</v>
      </c>
      <c r="AK23" s="54">
        <v>0</v>
      </c>
      <c r="AL23" s="54">
        <v>0</v>
      </c>
      <c r="AM23" s="128"/>
      <c r="AN23" s="128"/>
      <c r="AO23" s="54">
        <v>0</v>
      </c>
      <c r="AP23" s="54">
        <v>0</v>
      </c>
      <c r="AQ23" s="54">
        <v>0</v>
      </c>
      <c r="AR23" s="54">
        <v>0</v>
      </c>
      <c r="AS23" s="54">
        <v>0</v>
      </c>
      <c r="AT23" s="128"/>
    </row>
    <row r="24" spans="1:48" outlineLevel="1">
      <c r="A24" s="237">
        <v>26</v>
      </c>
      <c r="B24" s="236" t="s">
        <v>104</v>
      </c>
      <c r="C24" s="577" t="s">
        <v>11</v>
      </c>
      <c r="D24" s="577" t="s">
        <v>76</v>
      </c>
      <c r="E24" s="577" t="s">
        <v>79</v>
      </c>
      <c r="F24" s="54">
        <v>25.887224375346818</v>
      </c>
      <c r="G24" s="54">
        <v>19.811486849212301</v>
      </c>
      <c r="H24" s="54">
        <v>19.811486849212301</v>
      </c>
      <c r="I24" s="54">
        <v>19.820570095612297</v>
      </c>
      <c r="J24" s="54">
        <v>6.0666542797345198</v>
      </c>
      <c r="K24" s="128"/>
      <c r="L24" s="128"/>
      <c r="M24" s="54">
        <v>5.6578897237196317</v>
      </c>
      <c r="N24" s="54">
        <v>1.0147992378721129</v>
      </c>
      <c r="O24" s="54">
        <v>1.0147992378721129</v>
      </c>
      <c r="P24" s="54">
        <v>0</v>
      </c>
      <c r="Q24" s="54">
        <v>0</v>
      </c>
      <c r="R24" s="128"/>
      <c r="S24" s="128"/>
      <c r="T24" s="54">
        <v>66.370973769999992</v>
      </c>
      <c r="U24" s="54">
        <v>47.217085239999996</v>
      </c>
      <c r="V24" s="54">
        <v>47.217085239999996</v>
      </c>
      <c r="W24" s="54">
        <v>56.43292237</v>
      </c>
      <c r="X24" s="54">
        <v>9.9380514000000009</v>
      </c>
      <c r="Y24" s="128"/>
      <c r="Z24" s="128"/>
      <c r="AA24" s="54">
        <v>9.0619777500000005</v>
      </c>
      <c r="AB24" s="54">
        <v>3.9544771700000001</v>
      </c>
      <c r="AC24" s="54">
        <v>3.9544771700000001</v>
      </c>
      <c r="AD24" s="54">
        <v>3.9553755499999999</v>
      </c>
      <c r="AE24" s="54">
        <v>5.1066021999999993</v>
      </c>
      <c r="AF24" s="128"/>
      <c r="AG24" s="128"/>
      <c r="AH24" s="54">
        <v>25.240359379999997</v>
      </c>
      <c r="AI24" s="54">
        <v>16.83601415</v>
      </c>
      <c r="AJ24" s="54">
        <v>16.83601415</v>
      </c>
      <c r="AK24" s="54">
        <v>16.55751686</v>
      </c>
      <c r="AL24" s="54">
        <v>8.6828425199999995</v>
      </c>
      <c r="AM24" s="128"/>
      <c r="AN24" s="128"/>
      <c r="AO24" s="54">
        <v>4.6334525500000003</v>
      </c>
      <c r="AP24" s="54">
        <v>0.11402811</v>
      </c>
      <c r="AQ24" s="54">
        <v>0.11402811</v>
      </c>
      <c r="AR24" s="54">
        <v>0.11492649000000001</v>
      </c>
      <c r="AS24" s="54">
        <v>4.5185260600000001</v>
      </c>
      <c r="AT24" s="128"/>
    </row>
    <row r="25" spans="1:48" outlineLevel="1">
      <c r="A25" s="237">
        <v>26</v>
      </c>
      <c r="B25" s="236" t="s">
        <v>105</v>
      </c>
      <c r="C25" s="577" t="s">
        <v>11</v>
      </c>
      <c r="D25" s="577" t="s">
        <v>76</v>
      </c>
      <c r="E25" s="577" t="s">
        <v>81</v>
      </c>
      <c r="F25" s="54">
        <v>122.92069397567431</v>
      </c>
      <c r="G25" s="54">
        <v>105.621893877864</v>
      </c>
      <c r="H25" s="54">
        <v>105.621893877864</v>
      </c>
      <c r="I25" s="54">
        <v>105.5341171250306</v>
      </c>
      <c r="J25" s="54">
        <v>17.386576850643699</v>
      </c>
      <c r="K25" s="128"/>
      <c r="L25" s="128"/>
      <c r="M25" s="54">
        <v>23.840376121928646</v>
      </c>
      <c r="N25" s="54">
        <v>13.152076172571629</v>
      </c>
      <c r="O25" s="54">
        <v>13.152076172571629</v>
      </c>
      <c r="P25" s="54">
        <v>0</v>
      </c>
      <c r="Q25" s="54">
        <v>0</v>
      </c>
      <c r="R25" s="128"/>
      <c r="S25" s="128"/>
      <c r="T25" s="54">
        <v>58.610058240000001</v>
      </c>
      <c r="U25" s="54">
        <v>38.576131699999998</v>
      </c>
      <c r="V25" s="54">
        <v>38.576131699999998</v>
      </c>
      <c r="W25" s="54">
        <v>38.872107940000006</v>
      </c>
      <c r="X25" s="54">
        <v>19.737950299999998</v>
      </c>
      <c r="Y25" s="128"/>
      <c r="Z25" s="128"/>
      <c r="AA25" s="54">
        <v>33.005455629999993</v>
      </c>
      <c r="AB25" s="54">
        <v>21.002307290000001</v>
      </c>
      <c r="AC25" s="54">
        <v>21.002307290000001</v>
      </c>
      <c r="AD25" s="54">
        <v>21.667171420000003</v>
      </c>
      <c r="AE25" s="54">
        <v>11.338284210000001</v>
      </c>
      <c r="AF25" s="128"/>
      <c r="AG25" s="128"/>
      <c r="AH25" s="54">
        <v>103.89702622999999</v>
      </c>
      <c r="AI25" s="54">
        <v>85.58412577</v>
      </c>
      <c r="AJ25" s="54">
        <v>85.58412577</v>
      </c>
      <c r="AK25" s="54">
        <v>86.854152640000009</v>
      </c>
      <c r="AL25" s="54">
        <v>17.042873589999992</v>
      </c>
      <c r="AM25" s="128"/>
      <c r="AN25" s="128"/>
      <c r="AO25" s="54">
        <v>53.040752959999992</v>
      </c>
      <c r="AP25" s="54">
        <v>42.011038020000001</v>
      </c>
      <c r="AQ25" s="54">
        <v>42.011038020000001</v>
      </c>
      <c r="AR25" s="54">
        <v>42.539034530000002</v>
      </c>
      <c r="AS25" s="54">
        <v>10.50171843</v>
      </c>
      <c r="AT25" s="128"/>
    </row>
    <row r="26" spans="1:48">
      <c r="A26" s="237">
        <v>26</v>
      </c>
      <c r="B26" s="236" t="s">
        <v>26</v>
      </c>
      <c r="C26" s="577" t="s">
        <v>11</v>
      </c>
      <c r="D26" s="577" t="s">
        <v>76</v>
      </c>
      <c r="E26" s="577" t="s">
        <v>82</v>
      </c>
      <c r="F26" s="54">
        <v>531.43860411914727</v>
      </c>
      <c r="G26" s="54">
        <v>457.09575001686392</v>
      </c>
      <c r="H26" s="54">
        <v>457.09575001686392</v>
      </c>
      <c r="I26" s="54">
        <v>457.06406582492093</v>
      </c>
      <c r="J26" s="54">
        <v>74.374538294226397</v>
      </c>
      <c r="K26" s="128"/>
      <c r="L26" s="128"/>
      <c r="M26" s="54">
        <v>63.526348913113466</v>
      </c>
      <c r="N26" s="54">
        <v>10.524642249596349</v>
      </c>
      <c r="O26" s="54">
        <v>10.524642249596349</v>
      </c>
      <c r="P26" s="54">
        <v>0</v>
      </c>
      <c r="Q26" s="54">
        <v>0</v>
      </c>
      <c r="R26" s="128"/>
      <c r="S26" s="128"/>
      <c r="T26" s="54">
        <v>375.06251691999995</v>
      </c>
      <c r="U26" s="54">
        <v>278.75565460999997</v>
      </c>
      <c r="V26" s="54">
        <v>278.75565460999997</v>
      </c>
      <c r="W26" s="54">
        <v>290.46625964999998</v>
      </c>
      <c r="X26" s="54">
        <v>84.596257270000024</v>
      </c>
      <c r="Y26" s="128"/>
      <c r="Z26" s="128"/>
      <c r="AA26" s="54">
        <v>73.44336930999998</v>
      </c>
      <c r="AB26" s="54">
        <v>19.318309359999994</v>
      </c>
      <c r="AC26" s="54">
        <v>19.318309359999994</v>
      </c>
      <c r="AD26" s="54">
        <v>19.638910739999993</v>
      </c>
      <c r="AE26" s="54">
        <v>53.804458570000001</v>
      </c>
      <c r="AF26" s="128"/>
      <c r="AG26" s="128"/>
      <c r="AH26" s="54">
        <v>317.50383742000002</v>
      </c>
      <c r="AI26" s="54">
        <v>223.17857108999999</v>
      </c>
      <c r="AJ26" s="54">
        <v>223.17857108999999</v>
      </c>
      <c r="AK26" s="54">
        <v>239.69058931999996</v>
      </c>
      <c r="AL26" s="54">
        <v>77.813248100000052</v>
      </c>
      <c r="AM26" s="128"/>
      <c r="AN26" s="128"/>
      <c r="AO26" s="54">
        <v>75.917822460000096</v>
      </c>
      <c r="AP26" s="54">
        <v>22.987178339999989</v>
      </c>
      <c r="AQ26" s="54">
        <v>22.987178339999989</v>
      </c>
      <c r="AR26" s="54">
        <v>23.046124699999996</v>
      </c>
      <c r="AS26" s="54">
        <v>52.871697760000004</v>
      </c>
      <c r="AT26" s="128"/>
    </row>
    <row r="27" spans="1:48" outlineLevel="1">
      <c r="A27" s="237">
        <v>26</v>
      </c>
      <c r="B27" s="236" t="s">
        <v>235</v>
      </c>
      <c r="C27" s="577" t="s">
        <v>11</v>
      </c>
      <c r="D27" s="577" t="s">
        <v>76</v>
      </c>
      <c r="E27" s="577" t="s">
        <v>83</v>
      </c>
      <c r="F27" s="54">
        <v>107.28944047496952</v>
      </c>
      <c r="G27" s="54">
        <v>91.216897595635302</v>
      </c>
      <c r="H27" s="54">
        <v>91.216897595635302</v>
      </c>
      <c r="I27" s="54">
        <v>91.205730244641131</v>
      </c>
      <c r="J27" s="54">
        <v>16.0837102303284</v>
      </c>
      <c r="K27" s="128"/>
      <c r="L27" s="128"/>
      <c r="M27" s="54">
        <v>16.580062874705657</v>
      </c>
      <c r="N27" s="54">
        <v>4.1213153175556343</v>
      </c>
      <c r="O27" s="54">
        <v>4.1213153175556343</v>
      </c>
      <c r="P27" s="54">
        <v>0</v>
      </c>
      <c r="Q27" s="54">
        <v>0</v>
      </c>
      <c r="R27" s="128"/>
      <c r="S27" s="128"/>
      <c r="T27" s="54">
        <v>148.97510870999997</v>
      </c>
      <c r="U27" s="54">
        <v>121.14438600000001</v>
      </c>
      <c r="V27" s="54">
        <v>121.14438600000001</v>
      </c>
      <c r="W27" s="54">
        <v>131.03304972000001</v>
      </c>
      <c r="X27" s="54">
        <v>17.94205899</v>
      </c>
      <c r="Y27" s="128"/>
      <c r="Z27" s="128"/>
      <c r="AA27" s="54">
        <v>14.681493039999998</v>
      </c>
      <c r="AB27" s="54">
        <v>1.4866308099999999</v>
      </c>
      <c r="AC27" s="54">
        <v>1.4866308099999999</v>
      </c>
      <c r="AD27" s="54">
        <v>1.59314676</v>
      </c>
      <c r="AE27" s="54">
        <v>13.08834628</v>
      </c>
      <c r="AF27" s="128"/>
      <c r="AG27" s="128"/>
      <c r="AH27" s="54">
        <v>70.066957080000009</v>
      </c>
      <c r="AI27" s="54">
        <v>40.30087133</v>
      </c>
      <c r="AJ27" s="54">
        <v>40.30087133</v>
      </c>
      <c r="AK27" s="54">
        <v>51.709002999999996</v>
      </c>
      <c r="AL27" s="54">
        <v>18.357954079999995</v>
      </c>
      <c r="AM27" s="128"/>
      <c r="AN27" s="128"/>
      <c r="AO27" s="54">
        <v>16.661335239999996</v>
      </c>
      <c r="AP27" s="54">
        <v>2.6294312099999999</v>
      </c>
      <c r="AQ27" s="54">
        <v>2.6294312099999999</v>
      </c>
      <c r="AR27" s="54">
        <v>2.6416014099999998</v>
      </c>
      <c r="AS27" s="54">
        <v>14.01973383</v>
      </c>
      <c r="AT27" s="128"/>
    </row>
    <row r="28" spans="1:48" outlineLevel="1">
      <c r="A28" s="237">
        <v>26</v>
      </c>
      <c r="B28" s="236" t="s">
        <v>106</v>
      </c>
      <c r="C28" s="577" t="s">
        <v>11</v>
      </c>
      <c r="D28" s="577" t="s">
        <v>76</v>
      </c>
      <c r="E28" s="577" t="s">
        <v>84</v>
      </c>
      <c r="F28" s="54">
        <v>106.15288875833359</v>
      </c>
      <c r="G28" s="54">
        <v>93.798678394967496</v>
      </c>
      <c r="H28" s="54">
        <v>93.798678394967496</v>
      </c>
      <c r="I28" s="54">
        <v>93.794927697971588</v>
      </c>
      <c r="J28" s="54">
        <v>12.357961060361999</v>
      </c>
      <c r="K28" s="128"/>
      <c r="L28" s="128"/>
      <c r="M28" s="54">
        <v>9.5065862890201629</v>
      </c>
      <c r="N28" s="54">
        <v>0.37086647130084227</v>
      </c>
      <c r="O28" s="54">
        <v>0.37086647130084227</v>
      </c>
      <c r="P28" s="54">
        <v>0</v>
      </c>
      <c r="Q28" s="54">
        <v>0</v>
      </c>
      <c r="R28" s="128"/>
      <c r="S28" s="128"/>
      <c r="T28" s="54">
        <v>42.050025400000003</v>
      </c>
      <c r="U28" s="54">
        <v>29.004795830000003</v>
      </c>
      <c r="V28" s="54">
        <v>29.004795830000003</v>
      </c>
      <c r="W28" s="54">
        <v>29.015328610000001</v>
      </c>
      <c r="X28" s="54">
        <v>13.03469679</v>
      </c>
      <c r="Y28" s="128"/>
      <c r="Z28" s="128"/>
      <c r="AA28" s="54">
        <v>10.388242379999999</v>
      </c>
      <c r="AB28" s="54">
        <v>1.4389337799999999</v>
      </c>
      <c r="AC28" s="54">
        <v>1.4389337799999999</v>
      </c>
      <c r="AD28" s="54">
        <v>1.4710825599999999</v>
      </c>
      <c r="AE28" s="54">
        <v>8.9171598200000002</v>
      </c>
      <c r="AF28" s="128"/>
      <c r="AG28" s="128"/>
      <c r="AH28" s="54">
        <v>60.775725210000004</v>
      </c>
      <c r="AI28" s="54">
        <v>48.405306319999994</v>
      </c>
      <c r="AJ28" s="54">
        <v>48.405306319999994</v>
      </c>
      <c r="AK28" s="54">
        <v>48.458691649999999</v>
      </c>
      <c r="AL28" s="54">
        <v>12.31703356</v>
      </c>
      <c r="AM28" s="128"/>
      <c r="AN28" s="128"/>
      <c r="AO28" s="54">
        <v>10.94835683</v>
      </c>
      <c r="AP28" s="54">
        <v>1.6527331199999999</v>
      </c>
      <c r="AQ28" s="54">
        <v>1.6527331199999999</v>
      </c>
      <c r="AR28" s="54">
        <v>1.7093236199999997</v>
      </c>
      <c r="AS28" s="54">
        <v>9.2390332100000006</v>
      </c>
      <c r="AT28" s="128"/>
    </row>
    <row r="29" spans="1:48" outlineLevel="1">
      <c r="A29" s="237">
        <v>26</v>
      </c>
      <c r="B29" s="236" t="s">
        <v>87</v>
      </c>
      <c r="C29" s="577" t="s">
        <v>11</v>
      </c>
      <c r="D29" s="577" t="s">
        <v>76</v>
      </c>
      <c r="E29" s="577" t="s">
        <v>87</v>
      </c>
      <c r="F29" s="54">
        <v>78.034503256130108</v>
      </c>
      <c r="G29" s="54">
        <v>68.177592335928793</v>
      </c>
      <c r="H29" s="54">
        <v>68.177592335928793</v>
      </c>
      <c r="I29" s="54">
        <v>68.175506319220233</v>
      </c>
      <c r="J29" s="54">
        <v>9.8589969369098807</v>
      </c>
      <c r="K29" s="128"/>
      <c r="L29" s="128"/>
      <c r="M29" s="54">
        <v>7.9458131348523198</v>
      </c>
      <c r="N29" s="54">
        <v>2.0723462038811782</v>
      </c>
      <c r="O29" s="54">
        <v>2.0723462038811782</v>
      </c>
      <c r="P29" s="54">
        <v>0</v>
      </c>
      <c r="Q29" s="54">
        <v>0</v>
      </c>
      <c r="R29" s="128"/>
      <c r="S29" s="128"/>
      <c r="T29" s="54">
        <v>43.725610100000004</v>
      </c>
      <c r="U29" s="54">
        <v>33.026773259999999</v>
      </c>
      <c r="V29" s="54">
        <v>33.026773259999999</v>
      </c>
      <c r="W29" s="54">
        <v>33.29380596</v>
      </c>
      <c r="X29" s="54">
        <v>10.431804140000001</v>
      </c>
      <c r="Y29" s="128"/>
      <c r="Z29" s="128"/>
      <c r="AA29" s="54">
        <v>12.444972799999997</v>
      </c>
      <c r="AB29" s="54">
        <v>4.8369761400000009</v>
      </c>
      <c r="AC29" s="54">
        <v>4.8369761400000009</v>
      </c>
      <c r="AD29" s="54">
        <v>4.8369761400000009</v>
      </c>
      <c r="AE29" s="54">
        <v>7.6079966599999995</v>
      </c>
      <c r="AF29" s="128"/>
      <c r="AG29" s="128"/>
      <c r="AH29" s="54">
        <v>42.691634229999998</v>
      </c>
      <c r="AI29" s="54">
        <v>31.795591830000003</v>
      </c>
      <c r="AJ29" s="54">
        <v>31.795591830000003</v>
      </c>
      <c r="AK29" s="54">
        <v>31.894807029999999</v>
      </c>
      <c r="AL29" s="54">
        <v>10.796827199999999</v>
      </c>
      <c r="AM29" s="128"/>
      <c r="AN29" s="128"/>
      <c r="AO29" s="54">
        <v>6.7564559600000003</v>
      </c>
      <c r="AP29" s="54">
        <v>0.16521273</v>
      </c>
      <c r="AQ29" s="54">
        <v>0.16521273</v>
      </c>
      <c r="AR29" s="54">
        <v>0.16521273</v>
      </c>
      <c r="AS29" s="54">
        <v>6.5912432299999999</v>
      </c>
      <c r="AT29" s="128"/>
    </row>
    <row r="30" spans="1:48" outlineLevel="1">
      <c r="A30" s="237">
        <v>26</v>
      </c>
      <c r="B30" s="236" t="s">
        <v>107</v>
      </c>
      <c r="C30" s="577" t="s">
        <v>11</v>
      </c>
      <c r="D30" s="577" t="s">
        <v>76</v>
      </c>
      <c r="E30" s="577" t="s">
        <v>86</v>
      </c>
      <c r="F30" s="54">
        <v>67.267898006274379</v>
      </c>
      <c r="G30" s="54">
        <v>60.962307207120404</v>
      </c>
      <c r="H30" s="54">
        <v>60.962307207120404</v>
      </c>
      <c r="I30" s="54">
        <v>60.952776880709322</v>
      </c>
      <c r="J30" s="54">
        <v>6.3151211255650601</v>
      </c>
      <c r="K30" s="128"/>
      <c r="L30" s="128"/>
      <c r="M30" s="54">
        <v>5.3074489719567941</v>
      </c>
      <c r="N30" s="54">
        <v>0.56308681765765023</v>
      </c>
      <c r="O30" s="54">
        <v>0.56308681765765023</v>
      </c>
      <c r="P30" s="54">
        <v>0</v>
      </c>
      <c r="Q30" s="54">
        <v>0</v>
      </c>
      <c r="R30" s="128"/>
      <c r="S30" s="128"/>
      <c r="T30" s="54">
        <v>28.001003150000006</v>
      </c>
      <c r="U30" s="54">
        <v>19.426985200000004</v>
      </c>
      <c r="V30" s="54">
        <v>19.426985200000004</v>
      </c>
      <c r="W30" s="54">
        <v>19.451462390000003</v>
      </c>
      <c r="X30" s="54">
        <v>8.5495407600000011</v>
      </c>
      <c r="Y30" s="128"/>
      <c r="Z30" s="128"/>
      <c r="AA30" s="54">
        <v>4.9325018399999996</v>
      </c>
      <c r="AB30" s="54">
        <v>8.779679E-2</v>
      </c>
      <c r="AC30" s="54">
        <v>8.779679E-2</v>
      </c>
      <c r="AD30" s="54">
        <v>0.10076623</v>
      </c>
      <c r="AE30" s="54">
        <v>4.8317356099999991</v>
      </c>
      <c r="AF30" s="128"/>
      <c r="AG30" s="128"/>
      <c r="AH30" s="54">
        <v>15.675421400000003</v>
      </c>
      <c r="AI30" s="54">
        <v>8.6166213500000008</v>
      </c>
      <c r="AJ30" s="54">
        <v>8.6166213500000008</v>
      </c>
      <c r="AK30" s="54">
        <v>8.6456927300000004</v>
      </c>
      <c r="AL30" s="54">
        <v>7.0297286699999999</v>
      </c>
      <c r="AM30" s="128"/>
      <c r="AN30" s="128"/>
      <c r="AO30" s="54">
        <v>9.8125022400000006</v>
      </c>
      <c r="AP30" s="54">
        <v>5.0976362199999992</v>
      </c>
      <c r="AQ30" s="54">
        <v>5.0976362199999992</v>
      </c>
      <c r="AR30" s="54">
        <v>5.0976362199999992</v>
      </c>
      <c r="AS30" s="54">
        <v>4.7148660200000005</v>
      </c>
      <c r="AT30" s="128"/>
    </row>
    <row r="31" spans="1:48" outlineLevel="1">
      <c r="A31" s="237">
        <v>26</v>
      </c>
      <c r="B31" s="236" t="s">
        <v>236</v>
      </c>
      <c r="C31" s="577" t="s">
        <v>11</v>
      </c>
      <c r="D31" s="577" t="s">
        <v>76</v>
      </c>
      <c r="E31" s="577" t="s">
        <v>88</v>
      </c>
      <c r="F31" s="54">
        <v>34.302743203725839</v>
      </c>
      <c r="G31" s="54">
        <v>25.579059162129699</v>
      </c>
      <c r="H31" s="54">
        <v>25.579059162129699</v>
      </c>
      <c r="I31" s="54">
        <v>25.55926894453771</v>
      </c>
      <c r="J31" s="54">
        <v>8.7434742591881296</v>
      </c>
      <c r="K31" s="128"/>
      <c r="L31" s="128"/>
      <c r="M31" s="54">
        <v>7.8982084500067407</v>
      </c>
      <c r="N31" s="54">
        <v>1.0892366341356485</v>
      </c>
      <c r="O31" s="54">
        <v>1.0892366341356485</v>
      </c>
      <c r="P31" s="54">
        <v>0</v>
      </c>
      <c r="Q31" s="54">
        <v>0</v>
      </c>
      <c r="R31" s="128"/>
      <c r="S31" s="128"/>
      <c r="T31" s="54">
        <v>32.80565782</v>
      </c>
      <c r="U31" s="54">
        <v>22.278777769999998</v>
      </c>
      <c r="V31" s="54">
        <v>22.278777769999998</v>
      </c>
      <c r="W31" s="54">
        <v>22.484795399999999</v>
      </c>
      <c r="X31" s="54">
        <v>10.320862420000001</v>
      </c>
      <c r="Y31" s="128"/>
      <c r="Z31" s="128"/>
      <c r="AA31" s="54">
        <v>7.6878269900000014</v>
      </c>
      <c r="AB31" s="54">
        <v>1.7065855900000002</v>
      </c>
      <c r="AC31" s="54">
        <v>1.7065855900000002</v>
      </c>
      <c r="AD31" s="54">
        <v>1.7065855900000002</v>
      </c>
      <c r="AE31" s="54">
        <v>5.9812413999999992</v>
      </c>
      <c r="AF31" s="128"/>
      <c r="AG31" s="128"/>
      <c r="AH31" s="54">
        <v>23.277313240000002</v>
      </c>
      <c r="AI31" s="54">
        <v>14.69620523</v>
      </c>
      <c r="AJ31" s="54">
        <v>14.69620523</v>
      </c>
      <c r="AK31" s="54">
        <v>14.708772189999999</v>
      </c>
      <c r="AL31" s="54">
        <v>8.5685410500000021</v>
      </c>
      <c r="AM31" s="128"/>
      <c r="AN31" s="128"/>
      <c r="AO31" s="54">
        <v>5.8702597200000008</v>
      </c>
      <c r="AP31" s="54">
        <v>8.2109510000000011E-2</v>
      </c>
      <c r="AQ31" s="54">
        <v>8.2109510000000011E-2</v>
      </c>
      <c r="AR31" s="54">
        <v>7.2047829999999993E-2</v>
      </c>
      <c r="AS31" s="54">
        <v>5.7982118900000001</v>
      </c>
      <c r="AT31" s="128"/>
    </row>
    <row r="32" spans="1:48" outlineLevel="1">
      <c r="A32" s="237">
        <v>26</v>
      </c>
      <c r="B32" s="236" t="s">
        <v>237</v>
      </c>
      <c r="C32" s="577" t="s">
        <v>11</v>
      </c>
      <c r="D32" s="577" t="s">
        <v>76</v>
      </c>
      <c r="E32" s="577" t="s">
        <v>198</v>
      </c>
      <c r="F32" s="54">
        <v>64.205524603590547</v>
      </c>
      <c r="G32" s="54">
        <v>49.114134001531298</v>
      </c>
      <c r="H32" s="54">
        <v>49.114134001531298</v>
      </c>
      <c r="I32" s="54">
        <v>49.128895099603149</v>
      </c>
      <c r="J32" s="54">
        <v>15.0766295039874</v>
      </c>
      <c r="K32" s="128"/>
      <c r="L32" s="128"/>
      <c r="M32" s="54">
        <v>11.247139719534323</v>
      </c>
      <c r="N32" s="54">
        <v>1.2297222641740782</v>
      </c>
      <c r="O32" s="54">
        <v>1.2297222641740782</v>
      </c>
      <c r="P32" s="54">
        <v>0</v>
      </c>
      <c r="Q32" s="54">
        <v>0</v>
      </c>
      <c r="R32" s="128"/>
      <c r="S32" s="128"/>
      <c r="T32" s="54">
        <v>48.008004979999995</v>
      </c>
      <c r="U32" s="54">
        <v>31.772579529999998</v>
      </c>
      <c r="V32" s="54">
        <v>31.772579529999998</v>
      </c>
      <c r="W32" s="54">
        <v>32.118082380000004</v>
      </c>
      <c r="X32" s="54">
        <v>15.889922599999998</v>
      </c>
      <c r="Y32" s="128"/>
      <c r="Z32" s="128"/>
      <c r="AA32" s="54">
        <v>18.787947399999997</v>
      </c>
      <c r="AB32" s="54">
        <v>8.7605785900000015</v>
      </c>
      <c r="AC32" s="54">
        <v>8.7605785900000015</v>
      </c>
      <c r="AD32" s="54">
        <v>8.9295457999999996</v>
      </c>
      <c r="AE32" s="54">
        <v>9.8584016000000005</v>
      </c>
      <c r="AF32" s="128"/>
      <c r="AG32" s="128"/>
      <c r="AH32" s="54">
        <v>73.15534597999995</v>
      </c>
      <c r="AI32" s="54">
        <v>54.521785710000003</v>
      </c>
      <c r="AJ32" s="54">
        <v>54.521785710000003</v>
      </c>
      <c r="AK32" s="54">
        <v>59.305957930000012</v>
      </c>
      <c r="AL32" s="54">
        <v>13.84938805</v>
      </c>
      <c r="AM32" s="128"/>
      <c r="AN32" s="128"/>
      <c r="AO32" s="54">
        <v>8.8781069999999982</v>
      </c>
      <c r="AP32" s="54">
        <v>-1.6667490000000663E-2</v>
      </c>
      <c r="AQ32" s="54">
        <v>-1.6667490000000663E-2</v>
      </c>
      <c r="AR32" s="54">
        <v>-1.6420150000000178E-2</v>
      </c>
      <c r="AS32" s="54">
        <v>8.89452715</v>
      </c>
      <c r="AT32" s="128"/>
    </row>
    <row r="33" spans="1:50" outlineLevel="1">
      <c r="A33" s="237">
        <v>26</v>
      </c>
      <c r="B33" s="236" t="s">
        <v>163</v>
      </c>
      <c r="C33" s="577" t="s">
        <v>11</v>
      </c>
      <c r="D33" s="577" t="s">
        <v>76</v>
      </c>
      <c r="E33" s="577" t="s">
        <v>89</v>
      </c>
      <c r="F33" s="54">
        <v>74.185651160252959</v>
      </c>
      <c r="G33" s="54">
        <v>68.2470813195511</v>
      </c>
      <c r="H33" s="54">
        <v>68.2470813195511</v>
      </c>
      <c r="I33" s="54">
        <v>68.246960638237908</v>
      </c>
      <c r="J33" s="54">
        <v>5.9386905220150501</v>
      </c>
      <c r="K33" s="128"/>
      <c r="L33" s="128"/>
      <c r="M33" s="54">
        <v>5.0410755107899128</v>
      </c>
      <c r="N33" s="54">
        <v>1.0780685408913198</v>
      </c>
      <c r="O33" s="54">
        <v>1.0780685408913198</v>
      </c>
      <c r="P33" s="54">
        <v>0</v>
      </c>
      <c r="Q33" s="54">
        <v>0</v>
      </c>
      <c r="R33" s="128"/>
      <c r="S33" s="128"/>
      <c r="T33" s="54">
        <v>29.873438759999999</v>
      </c>
      <c r="U33" s="54">
        <v>22.101357019999998</v>
      </c>
      <c r="V33" s="54">
        <v>22.101357019999998</v>
      </c>
      <c r="W33" s="54">
        <v>23.069735189999996</v>
      </c>
      <c r="X33" s="54">
        <v>6.8037035699999988</v>
      </c>
      <c r="Y33" s="128"/>
      <c r="Z33" s="128"/>
      <c r="AA33" s="54">
        <v>4.5203848600000018</v>
      </c>
      <c r="AB33" s="54">
        <v>1.00080766</v>
      </c>
      <c r="AC33" s="54">
        <v>1.00080766</v>
      </c>
      <c r="AD33" s="54">
        <v>1.00080766</v>
      </c>
      <c r="AE33" s="54">
        <v>3.519577200000001</v>
      </c>
      <c r="AF33" s="128"/>
      <c r="AG33" s="128"/>
      <c r="AH33" s="54">
        <v>31.82059228000001</v>
      </c>
      <c r="AI33" s="54">
        <v>24.842189320000003</v>
      </c>
      <c r="AJ33" s="54">
        <v>24.842189320000003</v>
      </c>
      <c r="AK33" s="54">
        <v>24.967664790000004</v>
      </c>
      <c r="AL33" s="54">
        <v>6.8529274899999999</v>
      </c>
      <c r="AM33" s="128"/>
      <c r="AN33" s="128"/>
      <c r="AO33" s="54">
        <v>16.990805470000005</v>
      </c>
      <c r="AP33" s="54">
        <v>13.376723040000002</v>
      </c>
      <c r="AQ33" s="54">
        <v>13.376723040000002</v>
      </c>
      <c r="AR33" s="54">
        <v>13.376723040000002</v>
      </c>
      <c r="AS33" s="54">
        <v>3.6140824299999998</v>
      </c>
      <c r="AT33" s="128"/>
    </row>
    <row r="34" spans="1:50" outlineLevel="1">
      <c r="A34" s="237">
        <v>26</v>
      </c>
      <c r="B34" s="236" t="s">
        <v>404</v>
      </c>
      <c r="C34" s="577" t="s">
        <v>11</v>
      </c>
      <c r="D34" s="577" t="s">
        <v>76</v>
      </c>
      <c r="E34" s="577" t="s">
        <v>395</v>
      </c>
      <c r="F34" s="54">
        <v>0</v>
      </c>
      <c r="G34" s="54">
        <v>0</v>
      </c>
      <c r="H34" s="54">
        <v>0</v>
      </c>
      <c r="I34" s="54">
        <v>0</v>
      </c>
      <c r="J34" s="54">
        <v>0</v>
      </c>
      <c r="K34" s="128"/>
      <c r="L34" s="128"/>
      <c r="M34" s="54">
        <v>0</v>
      </c>
      <c r="N34" s="54">
        <v>0</v>
      </c>
      <c r="O34" s="54">
        <v>0</v>
      </c>
      <c r="P34" s="54">
        <v>0</v>
      </c>
      <c r="Q34" s="54">
        <v>0</v>
      </c>
      <c r="R34" s="128"/>
      <c r="S34" s="128"/>
      <c r="T34" s="54">
        <v>1.6236680000000001</v>
      </c>
      <c r="U34" s="54">
        <v>0</v>
      </c>
      <c r="V34" s="54">
        <v>0</v>
      </c>
      <c r="W34" s="54">
        <v>0</v>
      </c>
      <c r="X34" s="54">
        <v>1.6236680000000001</v>
      </c>
      <c r="Y34" s="128"/>
      <c r="Z34" s="128"/>
      <c r="AA34" s="54">
        <v>0</v>
      </c>
      <c r="AB34" s="54">
        <v>0</v>
      </c>
      <c r="AC34" s="54">
        <v>0</v>
      </c>
      <c r="AD34" s="54">
        <v>0</v>
      </c>
      <c r="AE34" s="54">
        <v>0</v>
      </c>
      <c r="AF34" s="128"/>
      <c r="AG34" s="128"/>
      <c r="AH34" s="54">
        <v>4.0848000000000051E-2</v>
      </c>
      <c r="AI34" s="54">
        <v>0</v>
      </c>
      <c r="AJ34" s="54">
        <v>0</v>
      </c>
      <c r="AK34" s="54">
        <v>0</v>
      </c>
      <c r="AL34" s="54">
        <v>4.0848000000000051E-2</v>
      </c>
      <c r="AM34" s="128"/>
      <c r="AN34" s="128"/>
      <c r="AO34" s="54">
        <v>0</v>
      </c>
      <c r="AP34" s="54">
        <v>0</v>
      </c>
      <c r="AQ34" s="54">
        <v>0</v>
      </c>
      <c r="AR34" s="54">
        <v>0</v>
      </c>
      <c r="AS34" s="54">
        <v>0</v>
      </c>
      <c r="AT34" s="128"/>
    </row>
    <row r="35" spans="1:50">
      <c r="A35" s="237">
        <v>26</v>
      </c>
      <c r="B35" s="236" t="s">
        <v>59</v>
      </c>
      <c r="C35" s="577" t="s">
        <v>11</v>
      </c>
      <c r="D35" s="577" t="s">
        <v>76</v>
      </c>
      <c r="E35" s="577" t="s">
        <v>90</v>
      </c>
      <c r="F35" s="54">
        <v>109.75344069943235</v>
      </c>
      <c r="G35" s="54">
        <v>78.851256815017507</v>
      </c>
      <c r="H35" s="54">
        <v>78.851256815017507</v>
      </c>
      <c r="I35" s="54">
        <v>78.858038535942939</v>
      </c>
      <c r="J35" s="54">
        <v>30.8954021634894</v>
      </c>
      <c r="K35" s="128"/>
      <c r="L35" s="128"/>
      <c r="M35" s="54">
        <v>18.644687921104534</v>
      </c>
      <c r="N35" s="54">
        <v>2.6732699830054107</v>
      </c>
      <c r="O35" s="54">
        <v>2.6732699830054107</v>
      </c>
      <c r="P35" s="54">
        <v>0</v>
      </c>
      <c r="Q35" s="54">
        <v>0</v>
      </c>
      <c r="R35" s="128"/>
      <c r="S35" s="128"/>
      <c r="T35" s="54">
        <v>104.64177228000001</v>
      </c>
      <c r="U35" s="54">
        <v>74.699717140000004</v>
      </c>
      <c r="V35" s="54">
        <v>74.699717140000004</v>
      </c>
      <c r="W35" s="54">
        <v>82.029818149999997</v>
      </c>
      <c r="X35" s="54">
        <v>22.611954130000001</v>
      </c>
      <c r="Y35" s="128"/>
      <c r="Z35" s="128"/>
      <c r="AA35" s="54">
        <v>26.770210280000008</v>
      </c>
      <c r="AB35" s="54">
        <v>8.1939509299999997</v>
      </c>
      <c r="AC35" s="54">
        <v>8.1939509299999997</v>
      </c>
      <c r="AD35" s="54">
        <v>8.8044958899999983</v>
      </c>
      <c r="AE35" s="54">
        <v>17.965714390000002</v>
      </c>
      <c r="AF35" s="128"/>
      <c r="AG35" s="128"/>
      <c r="AH35" s="54">
        <v>78.240183409999986</v>
      </c>
      <c r="AI35" s="54">
        <v>51.075580550000005</v>
      </c>
      <c r="AJ35" s="54">
        <v>51.075580550000005</v>
      </c>
      <c r="AK35" s="54">
        <v>51.355306590000005</v>
      </c>
      <c r="AL35" s="54">
        <v>26.884876820000006</v>
      </c>
      <c r="AM35" s="128"/>
      <c r="AN35" s="128"/>
      <c r="AO35" s="54">
        <v>16.404455690000002</v>
      </c>
      <c r="AP35" s="54">
        <v>2.0236193299999998</v>
      </c>
      <c r="AQ35" s="54">
        <v>2.0236193299999998</v>
      </c>
      <c r="AR35" s="54">
        <v>2.0831927399999999</v>
      </c>
      <c r="AS35" s="54">
        <v>14.321262950000003</v>
      </c>
      <c r="AT35" s="128"/>
    </row>
    <row r="36" spans="1:50">
      <c r="A36" s="237">
        <v>26</v>
      </c>
      <c r="B36" s="236" t="s">
        <v>34</v>
      </c>
      <c r="C36" s="577" t="s">
        <v>11</v>
      </c>
      <c r="D36" s="577" t="s">
        <v>76</v>
      </c>
      <c r="E36" s="577" t="s">
        <v>91</v>
      </c>
      <c r="F36" s="54">
        <v>112.23024927060005</v>
      </c>
      <c r="G36" s="54">
        <v>99.597371597822004</v>
      </c>
      <c r="H36" s="54">
        <v>99.597371597822004</v>
      </c>
      <c r="I36" s="54">
        <v>99.60648122849598</v>
      </c>
      <c r="J36" s="54">
        <v>12.6237680421041</v>
      </c>
      <c r="K36" s="128"/>
      <c r="L36" s="128"/>
      <c r="M36" s="54">
        <v>17.641579156238944</v>
      </c>
      <c r="N36" s="54">
        <v>11.246271080111081</v>
      </c>
      <c r="O36" s="54">
        <v>11.246271080111081</v>
      </c>
      <c r="P36" s="54">
        <v>0</v>
      </c>
      <c r="Q36" s="54">
        <v>0</v>
      </c>
      <c r="R36" s="128"/>
      <c r="S36" s="128"/>
      <c r="T36" s="54">
        <v>115.32506685000001</v>
      </c>
      <c r="U36" s="54">
        <v>89.505374920000008</v>
      </c>
      <c r="V36" s="54">
        <v>89.505374920000008</v>
      </c>
      <c r="W36" s="54">
        <v>98.779733649999997</v>
      </c>
      <c r="X36" s="54">
        <v>16.545333199999998</v>
      </c>
      <c r="Y36" s="128"/>
      <c r="Z36" s="128"/>
      <c r="AA36" s="54">
        <v>-1.7058764100000026</v>
      </c>
      <c r="AB36" s="54">
        <v>-10.324604610000003</v>
      </c>
      <c r="AC36" s="54">
        <v>-10.324604610000003</v>
      </c>
      <c r="AD36" s="54">
        <v>-10.432137370000005</v>
      </c>
      <c r="AE36" s="54">
        <v>8.7262609599999958</v>
      </c>
      <c r="AF36" s="128"/>
      <c r="AG36" s="128"/>
      <c r="AH36" s="54">
        <v>164.37996665000009</v>
      </c>
      <c r="AI36" s="54">
        <v>137.08930454999998</v>
      </c>
      <c r="AJ36" s="54">
        <v>137.08930454999998</v>
      </c>
      <c r="AK36" s="54">
        <v>149.94313613</v>
      </c>
      <c r="AL36" s="54">
        <v>14.436830519999994</v>
      </c>
      <c r="AM36" s="128"/>
      <c r="AN36" s="128"/>
      <c r="AO36" s="54">
        <v>11.407150379999999</v>
      </c>
      <c r="AP36" s="54">
        <v>1.2063483700000002</v>
      </c>
      <c r="AQ36" s="54">
        <v>1.2063483700000002</v>
      </c>
      <c r="AR36" s="54">
        <v>1.4049177800000003</v>
      </c>
      <c r="AS36" s="54">
        <v>10.002232599999999</v>
      </c>
      <c r="AT36" s="128"/>
    </row>
    <row r="37" spans="1:50" outlineLevel="1">
      <c r="A37" s="237">
        <v>26</v>
      </c>
      <c r="B37" s="236" t="s">
        <v>399</v>
      </c>
      <c r="C37" s="577" t="s">
        <v>11</v>
      </c>
      <c r="D37" s="577" t="s">
        <v>76</v>
      </c>
      <c r="E37" s="577" t="s">
        <v>407</v>
      </c>
      <c r="F37" s="54">
        <v>39.424848706521217</v>
      </c>
      <c r="G37" s="54">
        <v>35.695532061938103</v>
      </c>
      <c r="H37" s="54">
        <v>35.695532061938103</v>
      </c>
      <c r="I37" s="54">
        <v>35.69553206193811</v>
      </c>
      <c r="J37" s="54">
        <v>3.7293166445831099</v>
      </c>
      <c r="K37" s="128"/>
      <c r="L37" s="128"/>
      <c r="M37" s="54">
        <v>5.8682493093390224</v>
      </c>
      <c r="N37" s="54">
        <v>4.0306448200098011</v>
      </c>
      <c r="O37" s="54">
        <v>4.0306448200098011</v>
      </c>
      <c r="P37" s="54">
        <v>0</v>
      </c>
      <c r="Q37" s="54">
        <v>0</v>
      </c>
      <c r="R37" s="128"/>
      <c r="S37" s="128"/>
      <c r="T37" s="54">
        <v>17.422763830000001</v>
      </c>
      <c r="U37" s="54">
        <v>11.275630270000001</v>
      </c>
      <c r="V37" s="54">
        <v>11.275630270000001</v>
      </c>
      <c r="W37" s="54">
        <v>12.267714719999999</v>
      </c>
      <c r="X37" s="54">
        <v>5.1550491100000002</v>
      </c>
      <c r="Y37" s="128"/>
      <c r="Z37" s="128"/>
      <c r="AA37" s="54">
        <v>7.004020689999999</v>
      </c>
      <c r="AB37" s="54">
        <v>4.5751622699999999</v>
      </c>
      <c r="AC37" s="54">
        <v>4.5751622699999999</v>
      </c>
      <c r="AD37" s="54">
        <v>4.5919596200000008</v>
      </c>
      <c r="AE37" s="54">
        <v>2.4120610700000005</v>
      </c>
      <c r="AF37" s="128"/>
      <c r="AG37" s="128"/>
      <c r="AH37" s="54">
        <v>58.150626679999988</v>
      </c>
      <c r="AI37" s="54">
        <v>51.882774350000005</v>
      </c>
      <c r="AJ37" s="54">
        <v>51.882774350000005</v>
      </c>
      <c r="AK37" s="54">
        <v>54.086269600000001</v>
      </c>
      <c r="AL37" s="54">
        <v>4.0643570799999988</v>
      </c>
      <c r="AM37" s="128"/>
      <c r="AN37" s="128"/>
      <c r="AO37" s="54">
        <v>3.5227622499999991</v>
      </c>
      <c r="AP37" s="54">
        <v>0.63258744999999994</v>
      </c>
      <c r="AQ37" s="54">
        <v>0.63258744999999994</v>
      </c>
      <c r="AR37" s="54">
        <v>0.81693088000000003</v>
      </c>
      <c r="AS37" s="54">
        <v>2.7058313699999994</v>
      </c>
      <c r="AT37" s="128"/>
    </row>
    <row r="38" spans="1:50" outlineLevel="1">
      <c r="A38" s="237">
        <v>26</v>
      </c>
      <c r="B38" s="236" t="s">
        <v>400</v>
      </c>
      <c r="C38" s="577" t="s">
        <v>11</v>
      </c>
      <c r="D38" s="577" t="s">
        <v>76</v>
      </c>
      <c r="E38" s="577" t="s">
        <v>1179</v>
      </c>
      <c r="F38" s="54">
        <v>35.712806276012863</v>
      </c>
      <c r="G38" s="54">
        <v>31.279432750801401</v>
      </c>
      <c r="H38" s="54">
        <v>31.279432750801401</v>
      </c>
      <c r="I38" s="54">
        <v>31.288542381475413</v>
      </c>
      <c r="J38" s="54">
        <v>4.4242638945374502</v>
      </c>
      <c r="K38" s="128"/>
      <c r="L38" s="128"/>
      <c r="M38" s="54">
        <v>5.4426202656652425</v>
      </c>
      <c r="N38" s="54">
        <v>3.5319905967810552</v>
      </c>
      <c r="O38" s="54">
        <v>3.5319905967810552</v>
      </c>
      <c r="P38" s="54">
        <v>0</v>
      </c>
      <c r="Q38" s="54">
        <v>0</v>
      </c>
      <c r="R38" s="128"/>
      <c r="S38" s="128"/>
      <c r="T38" s="54">
        <v>30.650771199999994</v>
      </c>
      <c r="U38" s="54">
        <v>24.064482699999996</v>
      </c>
      <c r="V38" s="54">
        <v>24.064482699999996</v>
      </c>
      <c r="W38" s="54">
        <v>26.666613219999995</v>
      </c>
      <c r="X38" s="54">
        <v>3.9841579799999995</v>
      </c>
      <c r="Y38" s="128"/>
      <c r="Z38" s="128"/>
      <c r="AA38" s="54">
        <v>2.1418215700000003</v>
      </c>
      <c r="AB38" s="54">
        <v>0.26093568</v>
      </c>
      <c r="AC38" s="54">
        <v>0.26093568</v>
      </c>
      <c r="AD38" s="54">
        <v>0.26093568</v>
      </c>
      <c r="AE38" s="54">
        <v>1.8808858900000001</v>
      </c>
      <c r="AF38" s="128"/>
      <c r="AG38" s="128"/>
      <c r="AH38" s="54">
        <v>28.020505889999999</v>
      </c>
      <c r="AI38" s="54">
        <v>20.560838840000002</v>
      </c>
      <c r="AJ38" s="54">
        <v>20.560838840000002</v>
      </c>
      <c r="AK38" s="54">
        <v>24.959998650000003</v>
      </c>
      <c r="AL38" s="54">
        <v>3.0605072399999997</v>
      </c>
      <c r="AM38" s="128"/>
      <c r="AN38" s="128"/>
      <c r="AO38" s="54">
        <v>2.2278260899999998</v>
      </c>
      <c r="AP38" s="54">
        <v>-3.8055400000000001E-3</v>
      </c>
      <c r="AQ38" s="54">
        <v>-3.8055400000000001E-3</v>
      </c>
      <c r="AR38" s="54">
        <v>1.06818E-2</v>
      </c>
      <c r="AS38" s="54">
        <v>2.2171442899999998</v>
      </c>
      <c r="AT38" s="128"/>
    </row>
    <row r="39" spans="1:50" outlineLevel="1">
      <c r="A39" s="237">
        <v>26</v>
      </c>
      <c r="B39" s="236" t="s">
        <v>401</v>
      </c>
      <c r="C39" s="577" t="s">
        <v>11</v>
      </c>
      <c r="D39" s="577" t="s">
        <v>76</v>
      </c>
      <c r="E39" s="577" t="s">
        <v>408</v>
      </c>
      <c r="F39" s="54">
        <v>2.7695171329358863</v>
      </c>
      <c r="G39" s="54">
        <v>2.6003367727239701</v>
      </c>
      <c r="H39" s="54">
        <v>2.6003367727239701</v>
      </c>
      <c r="I39" s="54">
        <v>2.6003367727239701</v>
      </c>
      <c r="J39" s="54">
        <v>0.16918036021191599</v>
      </c>
      <c r="K39" s="128"/>
      <c r="L39" s="128"/>
      <c r="M39" s="54">
        <v>0.3903136398815093</v>
      </c>
      <c r="N39" s="54">
        <v>0.29362313258349576</v>
      </c>
      <c r="O39" s="54">
        <v>0.29362313258349576</v>
      </c>
      <c r="P39" s="54">
        <v>0</v>
      </c>
      <c r="Q39" s="54">
        <v>0</v>
      </c>
      <c r="R39" s="128"/>
      <c r="S39" s="128"/>
      <c r="T39" s="54">
        <v>30.61277917</v>
      </c>
      <c r="U39" s="54">
        <v>28.48373509</v>
      </c>
      <c r="V39" s="54">
        <v>28.48373509</v>
      </c>
      <c r="W39" s="54">
        <v>30.269196999999998</v>
      </c>
      <c r="X39" s="54">
        <v>0.34358217000000002</v>
      </c>
      <c r="Y39" s="128"/>
      <c r="Z39" s="128"/>
      <c r="AA39" s="54">
        <v>0.15063275000000001</v>
      </c>
      <c r="AB39" s="54">
        <v>0</v>
      </c>
      <c r="AC39" s="54">
        <v>0</v>
      </c>
      <c r="AD39" s="54">
        <v>0</v>
      </c>
      <c r="AE39" s="54">
        <v>0.15063275000000001</v>
      </c>
      <c r="AF39" s="128"/>
      <c r="AG39" s="128"/>
      <c r="AH39" s="54">
        <v>0.24145070000000002</v>
      </c>
      <c r="AI39" s="54">
        <v>0</v>
      </c>
      <c r="AJ39" s="54">
        <v>0</v>
      </c>
      <c r="AK39" s="54">
        <v>0</v>
      </c>
      <c r="AL39" s="54">
        <v>0.24145070000000002</v>
      </c>
      <c r="AM39" s="128"/>
      <c r="AN39" s="128"/>
      <c r="AO39" s="54">
        <v>0.15840488</v>
      </c>
      <c r="AP39" s="54">
        <v>0</v>
      </c>
      <c r="AQ39" s="54">
        <v>0</v>
      </c>
      <c r="AR39" s="54">
        <v>0</v>
      </c>
      <c r="AS39" s="54">
        <v>0.15840488</v>
      </c>
      <c r="AT39" s="128"/>
    </row>
    <row r="40" spans="1:50" outlineLevel="1">
      <c r="A40" s="237">
        <v>26</v>
      </c>
      <c r="B40" s="236" t="s">
        <v>93</v>
      </c>
      <c r="C40" s="577" t="s">
        <v>11</v>
      </c>
      <c r="D40" s="577" t="s">
        <v>76</v>
      </c>
      <c r="E40" s="577" t="s">
        <v>93</v>
      </c>
      <c r="F40" s="54">
        <v>11.019941943191455</v>
      </c>
      <c r="G40" s="54">
        <v>9.9285585867642396</v>
      </c>
      <c r="H40" s="54">
        <v>9.9285585867642396</v>
      </c>
      <c r="I40" s="54">
        <v>9.9285585867642343</v>
      </c>
      <c r="J40" s="54">
        <v>1.09138335642722</v>
      </c>
      <c r="K40" s="128"/>
      <c r="L40" s="128"/>
      <c r="M40" s="54">
        <v>1.5341617320283103</v>
      </c>
      <c r="N40" s="54">
        <v>1.1211065062278922</v>
      </c>
      <c r="O40" s="54">
        <v>1.1211065062278922</v>
      </c>
      <c r="P40" s="54">
        <v>0</v>
      </c>
      <c r="Q40" s="54">
        <v>0</v>
      </c>
      <c r="R40" s="128"/>
      <c r="S40" s="128"/>
      <c r="T40" s="54">
        <v>6.603289590000001</v>
      </c>
      <c r="U40" s="54">
        <v>5.5357101800000006</v>
      </c>
      <c r="V40" s="54">
        <v>5.5357101800000006</v>
      </c>
      <c r="W40" s="54">
        <v>5.9576433300000016</v>
      </c>
      <c r="X40" s="54">
        <v>0.64564626000000003</v>
      </c>
      <c r="Y40" s="128"/>
      <c r="Z40" s="128"/>
      <c r="AA40" s="54">
        <v>-16.435480329999997</v>
      </c>
      <c r="AB40" s="54">
        <v>-16.583833649999999</v>
      </c>
      <c r="AC40" s="54">
        <v>-16.583833649999999</v>
      </c>
      <c r="AD40" s="54">
        <v>-16.708163759999998</v>
      </c>
      <c r="AE40" s="54">
        <v>0.27268343</v>
      </c>
      <c r="AF40" s="128"/>
      <c r="AG40" s="128"/>
      <c r="AH40" s="54">
        <v>46.031464749999991</v>
      </c>
      <c r="AI40" s="54">
        <v>43.017900469999994</v>
      </c>
      <c r="AJ40" s="54">
        <v>43.017900469999994</v>
      </c>
      <c r="AK40" s="54">
        <v>45.671769009999998</v>
      </c>
      <c r="AL40" s="54">
        <v>0.35969574000000004</v>
      </c>
      <c r="AM40" s="128"/>
      <c r="AN40" s="128"/>
      <c r="AO40" s="54">
        <v>0.75865996000000002</v>
      </c>
      <c r="AP40" s="54">
        <v>0.45016590000000001</v>
      </c>
      <c r="AQ40" s="54">
        <v>0.45016590000000001</v>
      </c>
      <c r="AR40" s="54">
        <v>0.44990458999999999</v>
      </c>
      <c r="AS40" s="54">
        <v>0.30875536999999997</v>
      </c>
      <c r="AT40" s="128"/>
    </row>
    <row r="41" spans="1:50" outlineLevel="1">
      <c r="A41" s="237">
        <v>26</v>
      </c>
      <c r="B41" s="236" t="s">
        <v>238</v>
      </c>
      <c r="C41" s="577" t="s">
        <v>11</v>
      </c>
      <c r="D41" s="577" t="s">
        <v>76</v>
      </c>
      <c r="E41" s="577" t="s">
        <v>94</v>
      </c>
      <c r="F41" s="54">
        <v>23.303135211938709</v>
      </c>
      <c r="G41" s="54">
        <v>20.093511425594301</v>
      </c>
      <c r="H41" s="54">
        <v>20.093511425594301</v>
      </c>
      <c r="I41" s="54">
        <v>20.093511425594301</v>
      </c>
      <c r="J41" s="54">
        <v>3.2096237863444101</v>
      </c>
      <c r="K41" s="128"/>
      <c r="L41" s="128"/>
      <c r="M41" s="54">
        <v>4.4062342093248512</v>
      </c>
      <c r="N41" s="54">
        <v>2.2689060245088326</v>
      </c>
      <c r="O41" s="54">
        <v>2.2689060245088326</v>
      </c>
      <c r="P41" s="54">
        <v>0</v>
      </c>
      <c r="Q41" s="54">
        <v>0</v>
      </c>
      <c r="R41" s="128"/>
      <c r="S41" s="128"/>
      <c r="T41" s="54">
        <v>30.054703059999994</v>
      </c>
      <c r="U41" s="54">
        <v>20.145816680000003</v>
      </c>
      <c r="V41" s="54">
        <v>20.145816680000003</v>
      </c>
      <c r="W41" s="54">
        <v>23.618565380000007</v>
      </c>
      <c r="X41" s="54">
        <v>6.4361376799999999</v>
      </c>
      <c r="Y41" s="128"/>
      <c r="Z41" s="128"/>
      <c r="AA41" s="54">
        <v>5.4331289099999989</v>
      </c>
      <c r="AB41" s="54">
        <v>1.42313109</v>
      </c>
      <c r="AC41" s="54">
        <v>1.42313109</v>
      </c>
      <c r="AD41" s="54">
        <v>1.42313109</v>
      </c>
      <c r="AE41" s="54">
        <v>4.0099978199999988</v>
      </c>
      <c r="AF41" s="128"/>
      <c r="AG41" s="128"/>
      <c r="AH41" s="54">
        <v>31.614019630000001</v>
      </c>
      <c r="AI41" s="54">
        <v>21.627790889999996</v>
      </c>
      <c r="AJ41" s="54">
        <v>21.627790889999996</v>
      </c>
      <c r="AK41" s="54">
        <v>25.225098869999997</v>
      </c>
      <c r="AL41" s="54">
        <v>6.3889207599999995</v>
      </c>
      <c r="AM41" s="128"/>
      <c r="AN41" s="128"/>
      <c r="AO41" s="54">
        <v>4.7394972000000006</v>
      </c>
      <c r="AP41" s="54">
        <v>0.12740056</v>
      </c>
      <c r="AQ41" s="54">
        <v>0.12740056</v>
      </c>
      <c r="AR41" s="54">
        <v>0.12740051000000002</v>
      </c>
      <c r="AS41" s="54">
        <v>4.6120966899999996</v>
      </c>
      <c r="AT41" s="128"/>
    </row>
    <row r="42" spans="1:50" outlineLevel="1">
      <c r="A42" s="237">
        <v>26</v>
      </c>
      <c r="B42" s="236" t="s">
        <v>402</v>
      </c>
      <c r="C42" s="577" t="s">
        <v>11</v>
      </c>
      <c r="D42" s="577" t="s">
        <v>76</v>
      </c>
      <c r="E42" s="577" t="s">
        <v>398</v>
      </c>
      <c r="F42" s="54">
        <v>0</v>
      </c>
      <c r="G42" s="54">
        <v>0</v>
      </c>
      <c r="H42" s="54">
        <v>0</v>
      </c>
      <c r="I42" s="54">
        <v>0</v>
      </c>
      <c r="J42" s="54">
        <v>0</v>
      </c>
      <c r="K42" s="128"/>
      <c r="L42" s="128"/>
      <c r="M42" s="54">
        <v>0</v>
      </c>
      <c r="N42" s="54">
        <v>0</v>
      </c>
      <c r="O42" s="54">
        <v>0</v>
      </c>
      <c r="P42" s="54">
        <v>0</v>
      </c>
      <c r="Q42" s="54">
        <v>0</v>
      </c>
      <c r="R42" s="128"/>
      <c r="S42" s="128"/>
      <c r="T42" s="54">
        <v>-1.9239999999999965E-2</v>
      </c>
      <c r="U42" s="54">
        <v>0</v>
      </c>
      <c r="V42" s="54">
        <v>0</v>
      </c>
      <c r="W42" s="54">
        <v>0</v>
      </c>
      <c r="X42" s="54">
        <v>-1.9239999999999965E-2</v>
      </c>
      <c r="Y42" s="128"/>
      <c r="Z42" s="128"/>
      <c r="AA42" s="54">
        <v>0</v>
      </c>
      <c r="AB42" s="54">
        <v>0</v>
      </c>
      <c r="AC42" s="54">
        <v>0</v>
      </c>
      <c r="AD42" s="54">
        <v>0</v>
      </c>
      <c r="AE42" s="54">
        <v>0</v>
      </c>
      <c r="AF42" s="128"/>
      <c r="AG42" s="128"/>
      <c r="AH42" s="54">
        <v>0.32189899999999994</v>
      </c>
      <c r="AI42" s="54">
        <v>0</v>
      </c>
      <c r="AJ42" s="54">
        <v>0</v>
      </c>
      <c r="AK42" s="54">
        <v>0</v>
      </c>
      <c r="AL42" s="54">
        <v>0.32189899999999994</v>
      </c>
      <c r="AM42" s="128"/>
      <c r="AN42" s="128"/>
      <c r="AO42" s="54">
        <v>0</v>
      </c>
      <c r="AP42" s="54">
        <v>0</v>
      </c>
      <c r="AQ42" s="54">
        <v>0</v>
      </c>
      <c r="AR42" s="54">
        <v>0</v>
      </c>
      <c r="AS42" s="54">
        <v>0</v>
      </c>
      <c r="AT42" s="128"/>
    </row>
    <row r="43" spans="1:50">
      <c r="C43" s="577"/>
      <c r="D43" s="577"/>
      <c r="E43" s="577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  <c r="AC43" s="128"/>
      <c r="AD43" s="128"/>
      <c r="AE43" s="128"/>
      <c r="AF43" s="128"/>
      <c r="AG43" s="128"/>
      <c r="AH43" s="128"/>
      <c r="AI43" s="128"/>
      <c r="AJ43" s="128"/>
      <c r="AK43" s="128"/>
      <c r="AL43" s="128"/>
      <c r="AM43" s="128"/>
      <c r="AN43" s="128"/>
      <c r="AO43" s="128"/>
      <c r="AP43" s="128"/>
      <c r="AQ43" s="128"/>
      <c r="AR43" s="128"/>
      <c r="AS43" s="128"/>
      <c r="AT43" s="128"/>
    </row>
    <row r="44" spans="1:50">
      <c r="A44" s="237" t="s">
        <v>191</v>
      </c>
      <c r="B44" s="236" t="s">
        <v>13</v>
      </c>
      <c r="C44" s="577" t="s">
        <v>55</v>
      </c>
      <c r="D44" s="577" t="s">
        <v>72</v>
      </c>
      <c r="E44" s="577" t="s">
        <v>73</v>
      </c>
      <c r="F44" s="54">
        <v>705.49744221339529</v>
      </c>
      <c r="G44" s="54">
        <v>487.89248934290595</v>
      </c>
      <c r="H44" s="54">
        <v>487.89248934290595</v>
      </c>
      <c r="I44" s="54">
        <v>573.02824204778449</v>
      </c>
      <c r="J44" s="54">
        <v>132.46920016561091</v>
      </c>
      <c r="K44" s="128"/>
      <c r="L44" s="128"/>
      <c r="M44" s="54">
        <v>191.71785747223464</v>
      </c>
      <c r="N44" s="54">
        <v>90.548501306059464</v>
      </c>
      <c r="O44" s="54">
        <v>90.548501306059464</v>
      </c>
      <c r="P44" s="54">
        <v>0</v>
      </c>
      <c r="Q44" s="54">
        <v>0</v>
      </c>
      <c r="R44" s="128"/>
      <c r="S44" s="128"/>
      <c r="T44" s="54">
        <v>628.39572295000096</v>
      </c>
      <c r="U44" s="54">
        <v>416.32808624999979</v>
      </c>
      <c r="V44" s="54">
        <v>411.76709948999979</v>
      </c>
      <c r="W44" s="54">
        <v>506.07883683000011</v>
      </c>
      <c r="X44" s="54">
        <v>122.31688612000002</v>
      </c>
      <c r="Y44" s="128"/>
      <c r="Z44" s="128"/>
      <c r="AA44" s="54">
        <v>206.01131834000014</v>
      </c>
      <c r="AB44" s="54">
        <v>106.13270747000013</v>
      </c>
      <c r="AC44" s="54">
        <v>103.51630770000011</v>
      </c>
      <c r="AD44" s="54">
        <v>127.23127969000012</v>
      </c>
      <c r="AE44" s="54">
        <v>78.780038650000137</v>
      </c>
      <c r="AF44" s="128"/>
      <c r="AG44" s="128"/>
      <c r="AH44" s="54">
        <v>705.36932404999925</v>
      </c>
      <c r="AI44" s="54">
        <v>490.15421861000004</v>
      </c>
      <c r="AJ44" s="54">
        <v>483.73094816000008</v>
      </c>
      <c r="AK44" s="54">
        <v>579.96649021999951</v>
      </c>
      <c r="AL44" s="54">
        <v>125.40283383000019</v>
      </c>
      <c r="AM44" s="128"/>
      <c r="AN44" s="128"/>
      <c r="AO44" s="54">
        <v>170.79572636999998</v>
      </c>
      <c r="AP44" s="54">
        <v>78.940861389999966</v>
      </c>
      <c r="AQ44" s="54">
        <v>76.424912129999967</v>
      </c>
      <c r="AR44" s="54">
        <v>95.114567470000054</v>
      </c>
      <c r="AS44" s="54">
        <v>75.681158900000014</v>
      </c>
      <c r="AT44" s="128"/>
    </row>
    <row r="45" spans="1:50">
      <c r="A45" s="237" t="s">
        <v>191</v>
      </c>
      <c r="B45" s="236" t="s">
        <v>243</v>
      </c>
      <c r="C45" s="577" t="str">
        <f t="shared" ref="C45:C73" si="0">+C44</f>
        <v>Power HW</v>
      </c>
      <c r="D45" s="577" t="s">
        <v>76</v>
      </c>
      <c r="E45" s="577" t="s">
        <v>74</v>
      </c>
      <c r="F45" s="54">
        <v>705.49744221339529</v>
      </c>
      <c r="G45" s="54">
        <v>487.89248934290595</v>
      </c>
      <c r="H45" s="54">
        <v>487.89248934290595</v>
      </c>
      <c r="I45" s="54">
        <v>573.02824204778449</v>
      </c>
      <c r="J45" s="54">
        <v>132.46920016561091</v>
      </c>
      <c r="K45" s="128"/>
      <c r="L45" s="128"/>
      <c r="M45" s="54">
        <v>191.71785747223464</v>
      </c>
      <c r="N45" s="54">
        <v>90.548501306059464</v>
      </c>
      <c r="O45" s="54">
        <v>90.548501306059464</v>
      </c>
      <c r="P45" s="54">
        <v>0</v>
      </c>
      <c r="Q45" s="54">
        <v>0</v>
      </c>
      <c r="R45" s="128"/>
      <c r="S45" s="128"/>
      <c r="T45" s="54">
        <v>629.34658155000102</v>
      </c>
      <c r="U45" s="54">
        <v>416.32808624999979</v>
      </c>
      <c r="V45" s="54">
        <v>411.76709948999979</v>
      </c>
      <c r="W45" s="54">
        <v>506.07883683000011</v>
      </c>
      <c r="X45" s="54">
        <v>123.26774472000002</v>
      </c>
      <c r="Y45" s="128"/>
      <c r="Z45" s="128"/>
      <c r="AA45" s="54">
        <v>206.04388034000013</v>
      </c>
      <c r="AB45" s="54">
        <v>106.13270747000013</v>
      </c>
      <c r="AC45" s="54">
        <v>103.51630770000011</v>
      </c>
      <c r="AD45" s="54">
        <v>127.23127969000012</v>
      </c>
      <c r="AE45" s="54">
        <v>78.812600650000121</v>
      </c>
      <c r="AF45" s="128"/>
      <c r="AG45" s="128"/>
      <c r="AH45" s="54">
        <v>705.30634204999933</v>
      </c>
      <c r="AI45" s="54">
        <v>490.15421861000004</v>
      </c>
      <c r="AJ45" s="54">
        <v>483.73094816000008</v>
      </c>
      <c r="AK45" s="54">
        <v>579.96649021999951</v>
      </c>
      <c r="AL45" s="54">
        <v>125.33985183000017</v>
      </c>
      <c r="AM45" s="128"/>
      <c r="AN45" s="128"/>
      <c r="AO45" s="54">
        <v>170.47429736999996</v>
      </c>
      <c r="AP45" s="54">
        <v>78.94215838999996</v>
      </c>
      <c r="AQ45" s="54">
        <v>76.424912129999967</v>
      </c>
      <c r="AR45" s="54">
        <v>95.115864470000048</v>
      </c>
      <c r="AS45" s="54">
        <v>75.358432900000011</v>
      </c>
      <c r="AT45" s="128"/>
    </row>
    <row r="46" spans="1:50">
      <c r="A46" s="237" t="s">
        <v>191</v>
      </c>
      <c r="B46" s="236" t="s">
        <v>234</v>
      </c>
      <c r="C46" s="577" t="str">
        <f t="shared" si="0"/>
        <v>Power HW</v>
      </c>
      <c r="D46" s="577" t="s">
        <v>76</v>
      </c>
      <c r="E46" s="577" t="s">
        <v>75</v>
      </c>
      <c r="F46" s="54">
        <v>0</v>
      </c>
      <c r="G46" s="54">
        <v>0</v>
      </c>
      <c r="H46" s="54">
        <v>0</v>
      </c>
      <c r="I46" s="54">
        <v>0</v>
      </c>
      <c r="J46" s="54">
        <v>0</v>
      </c>
      <c r="K46" s="128"/>
      <c r="L46" s="128"/>
      <c r="M46" s="54">
        <v>0</v>
      </c>
      <c r="N46" s="54">
        <v>0</v>
      </c>
      <c r="O46" s="54">
        <v>0</v>
      </c>
      <c r="P46" s="54">
        <v>0</v>
      </c>
      <c r="Q46" s="54">
        <v>0</v>
      </c>
      <c r="R46" s="128"/>
      <c r="S46" s="128"/>
      <c r="T46" s="54">
        <v>-1.0389170000000001</v>
      </c>
      <c r="U46" s="54">
        <v>0</v>
      </c>
      <c r="V46" s="54">
        <v>0</v>
      </c>
      <c r="W46" s="54">
        <v>0</v>
      </c>
      <c r="X46" s="54">
        <v>-1.0389170000000001</v>
      </c>
      <c r="Y46" s="128"/>
      <c r="Z46" s="128"/>
      <c r="AA46" s="54">
        <v>-0.59366200000000002</v>
      </c>
      <c r="AB46" s="54">
        <v>0</v>
      </c>
      <c r="AC46" s="54">
        <v>0</v>
      </c>
      <c r="AD46" s="54">
        <v>0</v>
      </c>
      <c r="AE46" s="54">
        <v>-0.59366200000000002</v>
      </c>
      <c r="AF46" s="128"/>
      <c r="AG46" s="128"/>
      <c r="AH46" s="54">
        <v>-0.48139799999999999</v>
      </c>
      <c r="AI46" s="54">
        <v>0</v>
      </c>
      <c r="AJ46" s="54">
        <v>0</v>
      </c>
      <c r="AK46" s="54">
        <v>0</v>
      </c>
      <c r="AL46" s="54">
        <v>-0.48139799999999999</v>
      </c>
      <c r="AM46" s="128"/>
      <c r="AN46" s="128"/>
      <c r="AO46" s="54">
        <v>-0.713754</v>
      </c>
      <c r="AP46" s="54">
        <v>0</v>
      </c>
      <c r="AQ46" s="54">
        <v>0</v>
      </c>
      <c r="AR46" s="54">
        <v>0</v>
      </c>
      <c r="AS46" s="54">
        <v>-0.713754</v>
      </c>
      <c r="AT46" s="128"/>
    </row>
    <row r="47" spans="1:50" ht="12" customHeight="1">
      <c r="A47" s="237" t="s">
        <v>191</v>
      </c>
      <c r="B47" s="236" t="s">
        <v>58</v>
      </c>
      <c r="C47" s="577" t="str">
        <f t="shared" si="0"/>
        <v>Power HW</v>
      </c>
      <c r="D47" s="577" t="s">
        <v>76</v>
      </c>
      <c r="E47" s="577" t="s">
        <v>16</v>
      </c>
      <c r="F47" s="54">
        <v>310.56693595157122</v>
      </c>
      <c r="G47" s="54">
        <v>207.702986194922</v>
      </c>
      <c r="H47" s="54">
        <v>207.702986194922</v>
      </c>
      <c r="I47" s="54">
        <v>245.51855844940974</v>
      </c>
      <c r="J47" s="54">
        <v>65.048377502161401</v>
      </c>
      <c r="K47" s="128"/>
      <c r="L47" s="128"/>
      <c r="M47" s="54">
        <v>72.59514063271692</v>
      </c>
      <c r="N47" s="54">
        <v>23.372879718197744</v>
      </c>
      <c r="O47" s="54">
        <v>23.372879718197744</v>
      </c>
      <c r="P47" s="54">
        <v>0</v>
      </c>
      <c r="Q47" s="54">
        <v>0</v>
      </c>
      <c r="R47" s="128"/>
      <c r="S47" s="128"/>
      <c r="T47" s="54">
        <v>239.78030054000013</v>
      </c>
      <c r="U47" s="54">
        <v>145.03254798</v>
      </c>
      <c r="V47" s="54">
        <v>144.52151184000002</v>
      </c>
      <c r="W47" s="54">
        <v>181.62656783000003</v>
      </c>
      <c r="X47" s="54">
        <v>58.153732710000014</v>
      </c>
      <c r="Y47" s="128"/>
      <c r="Z47" s="128"/>
      <c r="AA47" s="54">
        <v>71.579007519999905</v>
      </c>
      <c r="AB47" s="54">
        <v>25.089524490000006</v>
      </c>
      <c r="AC47" s="54">
        <v>24.946260480000003</v>
      </c>
      <c r="AD47" s="54">
        <v>31.322401929999995</v>
      </c>
      <c r="AE47" s="54">
        <v>40.256605589999928</v>
      </c>
      <c r="AF47" s="128"/>
      <c r="AG47" s="128"/>
      <c r="AH47" s="54">
        <v>284.92269011000008</v>
      </c>
      <c r="AI47" s="54">
        <v>190.50337370999995</v>
      </c>
      <c r="AJ47" s="54">
        <v>189.26944782999999</v>
      </c>
      <c r="AK47" s="54">
        <v>224.49584588999997</v>
      </c>
      <c r="AL47" s="54">
        <v>60.426844220000007</v>
      </c>
      <c r="AM47" s="128"/>
      <c r="AN47" s="128"/>
      <c r="AO47" s="54">
        <v>71.697662690000044</v>
      </c>
      <c r="AP47" s="54">
        <v>24.254937620000003</v>
      </c>
      <c r="AQ47" s="54">
        <v>23.423282380000003</v>
      </c>
      <c r="AR47" s="54">
        <v>30.429631450000006</v>
      </c>
      <c r="AS47" s="54">
        <v>41.268031239999999</v>
      </c>
      <c r="AT47" s="128"/>
    </row>
    <row r="48" spans="1:50" outlineLevel="1">
      <c r="A48" s="237" t="s">
        <v>191</v>
      </c>
      <c r="B48" s="236" t="s">
        <v>17</v>
      </c>
      <c r="C48" s="577" t="str">
        <f t="shared" si="0"/>
        <v>Power HW</v>
      </c>
      <c r="D48" s="577" t="s">
        <v>76</v>
      </c>
      <c r="E48" s="577" t="s">
        <v>17</v>
      </c>
      <c r="F48" s="54">
        <v>50.055671578651122</v>
      </c>
      <c r="G48" s="54">
        <v>37.098407887295892</v>
      </c>
      <c r="H48" s="54">
        <v>37.098407887295892</v>
      </c>
      <c r="I48" s="54">
        <v>42.646436747509739</v>
      </c>
      <c r="J48" s="54">
        <v>7.4092348311413812</v>
      </c>
      <c r="K48" s="128"/>
      <c r="L48" s="128"/>
      <c r="M48" s="54">
        <v>6.3666129493067274</v>
      </c>
      <c r="N48" s="54">
        <v>3.1269157157977014</v>
      </c>
      <c r="O48" s="54">
        <v>3.1269157157977014</v>
      </c>
      <c r="P48" s="54">
        <v>0</v>
      </c>
      <c r="Q48" s="54">
        <v>0</v>
      </c>
      <c r="R48" s="128"/>
      <c r="S48" s="128"/>
      <c r="T48" s="54">
        <v>0</v>
      </c>
      <c r="U48" s="54">
        <v>0</v>
      </c>
      <c r="V48" s="54">
        <v>0</v>
      </c>
      <c r="W48" s="54">
        <v>0</v>
      </c>
      <c r="X48" s="54">
        <v>0</v>
      </c>
      <c r="Y48" s="128"/>
      <c r="Z48" s="128"/>
      <c r="AA48" s="54">
        <v>0</v>
      </c>
      <c r="AB48" s="54">
        <v>0</v>
      </c>
      <c r="AC48" s="54">
        <v>0</v>
      </c>
      <c r="AD48" s="54">
        <v>0</v>
      </c>
      <c r="AE48" s="54">
        <v>0</v>
      </c>
      <c r="AF48" s="128"/>
      <c r="AG48" s="128"/>
      <c r="AH48" s="54">
        <v>0</v>
      </c>
      <c r="AI48" s="54">
        <v>0</v>
      </c>
      <c r="AJ48" s="54">
        <v>0</v>
      </c>
      <c r="AK48" s="54">
        <v>0</v>
      </c>
      <c r="AL48" s="54">
        <v>0</v>
      </c>
      <c r="AM48" s="128"/>
      <c r="AN48" s="128"/>
      <c r="AO48" s="54">
        <v>0</v>
      </c>
      <c r="AP48" s="54">
        <v>0</v>
      </c>
      <c r="AQ48" s="54">
        <v>0</v>
      </c>
      <c r="AR48" s="54">
        <v>0</v>
      </c>
      <c r="AS48" s="54">
        <v>0</v>
      </c>
      <c r="AT48" s="128"/>
      <c r="AX48">
        <v>9768</v>
      </c>
    </row>
    <row r="49" spans="1:50" outlineLevel="1">
      <c r="A49" s="237" t="s">
        <v>191</v>
      </c>
      <c r="B49" s="236" t="s">
        <v>18</v>
      </c>
      <c r="C49" s="577" t="str">
        <f t="shared" si="0"/>
        <v>Power HW</v>
      </c>
      <c r="D49" s="577" t="s">
        <v>76</v>
      </c>
      <c r="E49" s="577" t="s">
        <v>18</v>
      </c>
      <c r="F49" s="54">
        <v>1.2999330631144423</v>
      </c>
      <c r="G49" s="54">
        <v>0.40085423169812984</v>
      </c>
      <c r="H49" s="54">
        <v>0.40085423169812984</v>
      </c>
      <c r="I49" s="54">
        <v>0.91627430119179243</v>
      </c>
      <c r="J49" s="54">
        <v>0.38365876192264992</v>
      </c>
      <c r="K49" s="128"/>
      <c r="L49" s="128"/>
      <c r="M49" s="54">
        <v>4.6264343073853356</v>
      </c>
      <c r="N49" s="54">
        <v>0.95366420881782121</v>
      </c>
      <c r="O49" s="54">
        <v>0.95366420881782121</v>
      </c>
      <c r="P49" s="54">
        <v>0</v>
      </c>
      <c r="Q49" s="54">
        <v>0</v>
      </c>
      <c r="R49" s="128"/>
      <c r="S49" s="128"/>
      <c r="T49" s="54">
        <v>0</v>
      </c>
      <c r="U49" s="54">
        <v>0</v>
      </c>
      <c r="V49" s="54">
        <v>0</v>
      </c>
      <c r="W49" s="54">
        <v>0</v>
      </c>
      <c r="X49" s="54">
        <v>0</v>
      </c>
      <c r="Y49" s="128"/>
      <c r="Z49" s="128"/>
      <c r="AA49" s="54">
        <v>0</v>
      </c>
      <c r="AB49" s="54">
        <v>0</v>
      </c>
      <c r="AC49" s="54">
        <v>0</v>
      </c>
      <c r="AD49" s="54">
        <v>0</v>
      </c>
      <c r="AE49" s="54">
        <v>0</v>
      </c>
      <c r="AF49" s="128"/>
      <c r="AG49" s="128"/>
      <c r="AH49" s="54">
        <v>0</v>
      </c>
      <c r="AI49" s="54">
        <v>0</v>
      </c>
      <c r="AJ49" s="54">
        <v>0</v>
      </c>
      <c r="AK49" s="54">
        <v>0</v>
      </c>
      <c r="AL49" s="54">
        <v>0</v>
      </c>
      <c r="AM49" s="128"/>
      <c r="AN49" s="128"/>
      <c r="AO49" s="54">
        <v>0</v>
      </c>
      <c r="AP49" s="54">
        <v>0</v>
      </c>
      <c r="AQ49" s="54">
        <v>0</v>
      </c>
      <c r="AR49" s="54">
        <v>0</v>
      </c>
      <c r="AS49" s="54">
        <v>0</v>
      </c>
      <c r="AT49" s="128"/>
      <c r="AX49">
        <v>4471</v>
      </c>
    </row>
    <row r="50" spans="1:50" outlineLevel="1">
      <c r="A50" s="237" t="s">
        <v>191</v>
      </c>
      <c r="B50" s="236" t="s">
        <v>19</v>
      </c>
      <c r="C50" s="577" t="str">
        <f t="shared" si="0"/>
        <v>Power HW</v>
      </c>
      <c r="D50" s="577" t="s">
        <v>76</v>
      </c>
      <c r="E50" s="577" t="s">
        <v>19</v>
      </c>
      <c r="F50" s="54">
        <v>109.45059375046287</v>
      </c>
      <c r="G50" s="54">
        <v>74.798863019902228</v>
      </c>
      <c r="H50" s="54">
        <v>74.798863019902228</v>
      </c>
      <c r="I50" s="54">
        <v>87.673271721235736</v>
      </c>
      <c r="J50" s="54">
        <v>21.77732202922714</v>
      </c>
      <c r="K50" s="128"/>
      <c r="L50" s="128"/>
      <c r="M50" s="54">
        <v>22.684425475500142</v>
      </c>
      <c r="N50" s="54">
        <v>8.1743015514795978</v>
      </c>
      <c r="O50" s="54">
        <v>8.1743015514795978</v>
      </c>
      <c r="P50" s="54">
        <v>0</v>
      </c>
      <c r="Q50" s="54">
        <v>0</v>
      </c>
      <c r="R50" s="128"/>
      <c r="S50" s="128"/>
      <c r="T50" s="54">
        <v>0</v>
      </c>
      <c r="U50" s="54">
        <v>0</v>
      </c>
      <c r="V50" s="54">
        <v>0</v>
      </c>
      <c r="W50" s="54">
        <v>0</v>
      </c>
      <c r="X50" s="54">
        <v>0</v>
      </c>
      <c r="Y50" s="128"/>
      <c r="Z50" s="128"/>
      <c r="AA50" s="54">
        <v>0</v>
      </c>
      <c r="AB50" s="54">
        <v>0</v>
      </c>
      <c r="AC50" s="54">
        <v>0</v>
      </c>
      <c r="AD50" s="54">
        <v>0</v>
      </c>
      <c r="AE50" s="54">
        <v>0</v>
      </c>
      <c r="AF50" s="128"/>
      <c r="AG50" s="128"/>
      <c r="AH50" s="54">
        <v>0</v>
      </c>
      <c r="AI50" s="54">
        <v>0</v>
      </c>
      <c r="AJ50" s="54">
        <v>0</v>
      </c>
      <c r="AK50" s="54">
        <v>0</v>
      </c>
      <c r="AL50" s="54">
        <v>0</v>
      </c>
      <c r="AM50" s="128"/>
      <c r="AN50" s="128"/>
      <c r="AO50" s="54">
        <v>0</v>
      </c>
      <c r="AP50" s="54">
        <v>0</v>
      </c>
      <c r="AQ50" s="54">
        <v>0</v>
      </c>
      <c r="AR50" s="54">
        <v>0</v>
      </c>
      <c r="AS50" s="54">
        <v>0</v>
      </c>
      <c r="AT50" s="128"/>
    </row>
    <row r="51" spans="1:50" outlineLevel="1">
      <c r="A51" s="237" t="s">
        <v>191</v>
      </c>
      <c r="B51" s="236" t="s">
        <v>77</v>
      </c>
      <c r="C51" s="577" t="str">
        <f t="shared" si="0"/>
        <v>Power HW</v>
      </c>
      <c r="D51" s="577" t="s">
        <v>76</v>
      </c>
      <c r="E51" s="577" t="s">
        <v>77</v>
      </c>
      <c r="F51" s="54">
        <v>35.410219243391424</v>
      </c>
      <c r="G51" s="54">
        <v>26.3892544387353</v>
      </c>
      <c r="H51" s="54">
        <v>26.3892544387353</v>
      </c>
      <c r="I51" s="54">
        <v>31.189254438735308</v>
      </c>
      <c r="J51" s="54">
        <v>4.2209648046561155</v>
      </c>
      <c r="K51" s="128"/>
      <c r="L51" s="128"/>
      <c r="M51" s="54">
        <v>4.842981241750616</v>
      </c>
      <c r="N51" s="54">
        <v>1.9606817942952945</v>
      </c>
      <c r="O51" s="54">
        <v>1.9606817942952945</v>
      </c>
      <c r="P51" s="54">
        <v>0</v>
      </c>
      <c r="Q51" s="54">
        <v>0</v>
      </c>
      <c r="R51" s="128"/>
      <c r="S51" s="128"/>
      <c r="T51" s="54">
        <v>0</v>
      </c>
      <c r="U51" s="54">
        <v>0</v>
      </c>
      <c r="V51" s="54">
        <v>0</v>
      </c>
      <c r="W51" s="54">
        <v>0</v>
      </c>
      <c r="X51" s="54">
        <v>0</v>
      </c>
      <c r="Y51" s="128"/>
      <c r="Z51" s="128"/>
      <c r="AA51" s="54">
        <v>0</v>
      </c>
      <c r="AB51" s="54">
        <v>0</v>
      </c>
      <c r="AC51" s="54">
        <v>0</v>
      </c>
      <c r="AD51" s="54">
        <v>0</v>
      </c>
      <c r="AE51" s="54">
        <v>0</v>
      </c>
      <c r="AF51" s="128"/>
      <c r="AG51" s="128"/>
      <c r="AH51" s="54">
        <v>0</v>
      </c>
      <c r="AI51" s="54">
        <v>0</v>
      </c>
      <c r="AJ51" s="54">
        <v>0</v>
      </c>
      <c r="AK51" s="54">
        <v>0</v>
      </c>
      <c r="AL51" s="54">
        <v>0</v>
      </c>
      <c r="AM51" s="128"/>
      <c r="AN51" s="128"/>
      <c r="AO51" s="54">
        <v>0</v>
      </c>
      <c r="AP51" s="54">
        <v>0</v>
      </c>
      <c r="AQ51" s="54">
        <v>0</v>
      </c>
      <c r="AR51" s="54">
        <v>0</v>
      </c>
      <c r="AS51" s="54">
        <v>0</v>
      </c>
      <c r="AT51" s="128"/>
    </row>
    <row r="52" spans="1:50" outlineLevel="1">
      <c r="A52" s="237" t="s">
        <v>191</v>
      </c>
      <c r="B52" s="236" t="s">
        <v>78</v>
      </c>
      <c r="C52" s="577" t="str">
        <f t="shared" si="0"/>
        <v>Power HW</v>
      </c>
      <c r="D52" s="577" t="s">
        <v>76</v>
      </c>
      <c r="E52" s="577" t="s">
        <v>78</v>
      </c>
      <c r="F52" s="54">
        <v>19.125371143315213</v>
      </c>
      <c r="G52" s="54">
        <v>11.831630582276704</v>
      </c>
      <c r="H52" s="54">
        <v>11.831630582276704</v>
      </c>
      <c r="I52" s="54">
        <v>14.605678493977404</v>
      </c>
      <c r="J52" s="54">
        <v>4.5196926493378102</v>
      </c>
      <c r="K52" s="128"/>
      <c r="L52" s="128"/>
      <c r="M52" s="54">
        <v>7.8235642004114645</v>
      </c>
      <c r="N52" s="54">
        <v>3.6860746834070506</v>
      </c>
      <c r="O52" s="54">
        <v>3.6860746834070506</v>
      </c>
      <c r="P52" s="54">
        <v>0</v>
      </c>
      <c r="Q52" s="54">
        <v>0</v>
      </c>
      <c r="R52" s="128"/>
      <c r="S52" s="128"/>
      <c r="T52" s="54">
        <v>0</v>
      </c>
      <c r="U52" s="54">
        <v>0</v>
      </c>
      <c r="V52" s="54">
        <v>0</v>
      </c>
      <c r="W52" s="54">
        <v>0</v>
      </c>
      <c r="X52" s="54">
        <v>0</v>
      </c>
      <c r="Y52" s="128"/>
      <c r="Z52" s="128"/>
      <c r="AA52" s="54">
        <v>0</v>
      </c>
      <c r="AB52" s="54">
        <v>0</v>
      </c>
      <c r="AC52" s="54">
        <v>0</v>
      </c>
      <c r="AD52" s="54">
        <v>0</v>
      </c>
      <c r="AE52" s="54">
        <v>0</v>
      </c>
      <c r="AF52" s="128"/>
      <c r="AG52" s="128"/>
      <c r="AH52" s="54">
        <v>0</v>
      </c>
      <c r="AI52" s="54">
        <v>0</v>
      </c>
      <c r="AJ52" s="54">
        <v>0</v>
      </c>
      <c r="AK52" s="54">
        <v>0</v>
      </c>
      <c r="AL52" s="54">
        <v>0</v>
      </c>
      <c r="AM52" s="128"/>
      <c r="AN52" s="128"/>
      <c r="AO52" s="54">
        <v>0</v>
      </c>
      <c r="AP52" s="54">
        <v>0</v>
      </c>
      <c r="AQ52" s="54">
        <v>0</v>
      </c>
      <c r="AR52" s="54">
        <v>0</v>
      </c>
      <c r="AS52" s="54">
        <v>0</v>
      </c>
      <c r="AT52" s="128"/>
    </row>
    <row r="53" spans="1:50" outlineLevel="1">
      <c r="A53" s="237" t="s">
        <v>191</v>
      </c>
      <c r="B53" s="236" t="s">
        <v>393</v>
      </c>
      <c r="C53" s="577" t="str">
        <f t="shared" si="0"/>
        <v>Power HW</v>
      </c>
      <c r="D53" s="577" t="s">
        <v>76</v>
      </c>
      <c r="E53" s="577" t="s">
        <v>393</v>
      </c>
      <c r="F53" s="54">
        <v>9.4721772006706111</v>
      </c>
      <c r="G53" s="54">
        <v>6.7361402733566296</v>
      </c>
      <c r="H53" s="54">
        <v>6.7361402733566296</v>
      </c>
      <c r="I53" s="54">
        <v>8.1449196455180104</v>
      </c>
      <c r="J53" s="54">
        <v>1.3272575551526</v>
      </c>
      <c r="K53" s="128"/>
      <c r="L53" s="128"/>
      <c r="M53" s="54">
        <v>1.1814538021344734</v>
      </c>
      <c r="N53" s="54">
        <v>0.26765525837584853</v>
      </c>
      <c r="O53" s="54">
        <v>0.26765525837584853</v>
      </c>
      <c r="P53" s="54">
        <v>0</v>
      </c>
      <c r="Q53" s="54">
        <v>0</v>
      </c>
      <c r="R53" s="128"/>
      <c r="S53" s="128"/>
      <c r="T53" s="54">
        <v>0</v>
      </c>
      <c r="U53" s="54">
        <v>0</v>
      </c>
      <c r="V53" s="54">
        <v>0</v>
      </c>
      <c r="W53" s="54">
        <v>0</v>
      </c>
      <c r="X53" s="54">
        <v>0</v>
      </c>
      <c r="Y53" s="128"/>
      <c r="Z53" s="128"/>
      <c r="AA53" s="54">
        <v>0</v>
      </c>
      <c r="AB53" s="54">
        <v>0</v>
      </c>
      <c r="AC53" s="54">
        <v>0</v>
      </c>
      <c r="AD53" s="54">
        <v>0</v>
      </c>
      <c r="AE53" s="54">
        <v>0</v>
      </c>
      <c r="AF53" s="128"/>
      <c r="AG53" s="128"/>
      <c r="AH53" s="54">
        <v>0</v>
      </c>
      <c r="AI53" s="54">
        <v>0</v>
      </c>
      <c r="AJ53" s="54">
        <v>0</v>
      </c>
      <c r="AK53" s="54">
        <v>0</v>
      </c>
      <c r="AL53" s="54">
        <v>0</v>
      </c>
      <c r="AM53" s="128"/>
      <c r="AN53" s="128"/>
      <c r="AO53" s="54">
        <v>0</v>
      </c>
      <c r="AP53" s="54">
        <v>0</v>
      </c>
      <c r="AQ53" s="54">
        <v>0</v>
      </c>
      <c r="AR53" s="54">
        <v>0</v>
      </c>
      <c r="AS53" s="54">
        <v>0</v>
      </c>
      <c r="AT53" s="128"/>
    </row>
    <row r="54" spans="1:50" outlineLevel="1">
      <c r="A54" s="237" t="s">
        <v>191</v>
      </c>
      <c r="B54" s="236" t="s">
        <v>80</v>
      </c>
      <c r="C54" s="577" t="str">
        <f t="shared" si="0"/>
        <v>Power HW</v>
      </c>
      <c r="D54" s="577" t="s">
        <v>76</v>
      </c>
      <c r="E54" s="577" t="s">
        <v>80</v>
      </c>
      <c r="F54" s="54">
        <v>21.940748162019275</v>
      </c>
      <c r="G54" s="54">
        <v>3.2031376105249398</v>
      </c>
      <c r="H54" s="54">
        <v>3.2031376105249398</v>
      </c>
      <c r="I54" s="54">
        <v>4.9305012912955739</v>
      </c>
      <c r="J54" s="54">
        <v>17.010246870723702</v>
      </c>
      <c r="K54" s="128"/>
      <c r="L54" s="128"/>
      <c r="M54" s="54">
        <v>10.53205579302162</v>
      </c>
      <c r="N54" s="54">
        <v>-1.7714513135517147</v>
      </c>
      <c r="O54" s="54">
        <v>-1.7714513135517147</v>
      </c>
      <c r="P54" s="54">
        <v>0</v>
      </c>
      <c r="Q54" s="54">
        <v>0</v>
      </c>
      <c r="R54" s="128"/>
      <c r="S54" s="128"/>
      <c r="T54" s="54">
        <v>0</v>
      </c>
      <c r="U54" s="54">
        <v>0</v>
      </c>
      <c r="V54" s="54">
        <v>0</v>
      </c>
      <c r="W54" s="54">
        <v>0</v>
      </c>
      <c r="X54" s="54">
        <v>0</v>
      </c>
      <c r="Y54" s="128"/>
      <c r="Z54" s="128"/>
      <c r="AA54" s="54">
        <v>0</v>
      </c>
      <c r="AB54" s="54">
        <v>0</v>
      </c>
      <c r="AC54" s="54">
        <v>0</v>
      </c>
      <c r="AD54" s="54">
        <v>0</v>
      </c>
      <c r="AE54" s="54">
        <v>0</v>
      </c>
      <c r="AF54" s="128"/>
      <c r="AG54" s="128"/>
      <c r="AH54" s="54">
        <v>0</v>
      </c>
      <c r="AI54" s="54">
        <v>0</v>
      </c>
      <c r="AJ54" s="54">
        <v>0</v>
      </c>
      <c r="AK54" s="54">
        <v>0</v>
      </c>
      <c r="AL54" s="54">
        <v>0</v>
      </c>
      <c r="AM54" s="128"/>
      <c r="AN54" s="128"/>
      <c r="AO54" s="54">
        <v>0</v>
      </c>
      <c r="AP54" s="54">
        <v>0</v>
      </c>
      <c r="AQ54" s="54">
        <v>0</v>
      </c>
      <c r="AR54" s="54">
        <v>0</v>
      </c>
      <c r="AS54" s="54">
        <v>0</v>
      </c>
      <c r="AT54" s="128"/>
    </row>
    <row r="55" spans="1:50" outlineLevel="1">
      <c r="A55" s="237" t="s">
        <v>191</v>
      </c>
      <c r="B55" s="236" t="s">
        <v>104</v>
      </c>
      <c r="C55" s="577" t="str">
        <f t="shared" si="0"/>
        <v>Power HW</v>
      </c>
      <c r="D55" s="577" t="s">
        <v>76</v>
      </c>
      <c r="E55" s="577" t="s">
        <v>79</v>
      </c>
      <c r="F55" s="54">
        <v>21.338865408562448</v>
      </c>
      <c r="G55" s="54">
        <v>14.6913417497484</v>
      </c>
      <c r="H55" s="54">
        <v>14.6913417497484</v>
      </c>
      <c r="I55" s="54">
        <v>17.338865408562448</v>
      </c>
      <c r="J55" s="54">
        <v>4</v>
      </c>
      <c r="K55" s="128"/>
      <c r="L55" s="128"/>
      <c r="M55" s="54">
        <v>5.3303418541159102</v>
      </c>
      <c r="N55" s="54">
        <v>2.2626948921185299</v>
      </c>
      <c r="O55" s="54">
        <v>2.2626948921185299</v>
      </c>
      <c r="P55" s="54">
        <v>0</v>
      </c>
      <c r="Q55" s="54">
        <v>0</v>
      </c>
      <c r="R55" s="128"/>
      <c r="S55" s="128"/>
      <c r="T55" s="54">
        <v>21.584154630000004</v>
      </c>
      <c r="U55" s="54">
        <v>14.775617699999998</v>
      </c>
      <c r="V55" s="54">
        <v>14.775617699999998</v>
      </c>
      <c r="W55" s="54">
        <v>17.957532369999999</v>
      </c>
      <c r="X55" s="54">
        <v>3.62662226</v>
      </c>
      <c r="Y55" s="128"/>
      <c r="Z55" s="128"/>
      <c r="AA55" s="54">
        <v>4.1418969999999993</v>
      </c>
      <c r="AB55" s="54">
        <v>1.5857045599999999</v>
      </c>
      <c r="AC55" s="54">
        <v>1.5857045599999999</v>
      </c>
      <c r="AD55" s="54">
        <v>1.99236762</v>
      </c>
      <c r="AE55" s="54">
        <v>2.1495293800000006</v>
      </c>
      <c r="AF55" s="128"/>
      <c r="AG55" s="128"/>
      <c r="AH55" s="54">
        <v>14.807203979999995</v>
      </c>
      <c r="AI55" s="54">
        <v>9.812510559999998</v>
      </c>
      <c r="AJ55" s="54">
        <v>9.812510559999998</v>
      </c>
      <c r="AK55" s="54">
        <v>11.56675295</v>
      </c>
      <c r="AL55" s="54">
        <v>3.2404510299999996</v>
      </c>
      <c r="AM55" s="128"/>
      <c r="AN55" s="128"/>
      <c r="AO55" s="54">
        <v>3.1623899300000002</v>
      </c>
      <c r="AP55" s="54">
        <v>1.00517306</v>
      </c>
      <c r="AQ55" s="54">
        <v>1.00517306</v>
      </c>
      <c r="AR55" s="54">
        <v>1.4790232100000003</v>
      </c>
      <c r="AS55" s="54">
        <v>1.6833667200000002</v>
      </c>
      <c r="AT55" s="128"/>
    </row>
    <row r="56" spans="1:50" outlineLevel="1">
      <c r="A56" s="237" t="s">
        <v>191</v>
      </c>
      <c r="B56" s="236" t="s">
        <v>105</v>
      </c>
      <c r="C56" s="577" t="str">
        <f t="shared" si="0"/>
        <v>Power HW</v>
      </c>
      <c r="D56" s="577" t="s">
        <v>76</v>
      </c>
      <c r="E56" s="577" t="s">
        <v>81</v>
      </c>
      <c r="F56" s="54">
        <v>42.473356401384102</v>
      </c>
      <c r="G56" s="54">
        <v>32.5533564013841</v>
      </c>
      <c r="H56" s="54">
        <v>32.5533564013841</v>
      </c>
      <c r="I56" s="54">
        <v>38.073356401384103</v>
      </c>
      <c r="J56" s="54">
        <v>4.4000000000000004</v>
      </c>
      <c r="K56" s="128"/>
      <c r="L56" s="128"/>
      <c r="M56" s="54">
        <v>9.2072710090906309</v>
      </c>
      <c r="N56" s="54">
        <v>4.7123429274576027</v>
      </c>
      <c r="O56" s="54">
        <v>4.7123429274576027</v>
      </c>
      <c r="P56" s="54">
        <v>0</v>
      </c>
      <c r="Q56" s="54">
        <v>0</v>
      </c>
      <c r="R56" s="128"/>
      <c r="S56" s="128"/>
      <c r="T56" s="54">
        <v>35.330651510000017</v>
      </c>
      <c r="U56" s="54">
        <v>24.562120529999994</v>
      </c>
      <c r="V56" s="54">
        <v>24.562120529999994</v>
      </c>
      <c r="W56" s="54">
        <v>30.460455450000001</v>
      </c>
      <c r="X56" s="54">
        <v>4.8701960600000014</v>
      </c>
      <c r="Y56" s="128"/>
      <c r="Z56" s="128"/>
      <c r="AA56" s="54">
        <v>13.219248730000009</v>
      </c>
      <c r="AB56" s="54">
        <v>8.8519604399999956</v>
      </c>
      <c r="AC56" s="54">
        <v>8.8519604399999956</v>
      </c>
      <c r="AD56" s="54">
        <v>10.670916500000004</v>
      </c>
      <c r="AE56" s="54">
        <v>2.5483322299999993</v>
      </c>
      <c r="AF56" s="128"/>
      <c r="AG56" s="128"/>
      <c r="AH56" s="54">
        <v>37.148763339999988</v>
      </c>
      <c r="AI56" s="54">
        <v>27.537102149999999</v>
      </c>
      <c r="AJ56" s="54">
        <v>27.537102149999999</v>
      </c>
      <c r="AK56" s="54">
        <v>32.593398229999984</v>
      </c>
      <c r="AL56" s="54">
        <v>4.5553651099999968</v>
      </c>
      <c r="AM56" s="128"/>
      <c r="AN56" s="128"/>
      <c r="AO56" s="54">
        <v>5.9347206200000011</v>
      </c>
      <c r="AP56" s="54">
        <v>3.1726009500000005</v>
      </c>
      <c r="AQ56" s="54">
        <v>3.1726009500000005</v>
      </c>
      <c r="AR56" s="54">
        <v>4.0309633300000005</v>
      </c>
      <c r="AS56" s="54">
        <v>1.9037572899999999</v>
      </c>
      <c r="AT56" s="128"/>
    </row>
    <row r="57" spans="1:50">
      <c r="A57" s="237" t="s">
        <v>191</v>
      </c>
      <c r="B57" s="236" t="s">
        <v>26</v>
      </c>
      <c r="C57" s="577" t="str">
        <f t="shared" si="0"/>
        <v>Power HW</v>
      </c>
      <c r="D57" s="577" t="s">
        <v>76</v>
      </c>
      <c r="E57" s="577" t="s">
        <v>82</v>
      </c>
      <c r="F57" s="54">
        <v>227.88480447982647</v>
      </c>
      <c r="G57" s="54">
        <v>164.65587174905701</v>
      </c>
      <c r="H57" s="54">
        <v>164.65587174905701</v>
      </c>
      <c r="I57" s="54">
        <v>188.4231234655602</v>
      </c>
      <c r="J57" s="54">
        <v>39.461681014266304</v>
      </c>
      <c r="K57" s="128"/>
      <c r="L57" s="128"/>
      <c r="M57" s="54">
        <v>59.91373082579797</v>
      </c>
      <c r="N57" s="54">
        <v>31.247426755112102</v>
      </c>
      <c r="O57" s="54">
        <v>31.247426755112102</v>
      </c>
      <c r="P57" s="54">
        <v>0</v>
      </c>
      <c r="Q57" s="54">
        <v>0</v>
      </c>
      <c r="R57" s="128"/>
      <c r="S57" s="128"/>
      <c r="T57" s="54">
        <v>244.18253421000009</v>
      </c>
      <c r="U57" s="54">
        <v>178.31354807999998</v>
      </c>
      <c r="V57" s="54">
        <v>177.29190150999995</v>
      </c>
      <c r="W57" s="54">
        <v>208.33331711000014</v>
      </c>
      <c r="X57" s="54">
        <v>35.84921709999999</v>
      </c>
      <c r="Y57" s="128"/>
      <c r="Z57" s="128"/>
      <c r="AA57" s="54">
        <v>63.549092489999936</v>
      </c>
      <c r="AB57" s="54">
        <v>34.386909380000006</v>
      </c>
      <c r="AC57" s="54">
        <v>33.394412709999997</v>
      </c>
      <c r="AD57" s="54">
        <v>40.602647339999983</v>
      </c>
      <c r="AE57" s="54">
        <v>22.946445150000006</v>
      </c>
      <c r="AF57" s="128"/>
      <c r="AG57" s="128"/>
      <c r="AH57" s="54">
        <v>244.44251569999989</v>
      </c>
      <c r="AI57" s="54">
        <v>180.56885909000007</v>
      </c>
      <c r="AJ57" s="54">
        <v>178.39714464000008</v>
      </c>
      <c r="AK57" s="54">
        <v>207.69609011000011</v>
      </c>
      <c r="AL57" s="54">
        <v>36.746425589999973</v>
      </c>
      <c r="AM57" s="128"/>
      <c r="AN57" s="128"/>
      <c r="AO57" s="54">
        <v>56.060367399999976</v>
      </c>
      <c r="AP57" s="54">
        <v>29.912667970000026</v>
      </c>
      <c r="AQ57" s="54">
        <v>29.719425510000029</v>
      </c>
      <c r="AR57" s="54">
        <v>34.858258050000025</v>
      </c>
      <c r="AS57" s="54">
        <v>21.202109349999994</v>
      </c>
      <c r="AT57" s="128"/>
    </row>
    <row r="58" spans="1:50" outlineLevel="2">
      <c r="A58" s="237" t="s">
        <v>191</v>
      </c>
      <c r="B58" s="236" t="s">
        <v>235</v>
      </c>
      <c r="C58" s="577" t="str">
        <f t="shared" si="0"/>
        <v>Power HW</v>
      </c>
      <c r="D58" s="577" t="s">
        <v>76</v>
      </c>
      <c r="E58" s="577" t="s">
        <v>83</v>
      </c>
      <c r="F58" s="54">
        <v>69.368104654698087</v>
      </c>
      <c r="G58" s="54">
        <v>52.927924274838297</v>
      </c>
      <c r="H58" s="54">
        <v>52.927924274838297</v>
      </c>
      <c r="I58" s="54">
        <v>60.110426210872973</v>
      </c>
      <c r="J58" s="54">
        <v>9.2576784438251103</v>
      </c>
      <c r="K58" s="128"/>
      <c r="L58" s="128"/>
      <c r="M58" s="54">
        <v>14.934885121116849</v>
      </c>
      <c r="N58" s="54">
        <v>8.4173476517442758</v>
      </c>
      <c r="O58" s="54">
        <v>8.4173476517442758</v>
      </c>
      <c r="P58" s="54">
        <v>0</v>
      </c>
      <c r="Q58" s="54">
        <v>0</v>
      </c>
      <c r="R58" s="128"/>
      <c r="S58" s="128"/>
      <c r="T58" s="54">
        <v>76.895076019999991</v>
      </c>
      <c r="U58" s="54">
        <v>61.390503789999997</v>
      </c>
      <c r="V58" s="54">
        <v>61.390503789999997</v>
      </c>
      <c r="W58" s="54">
        <v>68.923461039999992</v>
      </c>
      <c r="X58" s="54">
        <v>7.9716149799999991</v>
      </c>
      <c r="Y58" s="128"/>
      <c r="Z58" s="128"/>
      <c r="AA58" s="54">
        <v>10.362624140000001</v>
      </c>
      <c r="AB58" s="54">
        <v>3.8908911699999997</v>
      </c>
      <c r="AC58" s="54">
        <v>3.8852498200000003</v>
      </c>
      <c r="AD58" s="54">
        <v>4.7617544000000001</v>
      </c>
      <c r="AE58" s="54">
        <v>5.6008697399999994</v>
      </c>
      <c r="AF58" s="128"/>
      <c r="AG58" s="128"/>
      <c r="AH58" s="54">
        <v>74.88645815000001</v>
      </c>
      <c r="AI58" s="54">
        <v>56.92626305000001</v>
      </c>
      <c r="AJ58" s="54">
        <v>56.903053330000013</v>
      </c>
      <c r="AK58" s="54">
        <v>65.680667030000009</v>
      </c>
      <c r="AL58" s="54">
        <v>9.2057911199999971</v>
      </c>
      <c r="AM58" s="128"/>
      <c r="AN58" s="128"/>
      <c r="AO58" s="54">
        <v>14.766870340000004</v>
      </c>
      <c r="AP58" s="54">
        <v>8.068100369999998</v>
      </c>
      <c r="AQ58" s="54">
        <v>8.0061772900000001</v>
      </c>
      <c r="AR58" s="54">
        <v>9.1437581699999981</v>
      </c>
      <c r="AS58" s="54">
        <v>5.623112169999998</v>
      </c>
      <c r="AT58" s="128"/>
    </row>
    <row r="59" spans="1:50" outlineLevel="2">
      <c r="A59" s="237" t="s">
        <v>191</v>
      </c>
      <c r="B59" s="236" t="s">
        <v>106</v>
      </c>
      <c r="C59" s="577" t="str">
        <f t="shared" si="0"/>
        <v>Power HW</v>
      </c>
      <c r="D59" s="577" t="s">
        <v>76</v>
      </c>
      <c r="E59" s="577" t="s">
        <v>84</v>
      </c>
      <c r="F59" s="54">
        <v>19.501147246740821</v>
      </c>
      <c r="G59" s="54">
        <v>13.202276045691899</v>
      </c>
      <c r="H59" s="54">
        <v>13.202276045691899</v>
      </c>
      <c r="I59" s="54">
        <v>15.220170687562991</v>
      </c>
      <c r="J59" s="54">
        <v>4.2809765591778302</v>
      </c>
      <c r="K59" s="128"/>
      <c r="L59" s="128"/>
      <c r="M59" s="54">
        <v>5.428004898697802</v>
      </c>
      <c r="N59" s="54">
        <v>2.2992531898184367</v>
      </c>
      <c r="O59" s="54">
        <v>2.2992531898184367</v>
      </c>
      <c r="P59" s="54">
        <v>0</v>
      </c>
      <c r="Q59" s="54">
        <v>0</v>
      </c>
      <c r="R59" s="128"/>
      <c r="S59" s="128"/>
      <c r="T59" s="54">
        <v>20.746977079999997</v>
      </c>
      <c r="U59" s="54">
        <v>13.719499919999997</v>
      </c>
      <c r="V59" s="54">
        <v>12.697853349999999</v>
      </c>
      <c r="W59" s="54">
        <v>16.443704219999997</v>
      </c>
      <c r="X59" s="54">
        <v>4.3032728599999999</v>
      </c>
      <c r="Y59" s="128"/>
      <c r="Z59" s="128"/>
      <c r="AA59" s="54">
        <v>5.0131769199999985</v>
      </c>
      <c r="AB59" s="54">
        <v>1.7150410599999999</v>
      </c>
      <c r="AC59" s="54">
        <v>0.73134997999999996</v>
      </c>
      <c r="AD59" s="54">
        <v>2.0976265600000006</v>
      </c>
      <c r="AE59" s="54">
        <v>2.9155503600000001</v>
      </c>
      <c r="AF59" s="128"/>
      <c r="AG59" s="128"/>
      <c r="AH59" s="54">
        <v>25.732487190000001</v>
      </c>
      <c r="AI59" s="54">
        <v>19.108490619999998</v>
      </c>
      <c r="AJ59" s="54">
        <v>16.96538361</v>
      </c>
      <c r="AK59" s="54">
        <v>21.559933260000001</v>
      </c>
      <c r="AL59" s="54">
        <v>4.1725539299999985</v>
      </c>
      <c r="AM59" s="128"/>
      <c r="AN59" s="128"/>
      <c r="AO59" s="54">
        <v>7.6710379199999981</v>
      </c>
      <c r="AP59" s="54">
        <v>3.8257277300000001</v>
      </c>
      <c r="AQ59" s="54">
        <v>3.6980068300000002</v>
      </c>
      <c r="AR59" s="54">
        <v>4.8887030899999981</v>
      </c>
      <c r="AS59" s="54">
        <v>2.7823348300000004</v>
      </c>
      <c r="AT59" s="128"/>
    </row>
    <row r="60" spans="1:50" outlineLevel="2">
      <c r="A60" s="237" t="s">
        <v>191</v>
      </c>
      <c r="B60" s="236" t="s">
        <v>87</v>
      </c>
      <c r="C60" s="577" t="str">
        <f t="shared" si="0"/>
        <v>Power HW</v>
      </c>
      <c r="D60" s="577" t="s">
        <v>76</v>
      </c>
      <c r="E60" s="577" t="s">
        <v>87</v>
      </c>
      <c r="F60" s="54">
        <v>24.845238782763129</v>
      </c>
      <c r="G60" s="54">
        <v>15.886921832896499</v>
      </c>
      <c r="H60" s="54">
        <v>15.886921832896499</v>
      </c>
      <c r="I60" s="54">
        <v>18.649454457292798</v>
      </c>
      <c r="J60" s="54">
        <v>6.1957843254703304</v>
      </c>
      <c r="K60" s="128"/>
      <c r="L60" s="128"/>
      <c r="M60" s="54">
        <v>7.457446655372113</v>
      </c>
      <c r="N60" s="54">
        <v>3.3417209274872386</v>
      </c>
      <c r="O60" s="54">
        <v>3.3417209274872386</v>
      </c>
      <c r="P60" s="54">
        <v>0</v>
      </c>
      <c r="Q60" s="54">
        <v>0</v>
      </c>
      <c r="R60" s="128"/>
      <c r="S60" s="128"/>
      <c r="T60" s="54">
        <v>30.08746841</v>
      </c>
      <c r="U60" s="54">
        <v>20.290520780000008</v>
      </c>
      <c r="V60" s="54">
        <v>20.290520780000008</v>
      </c>
      <c r="W60" s="54">
        <v>24.898182909999999</v>
      </c>
      <c r="X60" s="54">
        <v>5.1892855000000004</v>
      </c>
      <c r="Y60" s="128"/>
      <c r="Z60" s="128"/>
      <c r="AA60" s="54">
        <v>5.6649954099999995</v>
      </c>
      <c r="AB60" s="54">
        <v>1.3339815500000001</v>
      </c>
      <c r="AC60" s="54">
        <v>1.3339815500000001</v>
      </c>
      <c r="AD60" s="54">
        <v>1.8897708299999998</v>
      </c>
      <c r="AE60" s="54">
        <v>3.7752245799999993</v>
      </c>
      <c r="AF60" s="128"/>
      <c r="AG60" s="128"/>
      <c r="AH60" s="54">
        <v>26.9049409</v>
      </c>
      <c r="AI60" s="54">
        <v>17.304156389999999</v>
      </c>
      <c r="AJ60" s="54">
        <v>17.304156389999999</v>
      </c>
      <c r="AK60" s="54">
        <v>21.564021019999995</v>
      </c>
      <c r="AL60" s="54">
        <v>5.3409198799999986</v>
      </c>
      <c r="AM60" s="128"/>
      <c r="AN60" s="128"/>
      <c r="AO60" s="54">
        <v>7.0974347599999987</v>
      </c>
      <c r="AP60" s="54">
        <v>3.2368464899999996</v>
      </c>
      <c r="AQ60" s="54">
        <v>3.2368464899999996</v>
      </c>
      <c r="AR60" s="54">
        <v>3.7069740599999994</v>
      </c>
      <c r="AS60" s="54">
        <v>3.3904607000000002</v>
      </c>
      <c r="AT60" s="128"/>
    </row>
    <row r="61" spans="1:50" outlineLevel="2">
      <c r="A61" s="237" t="s">
        <v>191</v>
      </c>
      <c r="B61" s="236" t="s">
        <v>107</v>
      </c>
      <c r="C61" s="577" t="str">
        <f t="shared" si="0"/>
        <v>Power HW</v>
      </c>
      <c r="D61" s="577" t="s">
        <v>76</v>
      </c>
      <c r="E61" s="577" t="s">
        <v>86</v>
      </c>
      <c r="F61" s="54">
        <v>15.367584189138389</v>
      </c>
      <c r="G61" s="54">
        <v>10.177617006177201</v>
      </c>
      <c r="H61" s="54">
        <v>10.177617006177201</v>
      </c>
      <c r="I61" s="54">
        <v>11.800415343562669</v>
      </c>
      <c r="J61" s="54">
        <v>3.5671688455757198</v>
      </c>
      <c r="K61" s="128"/>
      <c r="L61" s="128"/>
      <c r="M61" s="54">
        <v>5.5613845901767007</v>
      </c>
      <c r="N61" s="54">
        <v>2.7019233645890655</v>
      </c>
      <c r="O61" s="54">
        <v>2.7019233645890655</v>
      </c>
      <c r="P61" s="54">
        <v>0</v>
      </c>
      <c r="Q61" s="54">
        <v>0</v>
      </c>
      <c r="R61" s="128"/>
      <c r="S61" s="128"/>
      <c r="T61" s="54">
        <v>15.41380212</v>
      </c>
      <c r="U61" s="54">
        <v>9.5317616899999997</v>
      </c>
      <c r="V61" s="54">
        <v>9.5317616899999997</v>
      </c>
      <c r="W61" s="54">
        <v>12.31831798</v>
      </c>
      <c r="X61" s="54">
        <v>3.0954841399999995</v>
      </c>
      <c r="Y61" s="128"/>
      <c r="Z61" s="128"/>
      <c r="AA61" s="54">
        <v>9.2017088600000019</v>
      </c>
      <c r="AB61" s="54">
        <v>6.124252499999999</v>
      </c>
      <c r="AC61" s="54">
        <v>6.124252499999999</v>
      </c>
      <c r="AD61" s="54">
        <v>7.1887217299999993</v>
      </c>
      <c r="AE61" s="54">
        <v>2.0129871299999991</v>
      </c>
      <c r="AF61" s="128"/>
      <c r="AG61" s="128"/>
      <c r="AH61" s="54">
        <v>18.657448050000003</v>
      </c>
      <c r="AI61" s="54">
        <v>12.917734490000001</v>
      </c>
      <c r="AJ61" s="54">
        <v>12.917734490000001</v>
      </c>
      <c r="AK61" s="54">
        <v>15.278797560000003</v>
      </c>
      <c r="AL61" s="54">
        <v>3.3786504900000001</v>
      </c>
      <c r="AM61" s="128"/>
      <c r="AN61" s="128"/>
      <c r="AO61" s="54">
        <v>3.2254090099999995</v>
      </c>
      <c r="AP61" s="54">
        <v>1.0863855600000001</v>
      </c>
      <c r="AQ61" s="54">
        <v>1.0863855600000001</v>
      </c>
      <c r="AR61" s="54">
        <v>1.4775940400000001</v>
      </c>
      <c r="AS61" s="54">
        <v>1.7478149699999999</v>
      </c>
      <c r="AT61" s="128"/>
    </row>
    <row r="62" spans="1:50" outlineLevel="2">
      <c r="A62" s="237" t="s">
        <v>191</v>
      </c>
      <c r="B62" s="236" t="s">
        <v>236</v>
      </c>
      <c r="C62" s="577" t="str">
        <f t="shared" si="0"/>
        <v>Power HW</v>
      </c>
      <c r="D62" s="577" t="s">
        <v>76</v>
      </c>
      <c r="E62" s="577" t="s">
        <v>88</v>
      </c>
      <c r="F62" s="54">
        <v>11.3019331987787</v>
      </c>
      <c r="G62" s="54">
        <v>7.6647585443897199</v>
      </c>
      <c r="H62" s="54">
        <v>7.6647585443897199</v>
      </c>
      <c r="I62" s="54">
        <v>8.688617828603121</v>
      </c>
      <c r="J62" s="54">
        <v>2.61331537017558</v>
      </c>
      <c r="K62" s="128"/>
      <c r="L62" s="128"/>
      <c r="M62" s="54">
        <v>3.4525499729967493</v>
      </c>
      <c r="N62" s="54">
        <v>1.6795669430136722</v>
      </c>
      <c r="O62" s="54">
        <v>1.6795669430136722</v>
      </c>
      <c r="P62" s="54">
        <v>0</v>
      </c>
      <c r="Q62" s="54">
        <v>0</v>
      </c>
      <c r="R62" s="128"/>
      <c r="S62" s="128"/>
      <c r="T62" s="54">
        <v>13.257058869999996</v>
      </c>
      <c r="U62" s="54">
        <v>9.325117839999999</v>
      </c>
      <c r="V62" s="54">
        <v>9.325117839999999</v>
      </c>
      <c r="W62" s="54">
        <v>11.004246569999998</v>
      </c>
      <c r="X62" s="54">
        <v>2.2528123</v>
      </c>
      <c r="Y62" s="128"/>
      <c r="Z62" s="128"/>
      <c r="AA62" s="54">
        <v>5.0164856799999997</v>
      </c>
      <c r="AB62" s="54">
        <v>3.2385110600000004</v>
      </c>
      <c r="AC62" s="54">
        <v>3.2385110600000004</v>
      </c>
      <c r="AD62" s="54">
        <v>3.6990218500000007</v>
      </c>
      <c r="AE62" s="54">
        <v>1.3174638300000001</v>
      </c>
      <c r="AF62" s="128"/>
      <c r="AG62" s="128"/>
      <c r="AH62" s="54">
        <v>10.607332159999999</v>
      </c>
      <c r="AI62" s="54">
        <v>7.3194549500000008</v>
      </c>
      <c r="AJ62" s="54">
        <v>7.3194549500000008</v>
      </c>
      <c r="AK62" s="54">
        <v>8.5534650900000013</v>
      </c>
      <c r="AL62" s="54">
        <v>2.0538670700000008</v>
      </c>
      <c r="AM62" s="128"/>
      <c r="AN62" s="128"/>
      <c r="AO62" s="54">
        <v>2.9181185700000003</v>
      </c>
      <c r="AP62" s="54">
        <v>1.5796842199999999</v>
      </c>
      <c r="AQ62" s="54">
        <v>1.5796842199999999</v>
      </c>
      <c r="AR62" s="54">
        <v>1.7422590900000001</v>
      </c>
      <c r="AS62" s="54">
        <v>1.1758594800000004</v>
      </c>
      <c r="AT62" s="128"/>
    </row>
    <row r="63" spans="1:50" outlineLevel="2">
      <c r="A63" s="237" t="s">
        <v>191</v>
      </c>
      <c r="B63" s="236" t="s">
        <v>237</v>
      </c>
      <c r="C63" s="577" t="str">
        <f t="shared" si="0"/>
        <v>Power HW</v>
      </c>
      <c r="D63" s="577" t="s">
        <v>76</v>
      </c>
      <c r="E63" s="577" t="s">
        <v>198</v>
      </c>
      <c r="F63" s="54">
        <v>44.465200638648085</v>
      </c>
      <c r="G63" s="54">
        <v>30.535608619246698</v>
      </c>
      <c r="H63" s="54">
        <v>30.535608619246698</v>
      </c>
      <c r="I63" s="54">
        <v>35.943434582932042</v>
      </c>
      <c r="J63" s="54">
        <v>8.5217660557160393</v>
      </c>
      <c r="K63" s="128"/>
      <c r="L63" s="128"/>
      <c r="M63" s="54">
        <v>10.579163412237293</v>
      </c>
      <c r="N63" s="54">
        <v>4.9185904319990588</v>
      </c>
      <c r="O63" s="54">
        <v>4.9185904319990588</v>
      </c>
      <c r="P63" s="54">
        <v>0</v>
      </c>
      <c r="Q63" s="54">
        <v>0</v>
      </c>
      <c r="R63" s="128"/>
      <c r="S63" s="128"/>
      <c r="T63" s="54">
        <v>45.115727579999998</v>
      </c>
      <c r="U63" s="54">
        <v>31.985248750000004</v>
      </c>
      <c r="V63" s="54">
        <v>31.985248750000004</v>
      </c>
      <c r="W63" s="54">
        <v>37.689122869999998</v>
      </c>
      <c r="X63" s="54">
        <v>7.4266047099999994</v>
      </c>
      <c r="Y63" s="128"/>
      <c r="Z63" s="128"/>
      <c r="AA63" s="54">
        <v>9.1343898700000015</v>
      </c>
      <c r="AB63" s="54">
        <v>3.5108994300000007</v>
      </c>
      <c r="AC63" s="54">
        <v>3.5077351900000009</v>
      </c>
      <c r="AD63" s="54">
        <v>4.4645953899999986</v>
      </c>
      <c r="AE63" s="54">
        <v>4.6697944800000011</v>
      </c>
      <c r="AF63" s="128"/>
      <c r="AG63" s="128"/>
      <c r="AH63" s="54">
        <v>59.346003120000027</v>
      </c>
      <c r="AI63" s="54">
        <v>46.485948800000024</v>
      </c>
      <c r="AJ63" s="54">
        <v>46.480551080000026</v>
      </c>
      <c r="AK63" s="54">
        <v>51.816988310000013</v>
      </c>
      <c r="AL63" s="54">
        <v>7.5290148099999961</v>
      </c>
      <c r="AM63" s="128"/>
      <c r="AN63" s="128"/>
      <c r="AO63" s="54">
        <v>10.854394550000009</v>
      </c>
      <c r="AP63" s="54">
        <v>5.989442780000001</v>
      </c>
      <c r="AQ63" s="54">
        <v>5.985844300000001</v>
      </c>
      <c r="AR63" s="54">
        <v>6.8017375300000023</v>
      </c>
      <c r="AS63" s="54">
        <v>4.0526570199999981</v>
      </c>
      <c r="AT63" s="128"/>
    </row>
    <row r="64" spans="1:50" outlineLevel="2">
      <c r="A64" s="237" t="s">
        <v>191</v>
      </c>
      <c r="B64" s="236" t="s">
        <v>163</v>
      </c>
      <c r="C64" s="577" t="str">
        <f t="shared" si="0"/>
        <v>Power HW</v>
      </c>
      <c r="D64" s="577" t="s">
        <v>76</v>
      </c>
      <c r="E64" s="577" t="s">
        <v>89</v>
      </c>
      <c r="F64" s="54">
        <v>43.035595769059157</v>
      </c>
      <c r="G64" s="54">
        <v>34.260765425816601</v>
      </c>
      <c r="H64" s="54">
        <v>34.260765425816601</v>
      </c>
      <c r="I64" s="54">
        <v>38.010604354733466</v>
      </c>
      <c r="J64" s="54">
        <v>5.0249914143256902</v>
      </c>
      <c r="K64" s="128"/>
      <c r="L64" s="128"/>
      <c r="M64" s="54">
        <v>12.500295559044728</v>
      </c>
      <c r="N64" s="54">
        <v>7.8890242464604565</v>
      </c>
      <c r="O64" s="54">
        <v>7.8890242464604565</v>
      </c>
      <c r="P64" s="54">
        <v>0</v>
      </c>
      <c r="Q64" s="54">
        <v>0</v>
      </c>
      <c r="R64" s="128"/>
      <c r="S64" s="128"/>
      <c r="T64" s="54">
        <v>42.684122129999977</v>
      </c>
      <c r="U64" s="54">
        <v>32.070895309999997</v>
      </c>
      <c r="V64" s="54">
        <v>32.070895309999997</v>
      </c>
      <c r="W64" s="54">
        <v>37.056281519999999</v>
      </c>
      <c r="X64" s="54">
        <v>5.6278406099999989</v>
      </c>
      <c r="Y64" s="128"/>
      <c r="Z64" s="128"/>
      <c r="AA64" s="54">
        <v>19.155711610000022</v>
      </c>
      <c r="AB64" s="54">
        <v>14.57333261</v>
      </c>
      <c r="AC64" s="54">
        <v>14.57333261</v>
      </c>
      <c r="AD64" s="54">
        <v>16.501156580000004</v>
      </c>
      <c r="AE64" s="54">
        <v>2.6545550299999987</v>
      </c>
      <c r="AF64" s="128"/>
      <c r="AG64" s="128"/>
      <c r="AH64" s="54">
        <v>28.307846130000023</v>
      </c>
      <c r="AI64" s="54">
        <v>20.506810790000007</v>
      </c>
      <c r="AJ64" s="54">
        <v>20.506810790000007</v>
      </c>
      <c r="AK64" s="54">
        <v>23.242217840000009</v>
      </c>
      <c r="AL64" s="54">
        <v>5.0656282899999985</v>
      </c>
      <c r="AM64" s="128"/>
      <c r="AN64" s="128"/>
      <c r="AO64" s="54">
        <v>9.5271022499999916</v>
      </c>
      <c r="AP64" s="54">
        <v>6.1264808200000003</v>
      </c>
      <c r="AQ64" s="54">
        <v>6.1264808200000003</v>
      </c>
      <c r="AR64" s="54">
        <v>7.0972320699999978</v>
      </c>
      <c r="AS64" s="54">
        <v>2.4298701800000018</v>
      </c>
      <c r="AT64" s="128"/>
    </row>
    <row r="65" spans="1:46" outlineLevel="2">
      <c r="A65" s="237" t="s">
        <v>191</v>
      </c>
      <c r="B65" s="236" t="s">
        <v>404</v>
      </c>
      <c r="C65" s="577" t="str">
        <f t="shared" si="0"/>
        <v>Power HW</v>
      </c>
      <c r="D65" s="577" t="s">
        <v>76</v>
      </c>
      <c r="E65" s="577" t="s">
        <v>395</v>
      </c>
      <c r="F65" s="54">
        <v>0</v>
      </c>
      <c r="G65" s="54">
        <v>0</v>
      </c>
      <c r="H65" s="54">
        <v>0</v>
      </c>
      <c r="I65" s="54">
        <v>0</v>
      </c>
      <c r="J65" s="54">
        <v>0</v>
      </c>
      <c r="K65" s="128"/>
      <c r="L65" s="128"/>
      <c r="M65" s="54">
        <v>0</v>
      </c>
      <c r="N65" s="54">
        <v>0</v>
      </c>
      <c r="O65" s="54">
        <v>0</v>
      </c>
      <c r="P65" s="54">
        <v>0</v>
      </c>
      <c r="Q65" s="54">
        <v>0</v>
      </c>
      <c r="R65" s="128"/>
      <c r="S65" s="128"/>
      <c r="T65" s="54">
        <v>-1.7698000000000002E-2</v>
      </c>
      <c r="U65" s="54">
        <v>0</v>
      </c>
      <c r="V65" s="54">
        <v>0</v>
      </c>
      <c r="W65" s="54">
        <v>0</v>
      </c>
      <c r="X65" s="54">
        <v>-1.7698000000000002E-2</v>
      </c>
      <c r="Y65" s="128"/>
      <c r="Z65" s="128"/>
      <c r="AA65" s="54">
        <v>0</v>
      </c>
      <c r="AB65" s="54">
        <v>0</v>
      </c>
      <c r="AC65" s="54">
        <v>0</v>
      </c>
      <c r="AD65" s="54">
        <v>0</v>
      </c>
      <c r="AE65" s="54">
        <v>0</v>
      </c>
      <c r="AF65" s="128"/>
      <c r="AG65" s="128"/>
      <c r="AH65" s="54">
        <v>0</v>
      </c>
      <c r="AI65" s="54">
        <v>0</v>
      </c>
      <c r="AJ65" s="54">
        <v>0</v>
      </c>
      <c r="AK65" s="54">
        <v>0</v>
      </c>
      <c r="AL65" s="54">
        <v>0</v>
      </c>
      <c r="AM65" s="128"/>
      <c r="AN65" s="128"/>
      <c r="AO65" s="54">
        <v>0</v>
      </c>
      <c r="AP65" s="54">
        <v>0</v>
      </c>
      <c r="AQ65" s="54">
        <v>0</v>
      </c>
      <c r="AR65" s="54">
        <v>0</v>
      </c>
      <c r="AS65" s="54">
        <v>0</v>
      </c>
      <c r="AT65" s="128"/>
    </row>
    <row r="66" spans="1:46">
      <c r="A66" s="237" t="s">
        <v>191</v>
      </c>
      <c r="B66" s="236" t="s">
        <v>59</v>
      </c>
      <c r="C66" s="577" t="str">
        <f t="shared" si="0"/>
        <v>Power HW</v>
      </c>
      <c r="D66" s="577" t="s">
        <v>76</v>
      </c>
      <c r="E66" s="577" t="s">
        <v>90</v>
      </c>
      <c r="F66" s="54">
        <v>57.554960806266251</v>
      </c>
      <c r="G66" s="54">
        <v>34.505810734239802</v>
      </c>
      <c r="H66" s="54">
        <v>34.505810734239802</v>
      </c>
      <c r="I66" s="54">
        <v>43.887335347397951</v>
      </c>
      <c r="J66" s="54">
        <v>13.667625458868301</v>
      </c>
      <c r="K66" s="128"/>
      <c r="L66" s="128"/>
      <c r="M66" s="54">
        <v>21.210189881062291</v>
      </c>
      <c r="N66" s="54">
        <v>10.222653043987044</v>
      </c>
      <c r="O66" s="54">
        <v>10.222653043987044</v>
      </c>
      <c r="P66" s="54">
        <v>0</v>
      </c>
      <c r="Q66" s="54">
        <v>0</v>
      </c>
      <c r="R66" s="128"/>
      <c r="S66" s="128"/>
      <c r="T66" s="54">
        <v>50.819353560000003</v>
      </c>
      <c r="U66" s="54">
        <v>28.238763040000002</v>
      </c>
      <c r="V66" s="54">
        <v>26.367348939999999</v>
      </c>
      <c r="W66" s="54">
        <v>36.788342879999995</v>
      </c>
      <c r="X66" s="54">
        <v>14.031010680000001</v>
      </c>
      <c r="Y66" s="128"/>
      <c r="Z66" s="128"/>
      <c r="AA66" s="54">
        <v>27.17579515000001</v>
      </c>
      <c r="AB66" s="54">
        <v>15.74446498</v>
      </c>
      <c r="AC66" s="54">
        <v>14.674069599999999</v>
      </c>
      <c r="AD66" s="54">
        <v>18.98169789</v>
      </c>
      <c r="AE66" s="54">
        <v>8.1940972599999995</v>
      </c>
      <c r="AF66" s="128"/>
      <c r="AG66" s="128"/>
      <c r="AH66" s="54">
        <v>59.155471370000001</v>
      </c>
      <c r="AI66" s="54">
        <v>36.973452170000009</v>
      </c>
      <c r="AJ66" s="54">
        <v>34.861483410000012</v>
      </c>
      <c r="AK66" s="54">
        <v>45.945403630000008</v>
      </c>
      <c r="AL66" s="54">
        <v>13.210067739999994</v>
      </c>
      <c r="AM66" s="128"/>
      <c r="AN66" s="128"/>
      <c r="AO66" s="54">
        <v>12.85327084</v>
      </c>
      <c r="AP66" s="54">
        <v>4.6351890999999998</v>
      </c>
      <c r="AQ66" s="54">
        <v>3.5216488800000003</v>
      </c>
      <c r="AR66" s="54">
        <v>5.9666944699999993</v>
      </c>
      <c r="AS66" s="54">
        <v>6.8865763700000011</v>
      </c>
      <c r="AT66" s="128"/>
    </row>
    <row r="67" spans="1:46">
      <c r="A67" s="237" t="s">
        <v>191</v>
      </c>
      <c r="B67" s="236" t="s">
        <v>34</v>
      </c>
      <c r="C67" s="577" t="str">
        <f t="shared" si="0"/>
        <v>Power HW</v>
      </c>
      <c r="D67" s="577" t="s">
        <v>76</v>
      </c>
      <c r="E67" s="577" t="s">
        <v>91</v>
      </c>
      <c r="F67" s="54">
        <v>109.49074097573151</v>
      </c>
      <c r="G67" s="54">
        <v>81.027820664687098</v>
      </c>
      <c r="H67" s="54">
        <v>81.027820664687098</v>
      </c>
      <c r="I67" s="54">
        <v>95.199224785416618</v>
      </c>
      <c r="J67" s="54">
        <v>14.291516190314901</v>
      </c>
      <c r="K67" s="128"/>
      <c r="L67" s="128"/>
      <c r="M67" s="54">
        <v>37.998796132657439</v>
      </c>
      <c r="N67" s="54">
        <v>25.705541788762538</v>
      </c>
      <c r="O67" s="54">
        <v>25.705541788762538</v>
      </c>
      <c r="P67" s="54">
        <v>0</v>
      </c>
      <c r="Q67" s="54">
        <v>0</v>
      </c>
      <c r="R67" s="128"/>
      <c r="S67" s="128"/>
      <c r="T67" s="54">
        <v>94.564393240000015</v>
      </c>
      <c r="U67" s="54">
        <v>64.74322715000001</v>
      </c>
      <c r="V67" s="54">
        <v>63.586337200000003</v>
      </c>
      <c r="W67" s="54">
        <v>79.330609010000018</v>
      </c>
      <c r="X67" s="54">
        <v>15.233784229999996</v>
      </c>
      <c r="Y67" s="128"/>
      <c r="Z67" s="128"/>
      <c r="AA67" s="54">
        <v>43.739985180000048</v>
      </c>
      <c r="AB67" s="54">
        <v>30.911808620000002</v>
      </c>
      <c r="AC67" s="54">
        <v>30.501564909999999</v>
      </c>
      <c r="AD67" s="54">
        <v>36.324532530000013</v>
      </c>
      <c r="AE67" s="54">
        <v>7.4154526499999998</v>
      </c>
      <c r="AF67" s="128"/>
      <c r="AG67" s="128"/>
      <c r="AH67" s="54">
        <v>116.78566487000002</v>
      </c>
      <c r="AI67" s="54">
        <v>82.108533640000005</v>
      </c>
      <c r="AJ67" s="54">
        <v>81.202872279999994</v>
      </c>
      <c r="AK67" s="54">
        <v>101.82915059000003</v>
      </c>
      <c r="AL67" s="54">
        <v>14.956514279999986</v>
      </c>
      <c r="AM67" s="128"/>
      <c r="AN67" s="128"/>
      <c r="AO67" s="54">
        <v>29.862996439999989</v>
      </c>
      <c r="AP67" s="54">
        <v>20.139363699999997</v>
      </c>
      <c r="AQ67" s="54">
        <v>19.760555359999994</v>
      </c>
      <c r="AR67" s="54">
        <v>23.861280499999996</v>
      </c>
      <c r="AS67" s="54">
        <v>6.001715939999996</v>
      </c>
      <c r="AT67" s="128"/>
    </row>
    <row r="68" spans="1:46" outlineLevel="1">
      <c r="A68" s="237" t="s">
        <v>191</v>
      </c>
      <c r="B68" s="236" t="s">
        <v>399</v>
      </c>
      <c r="C68" s="577" t="str">
        <f t="shared" si="0"/>
        <v>Power HW</v>
      </c>
      <c r="D68" s="577" t="s">
        <v>76</v>
      </c>
      <c r="E68" s="577" t="s">
        <v>407</v>
      </c>
      <c r="F68" s="54">
        <v>32.085913999251424</v>
      </c>
      <c r="G68" s="54">
        <v>23.609576264605401</v>
      </c>
      <c r="H68" s="54">
        <v>23.609576264605401</v>
      </c>
      <c r="I68" s="54">
        <v>26.819590414698894</v>
      </c>
      <c r="J68" s="54">
        <v>5.2663235845525298</v>
      </c>
      <c r="K68" s="128"/>
      <c r="L68" s="128"/>
      <c r="M68" s="54">
        <v>11.017328534454803</v>
      </c>
      <c r="N68" s="54">
        <v>6.8661899708739149</v>
      </c>
      <c r="O68" s="54">
        <v>6.8661899708739149</v>
      </c>
      <c r="P68" s="54">
        <v>0</v>
      </c>
      <c r="Q68" s="54">
        <v>0</v>
      </c>
      <c r="R68" s="128"/>
      <c r="S68" s="128"/>
      <c r="T68" s="54">
        <v>28.148190280000001</v>
      </c>
      <c r="U68" s="54">
        <v>15.620288270000001</v>
      </c>
      <c r="V68" s="54">
        <v>15.620288270000001</v>
      </c>
      <c r="W68" s="54">
        <v>22.72814928</v>
      </c>
      <c r="X68" s="54">
        <v>5.4200410000000003</v>
      </c>
      <c r="Y68" s="128"/>
      <c r="Z68" s="128"/>
      <c r="AA68" s="54">
        <v>13.839761939999995</v>
      </c>
      <c r="AB68" s="54">
        <v>9.184702709999998</v>
      </c>
      <c r="AC68" s="54">
        <v>9.184702709999998</v>
      </c>
      <c r="AD68" s="54">
        <v>11.205962960000001</v>
      </c>
      <c r="AE68" s="54">
        <v>2.633798979999999</v>
      </c>
      <c r="AF68" s="128"/>
      <c r="AG68" s="128"/>
      <c r="AH68" s="54">
        <v>42.041591520000011</v>
      </c>
      <c r="AI68" s="54">
        <v>25.312289800000002</v>
      </c>
      <c r="AJ68" s="54">
        <v>25.312289800000002</v>
      </c>
      <c r="AK68" s="54">
        <v>36.347635020000006</v>
      </c>
      <c r="AL68" s="54">
        <v>5.6939564999999979</v>
      </c>
      <c r="AM68" s="128"/>
      <c r="AN68" s="128"/>
      <c r="AO68" s="54">
        <v>10.692455279999999</v>
      </c>
      <c r="AP68" s="54">
        <v>7.5315092300000002</v>
      </c>
      <c r="AQ68" s="54">
        <v>7.5315092300000002</v>
      </c>
      <c r="AR68" s="54">
        <v>9.0113600199999997</v>
      </c>
      <c r="AS68" s="54">
        <v>1.6810952600000002</v>
      </c>
      <c r="AT68" s="128"/>
    </row>
    <row r="69" spans="1:46" outlineLevel="1">
      <c r="A69" s="237" t="s">
        <v>191</v>
      </c>
      <c r="B69" s="236" t="s">
        <v>400</v>
      </c>
      <c r="C69" s="577" t="str">
        <f t="shared" si="0"/>
        <v>Power HW</v>
      </c>
      <c r="D69" s="577" t="s">
        <v>76</v>
      </c>
      <c r="E69" s="577" t="s">
        <v>1179</v>
      </c>
      <c r="F69" s="54">
        <v>13.782718344500401</v>
      </c>
      <c r="G69" s="54">
        <v>10.459295636997901</v>
      </c>
      <c r="H69" s="54">
        <v>10.459295636997901</v>
      </c>
      <c r="I69" s="54">
        <v>11.025834932969421</v>
      </c>
      <c r="J69" s="54">
        <v>2.7568834115309802</v>
      </c>
      <c r="K69" s="128"/>
      <c r="L69" s="128"/>
      <c r="M69" s="54">
        <v>3.639053495798378</v>
      </c>
      <c r="N69" s="54">
        <v>2.3704013192052971</v>
      </c>
      <c r="O69" s="54">
        <v>2.3704013192052971</v>
      </c>
      <c r="P69" s="54">
        <v>0</v>
      </c>
      <c r="Q69" s="54">
        <v>0</v>
      </c>
      <c r="R69" s="128"/>
      <c r="S69" s="128"/>
      <c r="T69" s="54">
        <v>6.5615200100000015</v>
      </c>
      <c r="U69" s="54">
        <v>3.2909068700000006</v>
      </c>
      <c r="V69" s="54">
        <v>3.2909068700000006</v>
      </c>
      <c r="W69" s="54">
        <v>3.8822843900000001</v>
      </c>
      <c r="X69" s="54">
        <v>2.6792356200000005</v>
      </c>
      <c r="Y69" s="128"/>
      <c r="Z69" s="128"/>
      <c r="AA69" s="54">
        <v>4.7341430700000027</v>
      </c>
      <c r="AB69" s="54">
        <v>2.9593848</v>
      </c>
      <c r="AC69" s="54">
        <v>2.9593848</v>
      </c>
      <c r="AD69" s="54">
        <v>3.5424793200000004</v>
      </c>
      <c r="AE69" s="54">
        <v>1.1916637499999998</v>
      </c>
      <c r="AF69" s="128"/>
      <c r="AG69" s="128"/>
      <c r="AH69" s="54">
        <v>19.279061340000013</v>
      </c>
      <c r="AI69" s="54">
        <v>14.915337430000001</v>
      </c>
      <c r="AJ69" s="54">
        <v>14.915337430000001</v>
      </c>
      <c r="AK69" s="54">
        <v>16.600176909999998</v>
      </c>
      <c r="AL69" s="54">
        <v>2.6788844299999992</v>
      </c>
      <c r="AM69" s="128"/>
      <c r="AN69" s="128"/>
      <c r="AO69" s="54">
        <v>1.0551407900000001</v>
      </c>
      <c r="AP69" s="54">
        <v>-1.9269899999999979E-2</v>
      </c>
      <c r="AQ69" s="54">
        <v>-1.9269899999999979E-2</v>
      </c>
      <c r="AR69" s="54">
        <v>1.6886700000000022E-2</v>
      </c>
      <c r="AS69" s="54">
        <v>1.0382540900000001</v>
      </c>
      <c r="AT69" s="128"/>
    </row>
    <row r="70" spans="1:46" outlineLevel="1">
      <c r="A70" s="237" t="s">
        <v>191</v>
      </c>
      <c r="B70" s="236" t="s">
        <v>401</v>
      </c>
      <c r="C70" s="577" t="str">
        <f t="shared" si="0"/>
        <v>Power HW</v>
      </c>
      <c r="D70" s="577" t="s">
        <v>76</v>
      </c>
      <c r="E70" s="577" t="s">
        <v>408</v>
      </c>
      <c r="F70" s="54">
        <v>26.872563341448313</v>
      </c>
      <c r="G70" s="54">
        <v>20.762476514270102</v>
      </c>
      <c r="H70" s="54">
        <v>20.762476514270102</v>
      </c>
      <c r="I70" s="54">
        <v>25.155931126850973</v>
      </c>
      <c r="J70" s="54">
        <v>1.7166322145973401</v>
      </c>
      <c r="K70" s="128"/>
      <c r="L70" s="128"/>
      <c r="M70" s="54">
        <v>8.3648274291677254</v>
      </c>
      <c r="N70" s="54">
        <v>6.1983721321925369</v>
      </c>
      <c r="O70" s="54">
        <v>6.1983721321925369</v>
      </c>
      <c r="P70" s="54">
        <v>0</v>
      </c>
      <c r="Q70" s="54">
        <v>0</v>
      </c>
      <c r="R70" s="128"/>
      <c r="S70" s="128"/>
      <c r="T70" s="54">
        <v>26.515087699999999</v>
      </c>
      <c r="U70" s="54">
        <v>22.60647784</v>
      </c>
      <c r="V70" s="54">
        <v>22.60647784</v>
      </c>
      <c r="W70" s="54">
        <v>24.57298299</v>
      </c>
      <c r="X70" s="54">
        <v>1.94210471</v>
      </c>
      <c r="Y70" s="128"/>
      <c r="Z70" s="128"/>
      <c r="AA70" s="54">
        <v>3.8104689199999999</v>
      </c>
      <c r="AB70" s="54">
        <v>2.2533168799999999</v>
      </c>
      <c r="AC70" s="54">
        <v>2.2533168799999999</v>
      </c>
      <c r="AD70" s="54">
        <v>2.6578008699999995</v>
      </c>
      <c r="AE70" s="54">
        <v>1.1526680499999999</v>
      </c>
      <c r="AF70" s="128"/>
      <c r="AG70" s="128"/>
      <c r="AH70" s="54">
        <v>18.199368979999999</v>
      </c>
      <c r="AI70" s="54">
        <v>14.35690226</v>
      </c>
      <c r="AJ70" s="54">
        <v>14.35690226</v>
      </c>
      <c r="AK70" s="54">
        <v>16.398184310000005</v>
      </c>
      <c r="AL70" s="54">
        <v>1.80118467</v>
      </c>
      <c r="AM70" s="128"/>
      <c r="AN70" s="128"/>
      <c r="AO70" s="54">
        <v>9.9188815699999981</v>
      </c>
      <c r="AP70" s="54">
        <v>7.5933034499999996</v>
      </c>
      <c r="AQ70" s="54">
        <v>7.5933034499999996</v>
      </c>
      <c r="AR70" s="54">
        <v>8.92687718</v>
      </c>
      <c r="AS70" s="54">
        <v>0.99200438999999996</v>
      </c>
      <c r="AT70" s="128"/>
    </row>
    <row r="71" spans="1:46" outlineLevel="1">
      <c r="A71" s="237" t="s">
        <v>191</v>
      </c>
      <c r="B71" s="236" t="s">
        <v>93</v>
      </c>
      <c r="C71" s="577" t="str">
        <f t="shared" si="0"/>
        <v>Power HW</v>
      </c>
      <c r="D71" s="577" t="s">
        <v>76</v>
      </c>
      <c r="E71" s="577" t="s">
        <v>93</v>
      </c>
      <c r="F71" s="54">
        <v>20.05909228111673</v>
      </c>
      <c r="G71" s="54">
        <v>14.9348015556291</v>
      </c>
      <c r="H71" s="54">
        <v>14.9348015556291</v>
      </c>
      <c r="I71" s="54">
        <v>18.02078729198697</v>
      </c>
      <c r="J71" s="54">
        <v>2.03830498912976</v>
      </c>
      <c r="K71" s="128"/>
      <c r="L71" s="128"/>
      <c r="M71" s="54">
        <v>9.4081213349978707</v>
      </c>
      <c r="N71" s="54">
        <v>6.6582497634504971</v>
      </c>
      <c r="O71" s="54">
        <v>6.6582497634504971</v>
      </c>
      <c r="P71" s="54">
        <v>0</v>
      </c>
      <c r="Q71" s="54">
        <v>0</v>
      </c>
      <c r="R71" s="128"/>
      <c r="S71" s="128"/>
      <c r="T71" s="54">
        <v>12.011038070000001</v>
      </c>
      <c r="U71" s="54">
        <v>8.0040369399999989</v>
      </c>
      <c r="V71" s="54">
        <v>8.0040369399999989</v>
      </c>
      <c r="W71" s="54">
        <v>9.5721142900000018</v>
      </c>
      <c r="X71" s="54">
        <v>2.4389237800000001</v>
      </c>
      <c r="Y71" s="128"/>
      <c r="Z71" s="128"/>
      <c r="AA71" s="54">
        <v>13.864643929999998</v>
      </c>
      <c r="AB71" s="54">
        <v>11.37009742</v>
      </c>
      <c r="AC71" s="54">
        <v>11.37009742</v>
      </c>
      <c r="AD71" s="54">
        <v>12.842848219999997</v>
      </c>
      <c r="AE71" s="54">
        <v>1.0217957100000001</v>
      </c>
      <c r="AF71" s="128"/>
      <c r="AG71" s="128"/>
      <c r="AH71" s="54">
        <v>18.413019399999992</v>
      </c>
      <c r="AI71" s="54">
        <v>14.49170219</v>
      </c>
      <c r="AJ71" s="54">
        <v>14.49170219</v>
      </c>
      <c r="AK71" s="54">
        <v>16.958403779999998</v>
      </c>
      <c r="AL71" s="54">
        <v>1.4546156200000004</v>
      </c>
      <c r="AM71" s="128"/>
      <c r="AN71" s="128"/>
      <c r="AO71" s="54">
        <v>3.6127238300000002</v>
      </c>
      <c r="AP71" s="54">
        <v>2.7317982699999996</v>
      </c>
      <c r="AQ71" s="54">
        <v>2.7317982699999996</v>
      </c>
      <c r="AR71" s="54">
        <v>2.9731201099999995</v>
      </c>
      <c r="AS71" s="54">
        <v>0.6396037200000001</v>
      </c>
      <c r="AT71" s="128"/>
    </row>
    <row r="72" spans="1:46" outlineLevel="1">
      <c r="A72" s="237" t="s">
        <v>191</v>
      </c>
      <c r="B72" s="236" t="s">
        <v>238</v>
      </c>
      <c r="C72" s="577" t="str">
        <f t="shared" si="0"/>
        <v>Power HW</v>
      </c>
      <c r="D72" s="577" t="s">
        <v>76</v>
      </c>
      <c r="E72" s="577" t="s">
        <v>94</v>
      </c>
      <c r="F72" s="54">
        <v>21.46454714200015</v>
      </c>
      <c r="G72" s="54">
        <v>16.035764825770102</v>
      </c>
      <c r="H72" s="54">
        <v>16.035764825770102</v>
      </c>
      <c r="I72" s="54">
        <v>18.95117515149586</v>
      </c>
      <c r="J72" s="54">
        <v>2.5133719905042899</v>
      </c>
      <c r="K72" s="128"/>
      <c r="L72" s="128"/>
      <c r="M72" s="54">
        <v>6.8460564916830595</v>
      </c>
      <c r="N72" s="54">
        <v>4.8889197564846922</v>
      </c>
      <c r="O72" s="54">
        <v>4.8889197564846922</v>
      </c>
      <c r="P72" s="54">
        <v>0</v>
      </c>
      <c r="Q72" s="54">
        <v>0</v>
      </c>
      <c r="R72" s="128"/>
      <c r="S72" s="128"/>
      <c r="T72" s="54">
        <v>21.328557179999997</v>
      </c>
      <c r="U72" s="54">
        <v>15.221517229999998</v>
      </c>
      <c r="V72" s="54">
        <v>14.06462728</v>
      </c>
      <c r="W72" s="54">
        <v>18.575078060000003</v>
      </c>
      <c r="X72" s="54">
        <v>2.7534791199999997</v>
      </c>
      <c r="Y72" s="128"/>
      <c r="Z72" s="128"/>
      <c r="AA72" s="54">
        <v>7.4909673199999993</v>
      </c>
      <c r="AB72" s="54">
        <v>5.1443068099999998</v>
      </c>
      <c r="AC72" s="54">
        <v>4.7340630999999993</v>
      </c>
      <c r="AD72" s="54">
        <v>6.0754411599999996</v>
      </c>
      <c r="AE72" s="54">
        <v>1.4155261600000004</v>
      </c>
      <c r="AF72" s="128"/>
      <c r="AG72" s="128"/>
      <c r="AH72" s="54">
        <v>18.85262363</v>
      </c>
      <c r="AI72" s="54">
        <v>13.032301959999998</v>
      </c>
      <c r="AJ72" s="54">
        <v>12.1266406</v>
      </c>
      <c r="AK72" s="54">
        <v>15.524750570000002</v>
      </c>
      <c r="AL72" s="54">
        <v>3.3278730599999995</v>
      </c>
      <c r="AM72" s="128"/>
      <c r="AN72" s="128"/>
      <c r="AO72" s="54">
        <v>4.5837949699999996</v>
      </c>
      <c r="AP72" s="54">
        <v>2.3020226500000001</v>
      </c>
      <c r="AQ72" s="54">
        <v>1.9232143099999999</v>
      </c>
      <c r="AR72" s="54">
        <v>2.9330364900000001</v>
      </c>
      <c r="AS72" s="54">
        <v>1.6507584800000004</v>
      </c>
      <c r="AT72" s="128"/>
    </row>
    <row r="73" spans="1:46" outlineLevel="1">
      <c r="A73" s="237" t="s">
        <v>191</v>
      </c>
      <c r="B73" s="236" t="s">
        <v>402</v>
      </c>
      <c r="C73" s="577" t="str">
        <f t="shared" si="0"/>
        <v>Power HW</v>
      </c>
      <c r="D73" s="577" t="s">
        <v>76</v>
      </c>
      <c r="E73" s="577" t="s">
        <v>398</v>
      </c>
      <c r="F73" s="54">
        <v>-4.7740941325855504</v>
      </c>
      <c r="G73" s="54">
        <v>-4.7740941325855504</v>
      </c>
      <c r="H73" s="54">
        <v>-4.7740941325855504</v>
      </c>
      <c r="I73" s="54">
        <v>-4.7740941325855504</v>
      </c>
      <c r="J73" s="54">
        <v>0</v>
      </c>
      <c r="K73" s="128"/>
      <c r="L73" s="128"/>
      <c r="M73" s="54">
        <v>0</v>
      </c>
      <c r="N73" s="54">
        <v>0</v>
      </c>
      <c r="O73" s="54">
        <v>0</v>
      </c>
      <c r="P73" s="54">
        <v>0</v>
      </c>
      <c r="Q73" s="54">
        <v>0</v>
      </c>
      <c r="R73" s="128"/>
      <c r="S73" s="128"/>
      <c r="T73" s="54">
        <v>0</v>
      </c>
      <c r="U73" s="54">
        <v>0</v>
      </c>
      <c r="V73" s="54">
        <v>0</v>
      </c>
      <c r="W73" s="54">
        <v>0</v>
      </c>
      <c r="X73" s="54">
        <v>0</v>
      </c>
      <c r="Y73" s="128"/>
      <c r="Z73" s="128"/>
      <c r="AA73" s="54">
        <v>0</v>
      </c>
      <c r="AB73" s="54">
        <v>0</v>
      </c>
      <c r="AC73" s="54">
        <v>0</v>
      </c>
      <c r="AD73" s="54">
        <v>0</v>
      </c>
      <c r="AE73" s="54">
        <v>0</v>
      </c>
      <c r="AF73" s="128"/>
      <c r="AG73" s="128"/>
      <c r="AH73" s="54">
        <v>0</v>
      </c>
      <c r="AI73" s="54">
        <v>0</v>
      </c>
      <c r="AJ73" s="54">
        <v>0</v>
      </c>
      <c r="AK73" s="54">
        <v>0</v>
      </c>
      <c r="AL73" s="54">
        <v>0</v>
      </c>
      <c r="AM73" s="128"/>
      <c r="AN73" s="128"/>
      <c r="AO73" s="54">
        <v>0</v>
      </c>
      <c r="AP73" s="54">
        <v>0</v>
      </c>
      <c r="AQ73" s="54">
        <v>0</v>
      </c>
      <c r="AR73" s="54">
        <v>0</v>
      </c>
      <c r="AS73" s="54">
        <v>0</v>
      </c>
      <c r="AT73" s="128"/>
    </row>
    <row r="74" spans="1:46">
      <c r="B74" s="236"/>
      <c r="C74" s="577"/>
      <c r="D74" s="577"/>
      <c r="E74" s="577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  <c r="AC74" s="128"/>
      <c r="AD74" s="128"/>
      <c r="AE74" s="128"/>
      <c r="AF74" s="128"/>
      <c r="AG74" s="128"/>
      <c r="AH74" s="128"/>
      <c r="AI74" s="128"/>
      <c r="AJ74" s="128"/>
      <c r="AK74" s="128"/>
      <c r="AL74" s="128"/>
      <c r="AM74" s="128"/>
      <c r="AN74" s="128"/>
      <c r="AO74" s="128"/>
      <c r="AP74" s="128"/>
      <c r="AQ74" s="128"/>
      <c r="AR74" s="128"/>
      <c r="AS74" s="128"/>
      <c r="AT74" s="128"/>
    </row>
    <row r="75" spans="1:46">
      <c r="A75" s="237" t="s">
        <v>218</v>
      </c>
      <c r="B75" s="236" t="s">
        <v>13</v>
      </c>
      <c r="C75" s="577" t="s">
        <v>56</v>
      </c>
      <c r="D75" s="577" t="s">
        <v>72</v>
      </c>
      <c r="E75" s="577" t="s">
        <v>73</v>
      </c>
      <c r="F75" s="54">
        <v>836.85793319208108</v>
      </c>
      <c r="G75" s="54">
        <v>815.63814231205902</v>
      </c>
      <c r="H75" s="54">
        <v>773.69798672589206</v>
      </c>
      <c r="I75" s="54">
        <v>815.977963252059</v>
      </c>
      <c r="J75" s="54">
        <v>20.879969940022189</v>
      </c>
      <c r="K75" s="128"/>
      <c r="L75" s="128"/>
      <c r="M75" s="54">
        <v>204.59883698485109</v>
      </c>
      <c r="N75" s="54">
        <v>196.36770211032433</v>
      </c>
      <c r="O75" s="54">
        <v>167.67700184803351</v>
      </c>
      <c r="P75" s="54">
        <v>0</v>
      </c>
      <c r="Q75" s="54">
        <v>0</v>
      </c>
      <c r="R75" s="128"/>
      <c r="S75" s="128"/>
      <c r="T75" s="54">
        <v>938.76305822000006</v>
      </c>
      <c r="U75" s="54">
        <v>916.81787025000017</v>
      </c>
      <c r="V75" s="54">
        <v>868.55276931000003</v>
      </c>
      <c r="W75" s="54">
        <v>916.97241269999995</v>
      </c>
      <c r="X75" s="54">
        <v>21.790645520000002</v>
      </c>
      <c r="Y75" s="128"/>
      <c r="Z75" s="128"/>
      <c r="AA75" s="54">
        <v>189.68073092000006</v>
      </c>
      <c r="AB75" s="54">
        <v>183.62787237999999</v>
      </c>
      <c r="AC75" s="54">
        <v>153.19900975999997</v>
      </c>
      <c r="AD75" s="54">
        <v>183.78050858000006</v>
      </c>
      <c r="AE75" s="54">
        <v>5.9002223400000018</v>
      </c>
      <c r="AF75" s="128"/>
      <c r="AG75" s="128"/>
      <c r="AH75" s="54">
        <v>821.55492881000032</v>
      </c>
      <c r="AI75" s="54">
        <v>802.50130806000016</v>
      </c>
      <c r="AJ75" s="54">
        <v>748.71549826</v>
      </c>
      <c r="AK75" s="54">
        <v>802.78201213</v>
      </c>
      <c r="AL75" s="54">
        <v>18.772916679999991</v>
      </c>
      <c r="AM75" s="128"/>
      <c r="AN75" s="128"/>
      <c r="AO75" s="54">
        <v>130.30594628999998</v>
      </c>
      <c r="AP75" s="54">
        <v>124.23663104000002</v>
      </c>
      <c r="AQ75" s="54">
        <v>102.63996255000002</v>
      </c>
      <c r="AR75" s="54">
        <v>124.53386193999998</v>
      </c>
      <c r="AS75" s="54">
        <v>5.7720843500000001</v>
      </c>
      <c r="AT75" s="128"/>
    </row>
    <row r="76" spans="1:46">
      <c r="A76" s="237" t="s">
        <v>218</v>
      </c>
      <c r="B76" s="236" t="s">
        <v>243</v>
      </c>
      <c r="C76" s="577" t="s">
        <v>56</v>
      </c>
      <c r="D76" s="577" t="s">
        <v>72</v>
      </c>
      <c r="E76" s="577" t="s">
        <v>74</v>
      </c>
      <c r="F76" s="54">
        <v>794.91777760591413</v>
      </c>
      <c r="G76" s="54">
        <v>773.69798672589206</v>
      </c>
      <c r="H76" s="54">
        <v>773.69798672589206</v>
      </c>
      <c r="I76" s="54">
        <v>774.03780766589205</v>
      </c>
      <c r="J76" s="54">
        <v>20.879969940022189</v>
      </c>
      <c r="K76" s="128"/>
      <c r="L76" s="128"/>
      <c r="M76" s="54">
        <v>175.90813672256027</v>
      </c>
      <c r="N76" s="54">
        <v>167.67700184803351</v>
      </c>
      <c r="O76" s="54">
        <v>167.67700184803351</v>
      </c>
      <c r="P76" s="54">
        <v>0</v>
      </c>
      <c r="Q76" s="54">
        <v>0</v>
      </c>
      <c r="R76" s="128"/>
      <c r="S76" s="128"/>
      <c r="T76" s="54">
        <v>898.29541471000016</v>
      </c>
      <c r="U76" s="54">
        <v>876.35022674000015</v>
      </c>
      <c r="V76" s="54">
        <v>868.55276931000003</v>
      </c>
      <c r="W76" s="54">
        <v>876.50476919000005</v>
      </c>
      <c r="X76" s="54">
        <v>21.790645520000002</v>
      </c>
      <c r="Y76" s="128"/>
      <c r="Z76" s="128"/>
      <c r="AA76" s="54">
        <v>164.14044792000004</v>
      </c>
      <c r="AB76" s="54">
        <v>158.08758937999997</v>
      </c>
      <c r="AC76" s="54">
        <v>153.19900975999997</v>
      </c>
      <c r="AD76" s="54">
        <v>158.24022558000004</v>
      </c>
      <c r="AE76" s="54">
        <v>5.9002223400000018</v>
      </c>
      <c r="AF76" s="128"/>
      <c r="AG76" s="128"/>
      <c r="AH76" s="54">
        <v>782.11219581000034</v>
      </c>
      <c r="AI76" s="54">
        <v>763.05857506000018</v>
      </c>
      <c r="AJ76" s="54">
        <v>748.71549826</v>
      </c>
      <c r="AK76" s="54">
        <v>763.33927913000002</v>
      </c>
      <c r="AL76" s="54">
        <v>18.772916679999991</v>
      </c>
      <c r="AM76" s="128"/>
      <c r="AN76" s="128"/>
      <c r="AO76" s="54">
        <v>111.33268476999999</v>
      </c>
      <c r="AP76" s="54">
        <v>105.26336952000003</v>
      </c>
      <c r="AQ76" s="54">
        <v>102.63996255000002</v>
      </c>
      <c r="AR76" s="54">
        <v>105.56060041999999</v>
      </c>
      <c r="AS76" s="54">
        <v>5.7720843500000001</v>
      </c>
      <c r="AT76" s="128"/>
    </row>
    <row r="77" spans="1:46">
      <c r="A77" s="237" t="s">
        <v>218</v>
      </c>
      <c r="B77" s="236" t="s">
        <v>234</v>
      </c>
      <c r="C77" s="577" t="str">
        <f>C76</f>
        <v>Storage HW</v>
      </c>
      <c r="D77" s="577" t="s">
        <v>72</v>
      </c>
      <c r="E77" s="577" t="s">
        <v>75</v>
      </c>
      <c r="F77" s="54">
        <v>41.940155586166902</v>
      </c>
      <c r="G77" s="54">
        <v>41.940155586166902</v>
      </c>
      <c r="H77" s="54">
        <v>0</v>
      </c>
      <c r="I77" s="54">
        <v>41.940155586166902</v>
      </c>
      <c r="J77" s="54">
        <v>0</v>
      </c>
      <c r="K77" s="128"/>
      <c r="L77" s="128"/>
      <c r="M77" s="54">
        <v>28.6907002622908</v>
      </c>
      <c r="N77" s="54">
        <v>28.6907002622908</v>
      </c>
      <c r="O77" s="54">
        <v>0</v>
      </c>
      <c r="P77" s="54">
        <v>0</v>
      </c>
      <c r="Q77" s="54">
        <v>0</v>
      </c>
      <c r="R77" s="128"/>
      <c r="S77" s="128"/>
      <c r="T77" s="54">
        <v>48.678722150000006</v>
      </c>
      <c r="U77" s="54">
        <v>48.678722150000006</v>
      </c>
      <c r="V77" s="54">
        <v>0</v>
      </c>
      <c r="W77" s="54">
        <v>48.678722150000006</v>
      </c>
      <c r="X77" s="54">
        <v>0</v>
      </c>
      <c r="Y77" s="128"/>
      <c r="Z77" s="128"/>
      <c r="AA77" s="54">
        <v>28.258407529999999</v>
      </c>
      <c r="AB77" s="54">
        <v>28.258407529999999</v>
      </c>
      <c r="AC77" s="54">
        <v>0</v>
      </c>
      <c r="AD77" s="54">
        <v>28.258407529999999</v>
      </c>
      <c r="AE77" s="54">
        <v>0</v>
      </c>
      <c r="AF77" s="128"/>
      <c r="AG77" s="128"/>
      <c r="AH77" s="54">
        <v>46.361757680000004</v>
      </c>
      <c r="AI77" s="54">
        <v>46.361757680000004</v>
      </c>
      <c r="AJ77" s="54">
        <v>0</v>
      </c>
      <c r="AK77" s="54">
        <v>46.361757680000004</v>
      </c>
      <c r="AL77" s="54">
        <v>0</v>
      </c>
      <c r="AM77" s="128"/>
      <c r="AN77" s="128"/>
      <c r="AO77" s="54">
        <v>20.72888816</v>
      </c>
      <c r="AP77" s="54">
        <v>20.72888816</v>
      </c>
      <c r="AQ77" s="54">
        <v>0</v>
      </c>
      <c r="AR77" s="54">
        <v>20.72888816</v>
      </c>
      <c r="AS77" s="54">
        <v>0</v>
      </c>
      <c r="AT77" s="128"/>
    </row>
    <row r="78" spans="1:46">
      <c r="A78" s="237" t="s">
        <v>218</v>
      </c>
      <c r="B78" s="236" t="s">
        <v>58</v>
      </c>
      <c r="C78" s="577" t="str">
        <f t="shared" ref="C78:C104" si="1">+C77</f>
        <v>Storage HW</v>
      </c>
      <c r="D78" s="577" t="s">
        <v>76</v>
      </c>
      <c r="E78" s="577" t="s">
        <v>16</v>
      </c>
      <c r="F78" s="54">
        <v>357.79324748163515</v>
      </c>
      <c r="G78" s="54">
        <v>350.96596433844002</v>
      </c>
      <c r="H78" s="54">
        <v>350.96596433844002</v>
      </c>
      <c r="I78" s="54">
        <v>351.19237665093999</v>
      </c>
      <c r="J78" s="54">
        <v>6.6008708306951904</v>
      </c>
      <c r="K78" s="128"/>
      <c r="L78" s="128"/>
      <c r="M78" s="54">
        <v>55.929272110408618</v>
      </c>
      <c r="N78" s="54">
        <v>53.737831125662936</v>
      </c>
      <c r="O78" s="54">
        <v>53.737831125662936</v>
      </c>
      <c r="P78" s="54">
        <v>0</v>
      </c>
      <c r="Q78" s="54">
        <v>0</v>
      </c>
      <c r="R78" s="128"/>
      <c r="S78" s="128"/>
      <c r="T78" s="54">
        <v>359.73401685999994</v>
      </c>
      <c r="U78" s="54">
        <v>352.65562161999986</v>
      </c>
      <c r="V78" s="54">
        <v>352.03701944999989</v>
      </c>
      <c r="W78" s="54">
        <v>352.74975533999987</v>
      </c>
      <c r="X78" s="54">
        <v>6.9842615200000004</v>
      </c>
      <c r="Y78" s="128"/>
      <c r="Z78" s="128"/>
      <c r="AA78" s="54">
        <v>45.76940737999999</v>
      </c>
      <c r="AB78" s="54">
        <v>44.774475389999992</v>
      </c>
      <c r="AC78" s="54">
        <v>44.414947619999992</v>
      </c>
      <c r="AD78" s="54">
        <v>44.860661809999982</v>
      </c>
      <c r="AE78" s="54">
        <v>0.90874556999999967</v>
      </c>
      <c r="AF78" s="128"/>
      <c r="AG78" s="128"/>
      <c r="AH78" s="54">
        <v>291.72106780999991</v>
      </c>
      <c r="AI78" s="54">
        <v>286.87506728</v>
      </c>
      <c r="AJ78" s="54">
        <v>280.50995669000002</v>
      </c>
      <c r="AK78" s="54">
        <v>287.05391847999999</v>
      </c>
      <c r="AL78" s="54">
        <v>4.6671493300000009</v>
      </c>
      <c r="AM78" s="128"/>
      <c r="AN78" s="128"/>
      <c r="AO78" s="54">
        <v>27.642202120000015</v>
      </c>
      <c r="AP78" s="54">
        <v>25.873622730000015</v>
      </c>
      <c r="AQ78" s="54">
        <v>25.634548580000015</v>
      </c>
      <c r="AR78" s="54">
        <v>26.083568270000018</v>
      </c>
      <c r="AS78" s="54">
        <v>1.5586338500000001</v>
      </c>
      <c r="AT78" s="128"/>
    </row>
    <row r="79" spans="1:46" outlineLevel="1">
      <c r="A79" s="237" t="s">
        <v>218</v>
      </c>
      <c r="B79" s="236" t="s">
        <v>17</v>
      </c>
      <c r="C79" s="577" t="str">
        <f t="shared" si="1"/>
        <v>Storage HW</v>
      </c>
      <c r="D79" s="577" t="s">
        <v>76</v>
      </c>
      <c r="E79" s="577" t="s">
        <v>17</v>
      </c>
      <c r="F79" s="54">
        <v>49.711035731834897</v>
      </c>
      <c r="G79" s="54">
        <v>49.257960063254458</v>
      </c>
      <c r="H79" s="54">
        <v>49.257960063254458</v>
      </c>
      <c r="I79" s="54">
        <v>49.173820700602199</v>
      </c>
      <c r="J79" s="54">
        <v>0.53721503123270009</v>
      </c>
      <c r="K79" s="128"/>
      <c r="L79" s="128"/>
      <c r="M79" s="54">
        <v>11.668147373911369</v>
      </c>
      <c r="N79" s="54">
        <v>11.536353890435239</v>
      </c>
      <c r="O79" s="54">
        <v>11.536353890435239</v>
      </c>
      <c r="P79" s="54">
        <v>0</v>
      </c>
      <c r="Q79" s="54">
        <v>0</v>
      </c>
      <c r="R79" s="128"/>
      <c r="S79" s="128"/>
      <c r="T79" s="54">
        <v>0</v>
      </c>
      <c r="U79" s="54">
        <v>0</v>
      </c>
      <c r="V79" s="54">
        <v>0</v>
      </c>
      <c r="W79" s="54">
        <v>0</v>
      </c>
      <c r="X79" s="54">
        <v>0</v>
      </c>
      <c r="Y79" s="128"/>
      <c r="Z79" s="128"/>
      <c r="AA79" s="54">
        <v>0</v>
      </c>
      <c r="AB79" s="54">
        <v>0</v>
      </c>
      <c r="AC79" s="54">
        <v>0</v>
      </c>
      <c r="AD79" s="54">
        <v>0</v>
      </c>
      <c r="AE79" s="54">
        <v>0</v>
      </c>
      <c r="AF79" s="128"/>
      <c r="AG79" s="128"/>
      <c r="AH79" s="54">
        <v>0</v>
      </c>
      <c r="AI79" s="54">
        <v>0</v>
      </c>
      <c r="AJ79" s="54">
        <v>0</v>
      </c>
      <c r="AK79" s="54">
        <v>0</v>
      </c>
      <c r="AL79" s="54">
        <v>0</v>
      </c>
      <c r="AM79" s="128"/>
      <c r="AN79" s="128"/>
      <c r="AO79" s="54">
        <v>0</v>
      </c>
      <c r="AP79" s="54">
        <v>0</v>
      </c>
      <c r="AQ79" s="54">
        <v>0</v>
      </c>
      <c r="AR79" s="54">
        <v>0</v>
      </c>
      <c r="AS79" s="54">
        <v>0</v>
      </c>
      <c r="AT79" s="128"/>
    </row>
    <row r="80" spans="1:46" outlineLevel="1">
      <c r="A80" s="237" t="s">
        <v>218</v>
      </c>
      <c r="B80" s="236" t="s">
        <v>18</v>
      </c>
      <c r="C80" s="577" t="str">
        <f t="shared" si="1"/>
        <v>Storage HW</v>
      </c>
      <c r="D80" s="577" t="s">
        <v>76</v>
      </c>
      <c r="E80" s="577" t="s">
        <v>18</v>
      </c>
      <c r="F80" s="54">
        <v>3.3233866347914032E-2</v>
      </c>
      <c r="G80" s="54">
        <v>0.17700888714975299</v>
      </c>
      <c r="H80" s="54">
        <v>0.17700888714975299</v>
      </c>
      <c r="I80" s="54">
        <v>7.3550067435870226E-3</v>
      </c>
      <c r="J80" s="54">
        <v>2.5878859604327009E-2</v>
      </c>
      <c r="K80" s="128"/>
      <c r="L80" s="128"/>
      <c r="M80" s="54">
        <v>2.1774994076781806</v>
      </c>
      <c r="N80" s="54">
        <v>2.112994997263244</v>
      </c>
      <c r="O80" s="54">
        <v>2.112994997263244</v>
      </c>
      <c r="P80" s="54">
        <v>0</v>
      </c>
      <c r="Q80" s="54">
        <v>0</v>
      </c>
      <c r="R80" s="128"/>
      <c r="S80" s="128"/>
      <c r="T80" s="54">
        <v>0</v>
      </c>
      <c r="U80" s="54">
        <v>0</v>
      </c>
      <c r="V80" s="54">
        <v>0</v>
      </c>
      <c r="W80" s="54">
        <v>0</v>
      </c>
      <c r="X80" s="54">
        <v>0</v>
      </c>
      <c r="Y80" s="128"/>
      <c r="Z80" s="128"/>
      <c r="AA80" s="54">
        <v>0</v>
      </c>
      <c r="AB80" s="54">
        <v>0</v>
      </c>
      <c r="AC80" s="54">
        <v>0</v>
      </c>
      <c r="AD80" s="54">
        <v>0</v>
      </c>
      <c r="AE80" s="54">
        <v>0</v>
      </c>
      <c r="AF80" s="128"/>
      <c r="AG80" s="128"/>
      <c r="AH80" s="54">
        <v>0</v>
      </c>
      <c r="AI80" s="54">
        <v>0</v>
      </c>
      <c r="AJ80" s="54">
        <v>0</v>
      </c>
      <c r="AK80" s="54">
        <v>0</v>
      </c>
      <c r="AL80" s="54">
        <v>0</v>
      </c>
      <c r="AM80" s="128"/>
      <c r="AN80" s="128"/>
      <c r="AO80" s="54">
        <v>0</v>
      </c>
      <c r="AP80" s="54">
        <v>0</v>
      </c>
      <c r="AQ80" s="54">
        <v>0</v>
      </c>
      <c r="AR80" s="54">
        <v>0</v>
      </c>
      <c r="AS80" s="54">
        <v>0</v>
      </c>
      <c r="AT80" s="128"/>
    </row>
    <row r="81" spans="1:46" outlineLevel="1">
      <c r="A81" s="237" t="s">
        <v>218</v>
      </c>
      <c r="B81" s="236" t="s">
        <v>19</v>
      </c>
      <c r="C81" s="577" t="str">
        <f t="shared" si="1"/>
        <v>Storage HW</v>
      </c>
      <c r="D81" s="577" t="s">
        <v>76</v>
      </c>
      <c r="E81" s="577" t="s">
        <v>19</v>
      </c>
      <c r="F81" s="54">
        <v>54.776373461076247</v>
      </c>
      <c r="G81" s="54">
        <v>52.942311537979784</v>
      </c>
      <c r="H81" s="54">
        <v>52.942311537979784</v>
      </c>
      <c r="I81" s="54">
        <v>53.188542548552562</v>
      </c>
      <c r="J81" s="54">
        <v>1.5878309125236849</v>
      </c>
      <c r="K81" s="128"/>
      <c r="L81" s="128"/>
      <c r="M81" s="54">
        <v>11.971321076620995</v>
      </c>
      <c r="N81" s="54">
        <v>11.529005119490005</v>
      </c>
      <c r="O81" s="54">
        <v>11.529005119490005</v>
      </c>
      <c r="P81" s="54">
        <v>0</v>
      </c>
      <c r="Q81" s="54">
        <v>0</v>
      </c>
      <c r="R81" s="128"/>
      <c r="S81" s="128"/>
      <c r="T81" s="54">
        <v>0</v>
      </c>
      <c r="U81" s="54">
        <v>0</v>
      </c>
      <c r="V81" s="54">
        <v>0</v>
      </c>
      <c r="W81" s="54">
        <v>0</v>
      </c>
      <c r="X81" s="54">
        <v>0</v>
      </c>
      <c r="Y81" s="128"/>
      <c r="Z81" s="128"/>
      <c r="AA81" s="54">
        <v>0</v>
      </c>
      <c r="AB81" s="54">
        <v>0</v>
      </c>
      <c r="AC81" s="54">
        <v>0</v>
      </c>
      <c r="AD81" s="54">
        <v>0</v>
      </c>
      <c r="AE81" s="54">
        <v>0</v>
      </c>
      <c r="AF81" s="128"/>
      <c r="AG81" s="128"/>
      <c r="AH81" s="54">
        <v>0</v>
      </c>
      <c r="AI81" s="54">
        <v>0</v>
      </c>
      <c r="AJ81" s="54">
        <v>0</v>
      </c>
      <c r="AK81" s="54">
        <v>0</v>
      </c>
      <c r="AL81" s="54">
        <v>0</v>
      </c>
      <c r="AM81" s="128"/>
      <c r="AN81" s="128"/>
      <c r="AO81" s="54">
        <v>0</v>
      </c>
      <c r="AP81" s="54">
        <v>0</v>
      </c>
      <c r="AQ81" s="54">
        <v>0</v>
      </c>
      <c r="AR81" s="54">
        <v>0</v>
      </c>
      <c r="AS81" s="54">
        <v>0</v>
      </c>
      <c r="AT81" s="128"/>
    </row>
    <row r="82" spans="1:46" outlineLevel="1">
      <c r="A82" s="237" t="s">
        <v>218</v>
      </c>
      <c r="B82" s="236" t="s">
        <v>77</v>
      </c>
      <c r="C82" s="577" t="str">
        <f t="shared" si="1"/>
        <v>Storage HW</v>
      </c>
      <c r="D82" s="577" t="s">
        <v>76</v>
      </c>
      <c r="E82" s="577" t="s">
        <v>77</v>
      </c>
      <c r="F82" s="54">
        <v>105.85834677470923</v>
      </c>
      <c r="G82" s="54">
        <v>103.87062472822953</v>
      </c>
      <c r="H82" s="54">
        <v>103.87062472822953</v>
      </c>
      <c r="I82" s="54">
        <v>103.86397621362894</v>
      </c>
      <c r="J82" s="54">
        <v>1.9943705610803</v>
      </c>
      <c r="K82" s="128"/>
      <c r="L82" s="128"/>
      <c r="M82" s="54">
        <v>6.0379283932264336</v>
      </c>
      <c r="N82" s="54">
        <v>5.4205290363977561</v>
      </c>
      <c r="O82" s="54">
        <v>5.4205290363977561</v>
      </c>
      <c r="P82" s="54">
        <v>0</v>
      </c>
      <c r="Q82" s="54">
        <v>0</v>
      </c>
      <c r="R82" s="128"/>
      <c r="S82" s="128"/>
      <c r="T82" s="54">
        <v>0</v>
      </c>
      <c r="U82" s="54">
        <v>0</v>
      </c>
      <c r="V82" s="54">
        <v>0</v>
      </c>
      <c r="W82" s="54">
        <v>0</v>
      </c>
      <c r="X82" s="54">
        <v>0</v>
      </c>
      <c r="Y82" s="128"/>
      <c r="Z82" s="128"/>
      <c r="AA82" s="54">
        <v>0</v>
      </c>
      <c r="AB82" s="54">
        <v>0</v>
      </c>
      <c r="AC82" s="54">
        <v>0</v>
      </c>
      <c r="AD82" s="54">
        <v>0</v>
      </c>
      <c r="AE82" s="54">
        <v>0</v>
      </c>
      <c r="AF82" s="128"/>
      <c r="AG82" s="128"/>
      <c r="AH82" s="54">
        <v>0</v>
      </c>
      <c r="AI82" s="54">
        <v>0</v>
      </c>
      <c r="AJ82" s="54">
        <v>0</v>
      </c>
      <c r="AK82" s="54">
        <v>0</v>
      </c>
      <c r="AL82" s="54">
        <v>0</v>
      </c>
      <c r="AM82" s="128"/>
      <c r="AN82" s="128"/>
      <c r="AO82" s="54">
        <v>0</v>
      </c>
      <c r="AP82" s="54">
        <v>0</v>
      </c>
      <c r="AQ82" s="54">
        <v>0</v>
      </c>
      <c r="AR82" s="54">
        <v>0</v>
      </c>
      <c r="AS82" s="54">
        <v>0</v>
      </c>
      <c r="AT82" s="128"/>
    </row>
    <row r="83" spans="1:46" outlineLevel="1">
      <c r="A83" s="237" t="s">
        <v>218</v>
      </c>
      <c r="B83" s="236" t="s">
        <v>78</v>
      </c>
      <c r="C83" s="577" t="str">
        <f t="shared" si="1"/>
        <v>Storage HW</v>
      </c>
      <c r="D83" s="577" t="s">
        <v>76</v>
      </c>
      <c r="E83" s="577" t="s">
        <v>78</v>
      </c>
      <c r="F83" s="54">
        <v>31.836054896007585</v>
      </c>
      <c r="G83" s="54">
        <v>31.646445901331774</v>
      </c>
      <c r="H83" s="54">
        <v>31.646445901331774</v>
      </c>
      <c r="I83" s="54">
        <v>31.660656648418001</v>
      </c>
      <c r="J83" s="54">
        <v>0.175398247589585</v>
      </c>
      <c r="K83" s="128"/>
      <c r="L83" s="128"/>
      <c r="M83" s="54">
        <v>4.316635596293815</v>
      </c>
      <c r="N83" s="54">
        <v>4.2613461016524408</v>
      </c>
      <c r="O83" s="54">
        <v>4.2613461016524408</v>
      </c>
      <c r="P83" s="54">
        <v>0</v>
      </c>
      <c r="Q83" s="54">
        <v>0</v>
      </c>
      <c r="R83" s="128"/>
      <c r="S83" s="128"/>
      <c r="T83" s="54">
        <v>0</v>
      </c>
      <c r="U83" s="54">
        <v>0</v>
      </c>
      <c r="V83" s="54">
        <v>0</v>
      </c>
      <c r="W83" s="54">
        <v>0</v>
      </c>
      <c r="X83" s="54">
        <v>0</v>
      </c>
      <c r="Y83" s="128"/>
      <c r="Z83" s="128"/>
      <c r="AA83" s="54">
        <v>0</v>
      </c>
      <c r="AB83" s="54">
        <v>0</v>
      </c>
      <c r="AC83" s="54">
        <v>0</v>
      </c>
      <c r="AD83" s="54">
        <v>0</v>
      </c>
      <c r="AE83" s="54">
        <v>0</v>
      </c>
      <c r="AF83" s="128"/>
      <c r="AG83" s="128"/>
      <c r="AH83" s="54">
        <v>0</v>
      </c>
      <c r="AI83" s="54">
        <v>0</v>
      </c>
      <c r="AJ83" s="54">
        <v>0</v>
      </c>
      <c r="AK83" s="54">
        <v>0</v>
      </c>
      <c r="AL83" s="54">
        <v>0</v>
      </c>
      <c r="AM83" s="128"/>
      <c r="AN83" s="128"/>
      <c r="AO83" s="54">
        <v>0</v>
      </c>
      <c r="AP83" s="54">
        <v>0</v>
      </c>
      <c r="AQ83" s="54">
        <v>0</v>
      </c>
      <c r="AR83" s="54">
        <v>0</v>
      </c>
      <c r="AS83" s="54">
        <v>0</v>
      </c>
      <c r="AT83" s="128"/>
    </row>
    <row r="84" spans="1:46" outlineLevel="1">
      <c r="A84" s="237" t="s">
        <v>218</v>
      </c>
      <c r="B84" s="236" t="s">
        <v>393</v>
      </c>
      <c r="C84" s="577" t="str">
        <f t="shared" si="1"/>
        <v>Storage HW</v>
      </c>
      <c r="D84" s="577" t="s">
        <v>76</v>
      </c>
      <c r="E84" s="577" t="s">
        <v>393</v>
      </c>
      <c r="F84" s="54">
        <v>14.8690206535352</v>
      </c>
      <c r="G84" s="54">
        <v>14.8690206535352</v>
      </c>
      <c r="H84" s="54">
        <v>14.8690206535352</v>
      </c>
      <c r="I84" s="54">
        <v>14.8690206535352</v>
      </c>
      <c r="J84" s="54">
        <v>0</v>
      </c>
      <c r="K84" s="128"/>
      <c r="L84" s="128"/>
      <c r="M84" s="54">
        <v>4.9670951893846533</v>
      </c>
      <c r="N84" s="54">
        <v>4.9670951893846533</v>
      </c>
      <c r="O84" s="54">
        <v>4.9670951893846533</v>
      </c>
      <c r="P84" s="54">
        <v>0</v>
      </c>
      <c r="Q84" s="54">
        <v>0</v>
      </c>
      <c r="R84" s="128"/>
      <c r="S84" s="128"/>
      <c r="T84" s="54">
        <v>0</v>
      </c>
      <c r="U84" s="54">
        <v>0</v>
      </c>
      <c r="V84" s="54">
        <v>0</v>
      </c>
      <c r="W84" s="54">
        <v>0</v>
      </c>
      <c r="X84" s="54">
        <v>0</v>
      </c>
      <c r="Y84" s="128"/>
      <c r="Z84" s="128"/>
      <c r="AA84" s="54">
        <v>0</v>
      </c>
      <c r="AB84" s="54">
        <v>0</v>
      </c>
      <c r="AC84" s="54">
        <v>0</v>
      </c>
      <c r="AD84" s="54">
        <v>0</v>
      </c>
      <c r="AE84" s="54">
        <v>0</v>
      </c>
      <c r="AF84" s="128"/>
      <c r="AG84" s="128"/>
      <c r="AH84" s="54">
        <v>0</v>
      </c>
      <c r="AI84" s="54">
        <v>0</v>
      </c>
      <c r="AJ84" s="54">
        <v>0</v>
      </c>
      <c r="AK84" s="54">
        <v>0</v>
      </c>
      <c r="AL84" s="54">
        <v>0</v>
      </c>
      <c r="AM84" s="128"/>
      <c r="AN84" s="128"/>
      <c r="AO84" s="54">
        <v>0</v>
      </c>
      <c r="AP84" s="54">
        <v>0</v>
      </c>
      <c r="AQ84" s="54">
        <v>0</v>
      </c>
      <c r="AR84" s="54">
        <v>0</v>
      </c>
      <c r="AS84" s="54">
        <v>0</v>
      </c>
      <c r="AT84" s="128"/>
    </row>
    <row r="85" spans="1:46" outlineLevel="1">
      <c r="A85" s="237" t="s">
        <v>218</v>
      </c>
      <c r="B85" s="236" t="s">
        <v>80</v>
      </c>
      <c r="C85" s="577" t="str">
        <f t="shared" si="1"/>
        <v>Storage HW</v>
      </c>
      <c r="D85" s="577" t="s">
        <v>76</v>
      </c>
      <c r="E85" s="577" t="s">
        <v>80</v>
      </c>
      <c r="F85" s="54">
        <v>2.0096294874834904</v>
      </c>
      <c r="G85" s="54">
        <v>1.73791473902062</v>
      </c>
      <c r="H85" s="54">
        <v>1.73791473902062</v>
      </c>
      <c r="I85" s="54">
        <v>1.921930363688698</v>
      </c>
      <c r="J85" s="54">
        <v>8.7699123794792402E-2</v>
      </c>
      <c r="K85" s="128"/>
      <c r="L85" s="128"/>
      <c r="M85" s="54">
        <v>0.25169799835813639</v>
      </c>
      <c r="N85" s="54">
        <v>9.2896540286622614E-2</v>
      </c>
      <c r="O85" s="54">
        <v>9.2896540286622614E-2</v>
      </c>
      <c r="P85" s="54">
        <v>0</v>
      </c>
      <c r="Q85" s="54">
        <v>0</v>
      </c>
      <c r="R85" s="128"/>
      <c r="S85" s="128"/>
      <c r="T85" s="54">
        <v>0</v>
      </c>
      <c r="U85" s="54">
        <v>0</v>
      </c>
      <c r="V85" s="54">
        <v>0</v>
      </c>
      <c r="W85" s="54">
        <v>0</v>
      </c>
      <c r="X85" s="54">
        <v>0</v>
      </c>
      <c r="Y85" s="128"/>
      <c r="Z85" s="128"/>
      <c r="AA85" s="54">
        <v>0</v>
      </c>
      <c r="AB85" s="54">
        <v>0</v>
      </c>
      <c r="AC85" s="54">
        <v>0</v>
      </c>
      <c r="AD85" s="54">
        <v>0</v>
      </c>
      <c r="AE85" s="54">
        <v>0</v>
      </c>
      <c r="AF85" s="128"/>
      <c r="AG85" s="128"/>
      <c r="AH85" s="54">
        <v>0</v>
      </c>
      <c r="AI85" s="54">
        <v>0</v>
      </c>
      <c r="AJ85" s="54">
        <v>0</v>
      </c>
      <c r="AK85" s="54">
        <v>0</v>
      </c>
      <c r="AL85" s="54">
        <v>0</v>
      </c>
      <c r="AM85" s="128"/>
      <c r="AN85" s="128"/>
      <c r="AO85" s="54">
        <v>0</v>
      </c>
      <c r="AP85" s="54">
        <v>0</v>
      </c>
      <c r="AQ85" s="54">
        <v>0</v>
      </c>
      <c r="AR85" s="54">
        <v>0</v>
      </c>
      <c r="AS85" s="54">
        <v>0</v>
      </c>
      <c r="AT85" s="128"/>
    </row>
    <row r="86" spans="1:46" outlineLevel="1">
      <c r="A86" s="237" t="s">
        <v>218</v>
      </c>
      <c r="B86" s="236" t="s">
        <v>104</v>
      </c>
      <c r="C86" s="577" t="str">
        <f t="shared" si="1"/>
        <v>Storage HW</v>
      </c>
      <c r="D86" s="577" t="s">
        <v>76</v>
      </c>
      <c r="E86" s="577" t="s">
        <v>79</v>
      </c>
      <c r="F86" s="54">
        <v>46.862513673028047</v>
      </c>
      <c r="G86" s="54">
        <v>46.652918269020802</v>
      </c>
      <c r="H86" s="54">
        <v>46.652918269020802</v>
      </c>
      <c r="I86" s="54">
        <v>46.657882384173533</v>
      </c>
      <c r="J86" s="54">
        <v>0.20463128885451601</v>
      </c>
      <c r="K86" s="128"/>
      <c r="L86" s="128"/>
      <c r="M86" s="54">
        <v>4.9861677588567641</v>
      </c>
      <c r="N86" s="54">
        <v>4.9181251868515012</v>
      </c>
      <c r="O86" s="54">
        <v>4.9181251868515012</v>
      </c>
      <c r="P86" s="54">
        <v>0</v>
      </c>
      <c r="Q86" s="54">
        <v>0</v>
      </c>
      <c r="R86" s="128"/>
      <c r="S86" s="128"/>
      <c r="T86" s="54">
        <v>18.29834486</v>
      </c>
      <c r="U86" s="54">
        <v>17.990981300000001</v>
      </c>
      <c r="V86" s="54">
        <v>17.990981300000001</v>
      </c>
      <c r="W86" s="54">
        <v>17.990981769999998</v>
      </c>
      <c r="X86" s="54">
        <v>0.30736309000000001</v>
      </c>
      <c r="Y86" s="128"/>
      <c r="Z86" s="128"/>
      <c r="AA86" s="54">
        <v>5.4996155699999996</v>
      </c>
      <c r="AB86" s="54">
        <v>5.4870643999999995</v>
      </c>
      <c r="AC86" s="54">
        <v>5.4870643999999995</v>
      </c>
      <c r="AD86" s="54">
        <v>5.4884349399999994</v>
      </c>
      <c r="AE86" s="54">
        <v>1.118063E-2</v>
      </c>
      <c r="AF86" s="128"/>
      <c r="AG86" s="128"/>
      <c r="AH86" s="54">
        <v>22.268589059999996</v>
      </c>
      <c r="AI86" s="54">
        <v>22.255451109999999</v>
      </c>
      <c r="AJ86" s="54">
        <v>22.255451109999999</v>
      </c>
      <c r="AK86" s="54">
        <v>22.258290519999996</v>
      </c>
      <c r="AL86" s="54">
        <v>1.0298539999999998E-2</v>
      </c>
      <c r="AM86" s="128"/>
      <c r="AN86" s="128"/>
      <c r="AO86" s="54">
        <v>4.72859038</v>
      </c>
      <c r="AP86" s="54">
        <v>4.6789980800000004</v>
      </c>
      <c r="AQ86" s="54">
        <v>4.6789980800000004</v>
      </c>
      <c r="AR86" s="54">
        <v>4.6876865200000006</v>
      </c>
      <c r="AS86" s="54">
        <v>4.090386E-2</v>
      </c>
      <c r="AT86" s="128"/>
    </row>
    <row r="87" spans="1:46" outlineLevel="1">
      <c r="A87" s="237" t="s">
        <v>218</v>
      </c>
      <c r="B87" s="236" t="s">
        <v>105</v>
      </c>
      <c r="C87" s="577" t="str">
        <f t="shared" si="1"/>
        <v>Storage HW</v>
      </c>
      <c r="D87" s="577" t="s">
        <v>76</v>
      </c>
      <c r="E87" s="577" t="s">
        <v>81</v>
      </c>
      <c r="F87" s="54">
        <v>51.837038937613379</v>
      </c>
      <c r="G87" s="54">
        <v>49.811759558918901</v>
      </c>
      <c r="H87" s="54">
        <v>49.811759558918901</v>
      </c>
      <c r="I87" s="54">
        <v>49.849192131598087</v>
      </c>
      <c r="J87" s="54">
        <v>1.9878468060152901</v>
      </c>
      <c r="K87" s="128"/>
      <c r="L87" s="128"/>
      <c r="M87" s="54">
        <v>9.5527793160782082</v>
      </c>
      <c r="N87" s="54">
        <v>8.8994850639014107</v>
      </c>
      <c r="O87" s="54">
        <v>8.8994850639014107</v>
      </c>
      <c r="P87" s="54">
        <v>0</v>
      </c>
      <c r="Q87" s="54">
        <v>0</v>
      </c>
      <c r="R87" s="128"/>
      <c r="S87" s="128"/>
      <c r="T87" s="54">
        <v>56.484100050000009</v>
      </c>
      <c r="U87" s="54">
        <v>54.52610184000001</v>
      </c>
      <c r="V87" s="54">
        <v>54.52610184000001</v>
      </c>
      <c r="W87" s="54">
        <v>54.558380690000007</v>
      </c>
      <c r="X87" s="54">
        <v>1.9257193600000002</v>
      </c>
      <c r="Y87" s="128"/>
      <c r="Z87" s="128"/>
      <c r="AA87" s="54">
        <v>11.969866119999999</v>
      </c>
      <c r="AB87" s="54">
        <v>11.587838589999995</v>
      </c>
      <c r="AC87" s="54">
        <v>11.587838589999995</v>
      </c>
      <c r="AD87" s="54">
        <v>11.592348819999998</v>
      </c>
      <c r="AE87" s="54">
        <v>0.37751729999999994</v>
      </c>
      <c r="AF87" s="128"/>
      <c r="AG87" s="128"/>
      <c r="AH87" s="54">
        <v>49.575064450000013</v>
      </c>
      <c r="AI87" s="54">
        <v>48.38031838000002</v>
      </c>
      <c r="AJ87" s="54">
        <v>48.38031838000002</v>
      </c>
      <c r="AK87" s="54">
        <v>48.386283280000015</v>
      </c>
      <c r="AL87" s="54">
        <v>1.1887811699999999</v>
      </c>
      <c r="AM87" s="128"/>
      <c r="AN87" s="128"/>
      <c r="AO87" s="54">
        <v>8.2796163500000031</v>
      </c>
      <c r="AP87" s="54">
        <v>8.0234853700000013</v>
      </c>
      <c r="AQ87" s="54">
        <v>8.0234853700000013</v>
      </c>
      <c r="AR87" s="54">
        <v>8.027883580000001</v>
      </c>
      <c r="AS87" s="54">
        <v>0.25173277000000005</v>
      </c>
      <c r="AT87" s="128"/>
    </row>
    <row r="88" spans="1:46">
      <c r="A88" s="237" t="s">
        <v>218</v>
      </c>
      <c r="B88" s="236" t="s">
        <v>26</v>
      </c>
      <c r="C88" s="577" t="str">
        <f t="shared" si="1"/>
        <v>Storage HW</v>
      </c>
      <c r="D88" s="577" t="s">
        <v>76</v>
      </c>
      <c r="E88" s="577" t="s">
        <v>82</v>
      </c>
      <c r="F88" s="54">
        <v>296.3068948471747</v>
      </c>
      <c r="G88" s="54">
        <v>290.40707396238008</v>
      </c>
      <c r="H88" s="54">
        <v>290.40707396238008</v>
      </c>
      <c r="I88" s="54">
        <v>290.50262343488009</v>
      </c>
      <c r="J88" s="54">
        <v>5.8042714122946597</v>
      </c>
      <c r="K88" s="128"/>
      <c r="L88" s="128"/>
      <c r="M88" s="54">
        <v>70.694708403712809</v>
      </c>
      <c r="N88" s="54">
        <v>68.707165703968712</v>
      </c>
      <c r="O88" s="54">
        <v>68.707165703968712</v>
      </c>
      <c r="P88" s="54">
        <v>0</v>
      </c>
      <c r="Q88" s="54">
        <v>0</v>
      </c>
      <c r="R88" s="128"/>
      <c r="S88" s="128"/>
      <c r="T88" s="54">
        <v>378.38675533000003</v>
      </c>
      <c r="U88" s="54">
        <v>371.79320730000006</v>
      </c>
      <c r="V88" s="54">
        <v>371.65885939000003</v>
      </c>
      <c r="W88" s="54">
        <v>371.86178942000004</v>
      </c>
      <c r="X88" s="54">
        <v>6.5249659099999988</v>
      </c>
      <c r="Y88" s="128"/>
      <c r="Z88" s="128"/>
      <c r="AA88" s="54">
        <v>61.543898449999986</v>
      </c>
      <c r="AB88" s="54">
        <v>60.318121530000006</v>
      </c>
      <c r="AC88" s="54">
        <v>60.318121530000006</v>
      </c>
      <c r="AD88" s="54">
        <v>60.37762588999999</v>
      </c>
      <c r="AE88" s="54">
        <v>1.1662725600000003</v>
      </c>
      <c r="AF88" s="128"/>
      <c r="AG88" s="128"/>
      <c r="AH88" s="54">
        <v>312.55955244999984</v>
      </c>
      <c r="AI88" s="54">
        <v>306.72230417999992</v>
      </c>
      <c r="AJ88" s="54">
        <v>306.64654557999989</v>
      </c>
      <c r="AK88" s="54">
        <v>306.80385151999985</v>
      </c>
      <c r="AL88" s="54">
        <v>5.7557009299999935</v>
      </c>
      <c r="AM88" s="128"/>
      <c r="AN88" s="128"/>
      <c r="AO88" s="54">
        <v>59.350678599999995</v>
      </c>
      <c r="AP88" s="54">
        <v>57.753118690000015</v>
      </c>
      <c r="AQ88" s="54">
        <v>57.693215680000016</v>
      </c>
      <c r="AR88" s="54">
        <v>57.82609818000001</v>
      </c>
      <c r="AS88" s="54">
        <v>1.5245804200000004</v>
      </c>
      <c r="AT88" s="128"/>
    </row>
    <row r="89" spans="1:46" outlineLevel="1">
      <c r="A89" s="237" t="s">
        <v>218</v>
      </c>
      <c r="B89" s="236" t="s">
        <v>235</v>
      </c>
      <c r="C89" s="577" t="str">
        <f t="shared" si="1"/>
        <v>Storage HW</v>
      </c>
      <c r="D89" s="577" t="s">
        <v>76</v>
      </c>
      <c r="E89" s="577" t="s">
        <v>83</v>
      </c>
      <c r="F89" s="54">
        <v>76.609870404006244</v>
      </c>
      <c r="G89" s="54">
        <v>75.944122627937801</v>
      </c>
      <c r="H89" s="54">
        <v>75.944122627937801</v>
      </c>
      <c r="I89" s="54">
        <v>76.013297141858629</v>
      </c>
      <c r="J89" s="54">
        <v>0.59657326214761697</v>
      </c>
      <c r="K89" s="128"/>
      <c r="L89" s="128"/>
      <c r="M89" s="54">
        <v>18.202604639948451</v>
      </c>
      <c r="N89" s="54">
        <v>17.96128561720333</v>
      </c>
      <c r="O89" s="54">
        <v>17.96128561720333</v>
      </c>
      <c r="P89" s="54">
        <v>0</v>
      </c>
      <c r="Q89" s="54">
        <v>0</v>
      </c>
      <c r="R89" s="128"/>
      <c r="S89" s="128"/>
      <c r="T89" s="54">
        <v>98.114034530000012</v>
      </c>
      <c r="U89" s="54">
        <v>97.270516500000014</v>
      </c>
      <c r="V89" s="54">
        <v>97.136168589999997</v>
      </c>
      <c r="W89" s="54">
        <v>97.32063362000001</v>
      </c>
      <c r="X89" s="54">
        <v>0.79340091000000001</v>
      </c>
      <c r="Y89" s="128"/>
      <c r="Z89" s="128"/>
      <c r="AA89" s="54">
        <v>14.398576089999995</v>
      </c>
      <c r="AB89" s="54">
        <v>14.0545338</v>
      </c>
      <c r="AC89" s="54">
        <v>14.0545338</v>
      </c>
      <c r="AD89" s="54">
        <v>14.092949869999998</v>
      </c>
      <c r="AE89" s="54">
        <v>0.30562622</v>
      </c>
      <c r="AF89" s="128"/>
      <c r="AG89" s="128"/>
      <c r="AH89" s="54">
        <v>73.983781059999998</v>
      </c>
      <c r="AI89" s="54">
        <v>73.39291132000001</v>
      </c>
      <c r="AJ89" s="54">
        <v>73.31715272000001</v>
      </c>
      <c r="AK89" s="54">
        <v>73.452841200000023</v>
      </c>
      <c r="AL89" s="54">
        <v>0.53093986000000004</v>
      </c>
      <c r="AM89" s="128"/>
      <c r="AN89" s="128"/>
      <c r="AO89" s="54">
        <v>9.3254169999999998</v>
      </c>
      <c r="AP89" s="54">
        <v>9.0775138399999999</v>
      </c>
      <c r="AQ89" s="54">
        <v>9.0176108299999989</v>
      </c>
      <c r="AR89" s="54">
        <v>9.1325233299999997</v>
      </c>
      <c r="AS89" s="54">
        <v>0.19289366999999996</v>
      </c>
      <c r="AT89" s="128"/>
    </row>
    <row r="90" spans="1:46" outlineLevel="1">
      <c r="A90" s="237" t="s">
        <v>218</v>
      </c>
      <c r="B90" s="236" t="s">
        <v>106</v>
      </c>
      <c r="C90" s="577" t="str">
        <f t="shared" si="1"/>
        <v>Storage HW</v>
      </c>
      <c r="D90" s="577" t="s">
        <v>76</v>
      </c>
      <c r="E90" s="577" t="s">
        <v>84</v>
      </c>
      <c r="F90" s="54">
        <v>24.831876593363294</v>
      </c>
      <c r="G90" s="54">
        <v>24.382693337351899</v>
      </c>
      <c r="H90" s="54">
        <v>24.382693337351899</v>
      </c>
      <c r="I90" s="54">
        <v>24.387776762089697</v>
      </c>
      <c r="J90" s="54">
        <v>0.44409983127359598</v>
      </c>
      <c r="K90" s="128"/>
      <c r="L90" s="128"/>
      <c r="M90" s="54">
        <v>5.9184972110076544</v>
      </c>
      <c r="N90" s="54">
        <v>5.7714896530600086</v>
      </c>
      <c r="O90" s="54">
        <v>5.7714896530600086</v>
      </c>
      <c r="P90" s="54">
        <v>0</v>
      </c>
      <c r="Q90" s="54">
        <v>0</v>
      </c>
      <c r="R90" s="128"/>
      <c r="S90" s="128"/>
      <c r="T90" s="54">
        <v>30.102588960000002</v>
      </c>
      <c r="U90" s="54">
        <v>29.601044600000002</v>
      </c>
      <c r="V90" s="54">
        <v>29.601044600000002</v>
      </c>
      <c r="W90" s="54">
        <v>29.60099954</v>
      </c>
      <c r="X90" s="54">
        <v>0.50158942000000006</v>
      </c>
      <c r="Y90" s="128"/>
      <c r="Z90" s="128"/>
      <c r="AA90" s="54">
        <v>4.583345340000001</v>
      </c>
      <c r="AB90" s="54">
        <v>4.5052547399999998</v>
      </c>
      <c r="AC90" s="54">
        <v>4.5052547399999998</v>
      </c>
      <c r="AD90" s="54">
        <v>4.505155900000001</v>
      </c>
      <c r="AE90" s="54">
        <v>7.8189439999999999E-2</v>
      </c>
      <c r="AF90" s="128"/>
      <c r="AG90" s="128"/>
      <c r="AH90" s="54">
        <v>30.729345749999997</v>
      </c>
      <c r="AI90" s="54">
        <v>30.563813979999995</v>
      </c>
      <c r="AJ90" s="54">
        <v>30.563813979999995</v>
      </c>
      <c r="AK90" s="54">
        <v>30.563815469999994</v>
      </c>
      <c r="AL90" s="54">
        <v>0.16553028000000003</v>
      </c>
      <c r="AM90" s="128"/>
      <c r="AN90" s="128"/>
      <c r="AO90" s="54">
        <v>3.4387228400000001</v>
      </c>
      <c r="AP90" s="54">
        <v>3.2136347200000004</v>
      </c>
      <c r="AQ90" s="54">
        <v>3.2136347200000004</v>
      </c>
      <c r="AR90" s="54">
        <v>3.2151045600000003</v>
      </c>
      <c r="AS90" s="54">
        <v>0.22361828</v>
      </c>
      <c r="AT90" s="128"/>
    </row>
    <row r="91" spans="1:46" outlineLevel="1">
      <c r="A91" s="237" t="s">
        <v>218</v>
      </c>
      <c r="B91" s="236" t="s">
        <v>87</v>
      </c>
      <c r="C91" s="577" t="str">
        <f t="shared" si="1"/>
        <v>Storage HW</v>
      </c>
      <c r="D91" s="577" t="s">
        <v>76</v>
      </c>
      <c r="E91" s="577" t="s">
        <v>87</v>
      </c>
      <c r="F91" s="54">
        <v>35.864667642568087</v>
      </c>
      <c r="G91" s="54">
        <v>35.2271589019483</v>
      </c>
      <c r="H91" s="54">
        <v>35.2271589019483</v>
      </c>
      <c r="I91" s="54">
        <v>35.22729043778746</v>
      </c>
      <c r="J91" s="54">
        <v>0.63737720478062898</v>
      </c>
      <c r="K91" s="128"/>
      <c r="L91" s="128"/>
      <c r="M91" s="54">
        <v>8.5477017606718029</v>
      </c>
      <c r="N91" s="54">
        <v>8.3367150852742711</v>
      </c>
      <c r="O91" s="54">
        <v>8.3367150852742711</v>
      </c>
      <c r="P91" s="54">
        <v>0</v>
      </c>
      <c r="Q91" s="54">
        <v>0</v>
      </c>
      <c r="R91" s="128"/>
      <c r="S91" s="128"/>
      <c r="T91" s="54">
        <v>62.69099894</v>
      </c>
      <c r="U91" s="54">
        <v>60.699093419999997</v>
      </c>
      <c r="V91" s="54">
        <v>60.699093419999997</v>
      </c>
      <c r="W91" s="54">
        <v>60.699093419999997</v>
      </c>
      <c r="X91" s="54">
        <v>1.9919055199999998</v>
      </c>
      <c r="Y91" s="128"/>
      <c r="Z91" s="128"/>
      <c r="AA91" s="54">
        <v>2.8199069199999998</v>
      </c>
      <c r="AB91" s="54">
        <v>2.6840288400000003</v>
      </c>
      <c r="AC91" s="54">
        <v>2.6840288400000003</v>
      </c>
      <c r="AD91" s="54">
        <v>2.6840288400000003</v>
      </c>
      <c r="AE91" s="54">
        <v>0.13587808000000001</v>
      </c>
      <c r="AF91" s="128"/>
      <c r="AG91" s="128"/>
      <c r="AH91" s="54">
        <v>62.732280989999985</v>
      </c>
      <c r="AI91" s="54">
        <v>61.25591704</v>
      </c>
      <c r="AJ91" s="54">
        <v>61.25591704</v>
      </c>
      <c r="AK91" s="54">
        <v>61.25591704</v>
      </c>
      <c r="AL91" s="54">
        <v>1.4763639500000001</v>
      </c>
      <c r="AM91" s="128"/>
      <c r="AN91" s="128"/>
      <c r="AO91" s="54">
        <v>6.6084440999999998</v>
      </c>
      <c r="AP91" s="54">
        <v>6.3189972399999998</v>
      </c>
      <c r="AQ91" s="54">
        <v>6.3189972399999998</v>
      </c>
      <c r="AR91" s="54">
        <v>6.3189972399999998</v>
      </c>
      <c r="AS91" s="54">
        <v>0.28944685999999997</v>
      </c>
      <c r="AT91" s="128"/>
    </row>
    <row r="92" spans="1:46" outlineLevel="1">
      <c r="A92" s="237" t="s">
        <v>218</v>
      </c>
      <c r="B92" s="236" t="s">
        <v>107</v>
      </c>
      <c r="C92" s="577" t="str">
        <f t="shared" si="1"/>
        <v>Storage HW</v>
      </c>
      <c r="D92" s="577" t="s">
        <v>76</v>
      </c>
      <c r="E92" s="577" t="s">
        <v>86</v>
      </c>
      <c r="F92" s="54">
        <v>21.637937918424829</v>
      </c>
      <c r="G92" s="54">
        <v>20.681783170430101</v>
      </c>
      <c r="H92" s="54">
        <v>20.681783170430101</v>
      </c>
      <c r="I92" s="54">
        <v>20.692742329901581</v>
      </c>
      <c r="J92" s="54">
        <v>0.94519558852324903</v>
      </c>
      <c r="K92" s="128"/>
      <c r="L92" s="128"/>
      <c r="M92" s="54">
        <v>5.217000128449766</v>
      </c>
      <c r="N92" s="54">
        <v>4.8849630136453372</v>
      </c>
      <c r="O92" s="54">
        <v>4.8849630136453372</v>
      </c>
      <c r="P92" s="54">
        <v>0</v>
      </c>
      <c r="Q92" s="54">
        <v>0</v>
      </c>
      <c r="R92" s="128"/>
      <c r="S92" s="128"/>
      <c r="T92" s="54">
        <v>39.024759130000007</v>
      </c>
      <c r="U92" s="54">
        <v>38.403818440000002</v>
      </c>
      <c r="V92" s="54">
        <v>38.403818440000002</v>
      </c>
      <c r="W92" s="54">
        <v>38.423576660000002</v>
      </c>
      <c r="X92" s="54">
        <v>0.60118247000000002</v>
      </c>
      <c r="Y92" s="128"/>
      <c r="Z92" s="128"/>
      <c r="AA92" s="54">
        <v>7.5477529899999993</v>
      </c>
      <c r="AB92" s="54">
        <v>7.4178235999999993</v>
      </c>
      <c r="AC92" s="54">
        <v>7.4178235999999993</v>
      </c>
      <c r="AD92" s="54">
        <v>7.4352564499999989</v>
      </c>
      <c r="AE92" s="54">
        <v>0.11249654000000001</v>
      </c>
      <c r="AF92" s="128"/>
      <c r="AG92" s="128"/>
      <c r="AH92" s="54">
        <v>20.829344800000001</v>
      </c>
      <c r="AI92" s="54">
        <v>19.966507290000003</v>
      </c>
      <c r="AJ92" s="54">
        <v>19.966507290000003</v>
      </c>
      <c r="AK92" s="54">
        <v>19.987629250000001</v>
      </c>
      <c r="AL92" s="54">
        <v>0.84171555000000009</v>
      </c>
      <c r="AM92" s="128"/>
      <c r="AN92" s="128"/>
      <c r="AO92" s="54">
        <v>6.6707350400000003</v>
      </c>
      <c r="AP92" s="54">
        <v>6.4515061400000002</v>
      </c>
      <c r="AQ92" s="54">
        <v>6.4515061400000002</v>
      </c>
      <c r="AR92" s="54">
        <v>6.4661643100000008</v>
      </c>
      <c r="AS92" s="54">
        <v>0.20457072999999998</v>
      </c>
      <c r="AT92" s="128"/>
    </row>
    <row r="93" spans="1:46" outlineLevel="1">
      <c r="A93" s="237" t="s">
        <v>218</v>
      </c>
      <c r="B93" s="236" t="s">
        <v>236</v>
      </c>
      <c r="C93" s="577" t="str">
        <f t="shared" si="1"/>
        <v>Storage HW</v>
      </c>
      <c r="D93" s="577" t="s">
        <v>76</v>
      </c>
      <c r="E93" s="577" t="s">
        <v>88</v>
      </c>
      <c r="F93" s="54">
        <v>25.147009561019097</v>
      </c>
      <c r="G93" s="54">
        <v>24.6209654217691</v>
      </c>
      <c r="H93" s="54">
        <v>24.6209654217691</v>
      </c>
      <c r="I93" s="54">
        <v>24.623862645220875</v>
      </c>
      <c r="J93" s="54">
        <v>0.52314691579822004</v>
      </c>
      <c r="K93" s="128"/>
      <c r="L93" s="128"/>
      <c r="M93" s="54">
        <v>6.0015388457505914</v>
      </c>
      <c r="N93" s="54">
        <v>5.8256465392889236</v>
      </c>
      <c r="O93" s="54">
        <v>5.8256465392889236</v>
      </c>
      <c r="P93" s="54">
        <v>0</v>
      </c>
      <c r="Q93" s="54">
        <v>0</v>
      </c>
      <c r="R93" s="128"/>
      <c r="S93" s="128"/>
      <c r="T93" s="54">
        <v>21.302202040000001</v>
      </c>
      <c r="U93" s="54">
        <v>20.879782030000001</v>
      </c>
      <c r="V93" s="54">
        <v>20.879782030000001</v>
      </c>
      <c r="W93" s="54">
        <v>20.878497830000001</v>
      </c>
      <c r="X93" s="54">
        <v>0.42370420999999997</v>
      </c>
      <c r="Y93" s="128"/>
      <c r="Z93" s="128"/>
      <c r="AA93" s="54">
        <v>6.9861409800000001</v>
      </c>
      <c r="AB93" s="54">
        <v>6.82513346</v>
      </c>
      <c r="AC93" s="54">
        <v>6.82513346</v>
      </c>
      <c r="AD93" s="54">
        <v>6.8284775000000009</v>
      </c>
      <c r="AE93" s="54">
        <v>0.15766347999999999</v>
      </c>
      <c r="AF93" s="128"/>
      <c r="AG93" s="128"/>
      <c r="AH93" s="54">
        <v>21.475486690000004</v>
      </c>
      <c r="AI93" s="54">
        <v>21.162379659999999</v>
      </c>
      <c r="AJ93" s="54">
        <v>21.162379659999999</v>
      </c>
      <c r="AK93" s="54">
        <v>21.162336420000003</v>
      </c>
      <c r="AL93" s="54">
        <v>0.31315027000000006</v>
      </c>
      <c r="AM93" s="128"/>
      <c r="AN93" s="128"/>
      <c r="AO93" s="54">
        <v>10.090260190000002</v>
      </c>
      <c r="AP93" s="54">
        <v>9.9626427600000014</v>
      </c>
      <c r="AQ93" s="54">
        <v>9.9626427600000014</v>
      </c>
      <c r="AR93" s="54">
        <v>9.9640146700000027</v>
      </c>
      <c r="AS93" s="54">
        <v>0.12624552000000003</v>
      </c>
      <c r="AT93" s="128"/>
    </row>
    <row r="94" spans="1:46" outlineLevel="1">
      <c r="A94" s="237" t="s">
        <v>218</v>
      </c>
      <c r="B94" s="236" t="s">
        <v>237</v>
      </c>
      <c r="C94" s="577" t="str">
        <f t="shared" si="1"/>
        <v>Storage HW</v>
      </c>
      <c r="D94" s="577" t="s">
        <v>76</v>
      </c>
      <c r="E94" s="577" t="s">
        <v>198</v>
      </c>
      <c r="F94" s="54">
        <v>76.722188006411585</v>
      </c>
      <c r="G94" s="54">
        <v>75.193986243426806</v>
      </c>
      <c r="H94" s="54">
        <v>75.193986243426806</v>
      </c>
      <c r="I94" s="54">
        <v>75.201246945415321</v>
      </c>
      <c r="J94" s="54">
        <v>1.5209410609962599</v>
      </c>
      <c r="K94" s="128"/>
      <c r="L94" s="128"/>
      <c r="M94" s="54">
        <v>18.300396862926366</v>
      </c>
      <c r="N94" s="54">
        <v>17.79644960582657</v>
      </c>
      <c r="O94" s="54">
        <v>17.79644960582657</v>
      </c>
      <c r="P94" s="54">
        <v>0</v>
      </c>
      <c r="Q94" s="54">
        <v>0</v>
      </c>
      <c r="R94" s="128"/>
      <c r="S94" s="128"/>
      <c r="T94" s="54">
        <v>104.81639337999999</v>
      </c>
      <c r="U94" s="54">
        <v>103.43213749999998</v>
      </c>
      <c r="V94" s="54">
        <v>103.43213749999998</v>
      </c>
      <c r="W94" s="54">
        <v>103.43217353999998</v>
      </c>
      <c r="X94" s="54">
        <v>1.3842198399999999</v>
      </c>
      <c r="Y94" s="128"/>
      <c r="Z94" s="128"/>
      <c r="AA94" s="54">
        <v>16.906299919999999</v>
      </c>
      <c r="AB94" s="54">
        <v>16.568711320000002</v>
      </c>
      <c r="AC94" s="54">
        <v>16.568711320000002</v>
      </c>
      <c r="AD94" s="54">
        <v>16.569121560000003</v>
      </c>
      <c r="AE94" s="54">
        <v>0.33717835999999995</v>
      </c>
      <c r="AF94" s="128"/>
      <c r="AG94" s="128"/>
      <c r="AH94" s="54">
        <v>71.873154000000028</v>
      </c>
      <c r="AI94" s="54">
        <v>70.370262720000028</v>
      </c>
      <c r="AJ94" s="54">
        <v>70.370262720000028</v>
      </c>
      <c r="AK94" s="54">
        <v>70.370799970000022</v>
      </c>
      <c r="AL94" s="54">
        <v>1.5023540300000011</v>
      </c>
      <c r="AM94" s="128"/>
      <c r="AN94" s="128"/>
      <c r="AO94" s="54">
        <v>14.148353370000002</v>
      </c>
      <c r="AP94" s="54">
        <v>13.712395000000003</v>
      </c>
      <c r="AQ94" s="54">
        <v>13.712395000000003</v>
      </c>
      <c r="AR94" s="54">
        <v>13.712865080000004</v>
      </c>
      <c r="AS94" s="54">
        <v>0.43548829000000011</v>
      </c>
      <c r="AT94" s="128"/>
    </row>
    <row r="95" spans="1:46" outlineLevel="1">
      <c r="A95" s="237" t="s">
        <v>218</v>
      </c>
      <c r="B95" s="236" t="s">
        <v>163</v>
      </c>
      <c r="C95" s="577" t="str">
        <f>+C94</f>
        <v>Storage HW</v>
      </c>
      <c r="D95" s="577" t="s">
        <v>76</v>
      </c>
      <c r="E95" s="577" t="s">
        <v>89</v>
      </c>
      <c r="F95" s="54">
        <v>35.493293423512831</v>
      </c>
      <c r="G95" s="54">
        <v>34.356312961647298</v>
      </c>
      <c r="H95" s="54">
        <v>34.356312961647298</v>
      </c>
      <c r="I95" s="54">
        <v>34.356355874737744</v>
      </c>
      <c r="J95" s="54">
        <v>1.1369375487750899</v>
      </c>
      <c r="K95" s="128"/>
      <c r="L95" s="128"/>
      <c r="M95" s="54">
        <v>8.5069568150601462</v>
      </c>
      <c r="N95" s="54">
        <v>8.1306040497722236</v>
      </c>
      <c r="O95" s="54">
        <v>8.1306040497722236</v>
      </c>
      <c r="P95" s="54">
        <v>0</v>
      </c>
      <c r="Q95" s="54">
        <v>0</v>
      </c>
      <c r="R95" s="128"/>
      <c r="S95" s="128"/>
      <c r="T95" s="54">
        <v>22.337059350000001</v>
      </c>
      <c r="U95" s="54">
        <v>21.506814810000002</v>
      </c>
      <c r="V95" s="54">
        <v>21.506814810000002</v>
      </c>
      <c r="W95" s="54">
        <v>21.506814810000002</v>
      </c>
      <c r="X95" s="54">
        <v>0.83024453999999992</v>
      </c>
      <c r="Y95" s="128"/>
      <c r="Z95" s="128"/>
      <c r="AA95" s="54">
        <v>8.3018762099999996</v>
      </c>
      <c r="AB95" s="54">
        <v>8.262635770000001</v>
      </c>
      <c r="AC95" s="54">
        <v>8.262635770000001</v>
      </c>
      <c r="AD95" s="54">
        <v>8.262635770000001</v>
      </c>
      <c r="AE95" s="54">
        <v>3.9240440000000008E-2</v>
      </c>
      <c r="AF95" s="128"/>
      <c r="AG95" s="128"/>
      <c r="AH95" s="54">
        <v>30.936159159999999</v>
      </c>
      <c r="AI95" s="54">
        <v>30.010512169999998</v>
      </c>
      <c r="AJ95" s="54">
        <v>30.010512169999998</v>
      </c>
      <c r="AK95" s="54">
        <v>30.010512169999998</v>
      </c>
      <c r="AL95" s="54">
        <v>0.92564699000000017</v>
      </c>
      <c r="AM95" s="128"/>
      <c r="AN95" s="128"/>
      <c r="AO95" s="54">
        <v>9.0687460600000005</v>
      </c>
      <c r="AP95" s="54">
        <v>9.0164289899999996</v>
      </c>
      <c r="AQ95" s="54">
        <v>9.0164289899999996</v>
      </c>
      <c r="AR95" s="54">
        <v>9.0164289899999996</v>
      </c>
      <c r="AS95" s="54">
        <v>5.2317070000000014E-2</v>
      </c>
      <c r="AT95" s="128"/>
    </row>
    <row r="96" spans="1:46" outlineLevel="1">
      <c r="A96" s="237" t="s">
        <v>218</v>
      </c>
      <c r="B96" s="236" t="s">
        <v>404</v>
      </c>
      <c r="C96" s="577" t="str">
        <f t="shared" si="1"/>
        <v>Storage HW</v>
      </c>
      <c r="D96" s="577" t="s">
        <v>76</v>
      </c>
      <c r="E96" s="577" t="s">
        <v>395</v>
      </c>
      <c r="F96" s="54">
        <v>0</v>
      </c>
      <c r="G96" s="54">
        <v>0</v>
      </c>
      <c r="H96" s="54">
        <v>0</v>
      </c>
      <c r="I96" s="54">
        <v>0</v>
      </c>
      <c r="J96" s="54">
        <v>0</v>
      </c>
      <c r="K96" s="128"/>
      <c r="L96" s="128"/>
      <c r="M96" s="54">
        <v>0</v>
      </c>
      <c r="N96" s="54">
        <v>0</v>
      </c>
      <c r="O96" s="54">
        <v>0</v>
      </c>
      <c r="P96" s="54">
        <v>0</v>
      </c>
      <c r="Q96" s="54">
        <v>0</v>
      </c>
      <c r="R96" s="128"/>
      <c r="S96" s="128"/>
      <c r="T96" s="54">
        <v>-1.281E-3</v>
      </c>
      <c r="U96" s="54">
        <v>0</v>
      </c>
      <c r="V96" s="54">
        <v>0</v>
      </c>
      <c r="W96" s="54">
        <v>0</v>
      </c>
      <c r="X96" s="54">
        <v>-1.281E-3</v>
      </c>
      <c r="Y96" s="128"/>
      <c r="Z96" s="128"/>
      <c r="AA96" s="54">
        <v>0</v>
      </c>
      <c r="AB96" s="54">
        <v>0</v>
      </c>
      <c r="AC96" s="54">
        <v>0</v>
      </c>
      <c r="AD96" s="54">
        <v>0</v>
      </c>
      <c r="AE96" s="54">
        <v>0</v>
      </c>
      <c r="AF96" s="128"/>
      <c r="AG96" s="128"/>
      <c r="AH96" s="54">
        <v>0</v>
      </c>
      <c r="AI96" s="54">
        <v>0</v>
      </c>
      <c r="AJ96" s="54">
        <v>0</v>
      </c>
      <c r="AK96" s="54">
        <v>0</v>
      </c>
      <c r="AL96" s="54">
        <v>0</v>
      </c>
      <c r="AM96" s="128"/>
      <c r="AN96" s="128"/>
      <c r="AO96" s="54">
        <v>0</v>
      </c>
      <c r="AP96" s="54">
        <v>0</v>
      </c>
      <c r="AQ96" s="54">
        <v>0</v>
      </c>
      <c r="AR96" s="54">
        <v>0</v>
      </c>
      <c r="AS96" s="54">
        <v>0</v>
      </c>
      <c r="AT96" s="128"/>
    </row>
    <row r="97" spans="1:47">
      <c r="A97" s="237" t="s">
        <v>218</v>
      </c>
      <c r="B97" s="236" t="s">
        <v>59</v>
      </c>
      <c r="C97" s="577" t="str">
        <f t="shared" si="1"/>
        <v>Storage HW</v>
      </c>
      <c r="D97" s="577" t="s">
        <v>76</v>
      </c>
      <c r="E97" s="577" t="s">
        <v>90</v>
      </c>
      <c r="F97" s="54">
        <v>52.456830938668887</v>
      </c>
      <c r="G97" s="54">
        <v>47.173502189234597</v>
      </c>
      <c r="H97" s="54">
        <v>47.173502189234597</v>
      </c>
      <c r="I97" s="54">
        <v>47.173864086734596</v>
      </c>
      <c r="J97" s="54">
        <v>5.2829668519342903</v>
      </c>
      <c r="K97" s="128"/>
      <c r="L97" s="128"/>
      <c r="M97" s="54">
        <v>29.733368312583671</v>
      </c>
      <c r="N97" s="54">
        <v>26.560047656493875</v>
      </c>
      <c r="O97" s="54">
        <v>26.560047656493875</v>
      </c>
      <c r="P97" s="54">
        <v>0</v>
      </c>
      <c r="Q97" s="54">
        <v>0</v>
      </c>
      <c r="R97" s="128"/>
      <c r="S97" s="128"/>
      <c r="T97" s="54">
        <v>70.69578061</v>
      </c>
      <c r="U97" s="54">
        <v>65.453314550000002</v>
      </c>
      <c r="V97" s="54">
        <v>65.422673889999984</v>
      </c>
      <c r="W97" s="54">
        <v>65.454130520000007</v>
      </c>
      <c r="X97" s="54">
        <v>5.2416500900000003</v>
      </c>
      <c r="Y97" s="128"/>
      <c r="Z97" s="128"/>
      <c r="AA97" s="54">
        <v>38.215284280000006</v>
      </c>
      <c r="AB97" s="54">
        <v>34.881017839999998</v>
      </c>
      <c r="AC97" s="54">
        <v>34.860032959999998</v>
      </c>
      <c r="AD97" s="54">
        <v>34.8814876</v>
      </c>
      <c r="AE97" s="54">
        <v>3.3337966799999998</v>
      </c>
      <c r="AF97" s="128"/>
      <c r="AG97" s="128"/>
      <c r="AH97" s="54">
        <v>83.070426820000009</v>
      </c>
      <c r="AI97" s="54">
        <v>77.59146093999999</v>
      </c>
      <c r="AJ97" s="54">
        <v>77.5770579</v>
      </c>
      <c r="AK97" s="54">
        <v>77.592152070000012</v>
      </c>
      <c r="AL97" s="54">
        <v>5.4782747499999997</v>
      </c>
      <c r="AM97" s="128"/>
      <c r="AN97" s="128"/>
      <c r="AO97" s="54">
        <v>4.9958743299999995</v>
      </c>
      <c r="AP97" s="54">
        <v>3.0792464499999999</v>
      </c>
      <c r="AQ97" s="54">
        <v>3.0090770499999997</v>
      </c>
      <c r="AR97" s="54">
        <v>3.0792814199999996</v>
      </c>
      <c r="AS97" s="54">
        <v>1.9165929099999999</v>
      </c>
      <c r="AT97" s="128"/>
    </row>
    <row r="98" spans="1:47">
      <c r="A98" s="237" t="s">
        <v>218</v>
      </c>
      <c r="B98" s="236" t="s">
        <v>34</v>
      </c>
      <c r="C98" s="577" t="str">
        <f t="shared" si="1"/>
        <v>Storage HW</v>
      </c>
      <c r="D98" s="577" t="s">
        <v>76</v>
      </c>
      <c r="E98" s="577" t="s">
        <v>91</v>
      </c>
      <c r="F98" s="54">
        <v>88.360804338435457</v>
      </c>
      <c r="G98" s="54">
        <v>85.151446235837398</v>
      </c>
      <c r="H98" s="54">
        <v>85.151446235837398</v>
      </c>
      <c r="I98" s="54">
        <v>85.168943493337395</v>
      </c>
      <c r="J98" s="54">
        <v>3.1918608450980503</v>
      </c>
      <c r="K98" s="128"/>
      <c r="L98" s="128"/>
      <c r="M98" s="54">
        <v>19.550787895855184</v>
      </c>
      <c r="N98" s="54">
        <v>18.671957361907999</v>
      </c>
      <c r="O98" s="54">
        <v>18.671957361907999</v>
      </c>
      <c r="P98" s="54">
        <v>0</v>
      </c>
      <c r="Q98" s="54">
        <v>0</v>
      </c>
      <c r="R98" s="128"/>
      <c r="S98" s="128"/>
      <c r="T98" s="54">
        <v>83.396672910000021</v>
      </c>
      <c r="U98" s="54">
        <v>80.365894270000013</v>
      </c>
      <c r="V98" s="54">
        <v>79.434216580000012</v>
      </c>
      <c r="W98" s="54">
        <v>80.356904910000011</v>
      </c>
      <c r="X98" s="54">
        <v>3.0397679999999996</v>
      </c>
      <c r="Y98" s="128"/>
      <c r="Z98" s="128"/>
      <c r="AA98" s="54">
        <v>15.181232809999999</v>
      </c>
      <c r="AB98" s="54">
        <v>14.68334962</v>
      </c>
      <c r="AC98" s="54">
        <v>13.605907649999999</v>
      </c>
      <c r="AD98" s="54">
        <v>14.689825280000001</v>
      </c>
      <c r="AE98" s="54">
        <v>0.49140753000000004</v>
      </c>
      <c r="AF98" s="128"/>
      <c r="AG98" s="128"/>
      <c r="AH98" s="54">
        <v>87.967694729999991</v>
      </c>
      <c r="AI98" s="54">
        <v>85.076288659999989</v>
      </c>
      <c r="AJ98" s="54">
        <v>83.98193809</v>
      </c>
      <c r="AK98" s="54">
        <v>85.095903059999998</v>
      </c>
      <c r="AL98" s="54">
        <v>2.8717916699999999</v>
      </c>
      <c r="AM98" s="128"/>
      <c r="AN98" s="128"/>
      <c r="AO98" s="54">
        <v>17.20915244</v>
      </c>
      <c r="AP98" s="54">
        <v>16.422604369999998</v>
      </c>
      <c r="AQ98" s="54">
        <v>16.303121239999999</v>
      </c>
      <c r="AR98" s="54">
        <v>16.436875269999998</v>
      </c>
      <c r="AS98" s="54">
        <v>0.77227717000000007</v>
      </c>
      <c r="AT98" s="128"/>
    </row>
    <row r="99" spans="1:47" outlineLevel="1">
      <c r="A99" s="237" t="s">
        <v>218</v>
      </c>
      <c r="B99" s="236" t="s">
        <v>399</v>
      </c>
      <c r="C99" s="577" t="str">
        <f t="shared" si="1"/>
        <v>Storage HW</v>
      </c>
      <c r="D99" s="577" t="s">
        <v>76</v>
      </c>
      <c r="E99" s="577" t="s">
        <v>407</v>
      </c>
      <c r="F99" s="54">
        <v>23.086633890027588</v>
      </c>
      <c r="G99" s="54">
        <v>22.204456458753199</v>
      </c>
      <c r="H99" s="54">
        <v>22.204456458753199</v>
      </c>
      <c r="I99" s="54">
        <v>22.206783771948828</v>
      </c>
      <c r="J99" s="54">
        <v>0.87985011807876101</v>
      </c>
      <c r="K99" s="128"/>
      <c r="L99" s="128"/>
      <c r="M99" s="54">
        <v>4.9678368732042548</v>
      </c>
      <c r="N99" s="54">
        <v>4.7255228987733044</v>
      </c>
      <c r="O99" s="54">
        <v>4.7255228987733044</v>
      </c>
      <c r="P99" s="54">
        <v>0</v>
      </c>
      <c r="Q99" s="54">
        <v>0</v>
      </c>
      <c r="R99" s="128"/>
      <c r="S99" s="128"/>
      <c r="T99" s="54">
        <v>22.392973830000003</v>
      </c>
      <c r="U99" s="54">
        <v>21.215166549999999</v>
      </c>
      <c r="V99" s="54">
        <v>21.215166549999999</v>
      </c>
      <c r="W99" s="54">
        <v>21.203137310000002</v>
      </c>
      <c r="X99" s="54">
        <v>1.1898365200000003</v>
      </c>
      <c r="Y99" s="128"/>
      <c r="Z99" s="128"/>
      <c r="AA99" s="54">
        <v>4.1361782599999994</v>
      </c>
      <c r="AB99" s="54">
        <v>3.8112745799999996</v>
      </c>
      <c r="AC99" s="54">
        <v>3.8112745799999996</v>
      </c>
      <c r="AD99" s="54">
        <v>3.8130256899999999</v>
      </c>
      <c r="AE99" s="54">
        <v>0.32315256999999997</v>
      </c>
      <c r="AF99" s="128"/>
      <c r="AG99" s="128"/>
      <c r="AH99" s="54">
        <v>14.888652039999997</v>
      </c>
      <c r="AI99" s="54">
        <v>13.701745049999996</v>
      </c>
      <c r="AJ99" s="54">
        <v>13.701745049999996</v>
      </c>
      <c r="AK99" s="54">
        <v>13.704353969999998</v>
      </c>
      <c r="AL99" s="54">
        <v>1.1842980700000001</v>
      </c>
      <c r="AM99" s="128"/>
      <c r="AN99" s="128"/>
      <c r="AO99" s="54">
        <v>7.0134248200000009</v>
      </c>
      <c r="AP99" s="54">
        <v>6.4598258300000024</v>
      </c>
      <c r="AQ99" s="54">
        <v>6.4598258300000024</v>
      </c>
      <c r="AR99" s="54">
        <v>6.4639067900000011</v>
      </c>
      <c r="AS99" s="54">
        <v>0.5495180300000001</v>
      </c>
      <c r="AT99" s="128"/>
    </row>
    <row r="100" spans="1:47" outlineLevel="1">
      <c r="A100" s="237" t="s">
        <v>218</v>
      </c>
      <c r="B100" s="236" t="s">
        <v>400</v>
      </c>
      <c r="C100" s="577" t="str">
        <f t="shared" si="1"/>
        <v>Storage HW</v>
      </c>
      <c r="D100" s="577" t="s">
        <v>76</v>
      </c>
      <c r="E100" s="577" t="s">
        <v>1179</v>
      </c>
      <c r="F100" s="54">
        <v>8.9483338637584442</v>
      </c>
      <c r="G100" s="54">
        <v>8.6707469173741991</v>
      </c>
      <c r="H100" s="54">
        <v>8.6707469173741991</v>
      </c>
      <c r="I100" s="54">
        <v>8.6745295551078048</v>
      </c>
      <c r="J100" s="54">
        <v>0.27380430865063998</v>
      </c>
      <c r="K100" s="128"/>
      <c r="L100" s="128"/>
      <c r="M100" s="54">
        <v>1.8651196505416447</v>
      </c>
      <c r="N100" s="54">
        <v>1.7896663299348026</v>
      </c>
      <c r="O100" s="54">
        <v>1.7896663299348026</v>
      </c>
      <c r="P100" s="54">
        <v>0</v>
      </c>
      <c r="Q100" s="54">
        <v>0</v>
      </c>
      <c r="R100" s="128"/>
      <c r="S100" s="128"/>
      <c r="T100" s="54">
        <v>10.457905429999999</v>
      </c>
      <c r="U100" s="54">
        <v>10.085395809999998</v>
      </c>
      <c r="V100" s="54">
        <v>10.085395809999998</v>
      </c>
      <c r="W100" s="54">
        <v>10.086723099999999</v>
      </c>
      <c r="X100" s="54">
        <v>0.37118232999999995</v>
      </c>
      <c r="Y100" s="128"/>
      <c r="Z100" s="128"/>
      <c r="AA100" s="54">
        <v>0.38231171999999997</v>
      </c>
      <c r="AB100" s="54">
        <v>0.32699309999999998</v>
      </c>
      <c r="AC100" s="54">
        <v>0.32699309999999998</v>
      </c>
      <c r="AD100" s="54">
        <v>0.32993427999999997</v>
      </c>
      <c r="AE100" s="54">
        <v>5.2377440000000004E-2</v>
      </c>
      <c r="AF100" s="128"/>
      <c r="AG100" s="128"/>
      <c r="AH100" s="54">
        <v>6.377345049999998</v>
      </c>
      <c r="AI100" s="54">
        <v>6.1376143099999991</v>
      </c>
      <c r="AJ100" s="54">
        <v>6.1376143099999991</v>
      </c>
      <c r="AK100" s="54">
        <v>6.1418546499999982</v>
      </c>
      <c r="AL100" s="54">
        <v>0.23549039999999999</v>
      </c>
      <c r="AM100" s="128"/>
      <c r="AN100" s="128"/>
      <c r="AO100" s="54">
        <v>5.0631140000000019E-2</v>
      </c>
      <c r="AP100" s="54">
        <v>-1.2882949999999987E-2</v>
      </c>
      <c r="AQ100" s="54">
        <v>-1.2882949999999987E-2</v>
      </c>
      <c r="AR100" s="54">
        <v>-1.1425889999999984E-2</v>
      </c>
      <c r="AS100" s="54">
        <v>6.2057029999999999E-2</v>
      </c>
      <c r="AT100" s="128"/>
    </row>
    <row r="101" spans="1:47" outlineLevel="1">
      <c r="A101" s="237" t="s">
        <v>218</v>
      </c>
      <c r="B101" s="236" t="s">
        <v>401</v>
      </c>
      <c r="C101" s="577" t="str">
        <f t="shared" si="1"/>
        <v>Storage HW</v>
      </c>
      <c r="D101" s="577" t="s">
        <v>76</v>
      </c>
      <c r="E101" s="577" t="s">
        <v>408</v>
      </c>
      <c r="F101" s="54">
        <v>13.923681164769039</v>
      </c>
      <c r="G101" s="54">
        <v>13.68279921788</v>
      </c>
      <c r="H101" s="54">
        <v>13.68279921788</v>
      </c>
      <c r="I101" s="54">
        <v>13.68279921788</v>
      </c>
      <c r="J101" s="54">
        <v>0.24088194688903999</v>
      </c>
      <c r="K101" s="128"/>
      <c r="L101" s="128"/>
      <c r="M101" s="54">
        <v>3.0660416075311763</v>
      </c>
      <c r="N101" s="54">
        <v>3.0006395084283484</v>
      </c>
      <c r="O101" s="54">
        <v>3.0006395084283484</v>
      </c>
      <c r="P101" s="54">
        <v>0</v>
      </c>
      <c r="Q101" s="54">
        <v>0</v>
      </c>
      <c r="R101" s="128"/>
      <c r="S101" s="128"/>
      <c r="T101" s="54">
        <v>9.9482154499999993</v>
      </c>
      <c r="U101" s="54">
        <v>9.7760429099999993</v>
      </c>
      <c r="V101" s="54">
        <v>9.7760429099999993</v>
      </c>
      <c r="W101" s="54">
        <v>9.7780242699999995</v>
      </c>
      <c r="X101" s="54">
        <v>0.17019118</v>
      </c>
      <c r="Y101" s="128"/>
      <c r="Z101" s="128"/>
      <c r="AA101" s="54">
        <v>1.5348134500000001</v>
      </c>
      <c r="AB101" s="54">
        <v>1.4780027900000001</v>
      </c>
      <c r="AC101" s="54">
        <v>1.4780027900000001</v>
      </c>
      <c r="AD101" s="54">
        <v>1.4780027900000001</v>
      </c>
      <c r="AE101" s="54">
        <v>5.6810659999999999E-2</v>
      </c>
      <c r="AF101" s="128"/>
      <c r="AG101" s="128"/>
      <c r="AH101" s="54">
        <v>13.299067200000001</v>
      </c>
      <c r="AI101" s="54">
        <v>13.003324439999998</v>
      </c>
      <c r="AJ101" s="54">
        <v>13.003324439999998</v>
      </c>
      <c r="AK101" s="54">
        <v>13.003324439999998</v>
      </c>
      <c r="AL101" s="54">
        <v>0.29574275999999999</v>
      </c>
      <c r="AM101" s="128"/>
      <c r="AN101" s="128"/>
      <c r="AO101" s="54">
        <v>2.9763459699999997</v>
      </c>
      <c r="AP101" s="54">
        <v>2.9429564999999998</v>
      </c>
      <c r="AQ101" s="54">
        <v>2.9429564999999998</v>
      </c>
      <c r="AR101" s="54">
        <v>2.9429564999999998</v>
      </c>
      <c r="AS101" s="54">
        <v>3.3389469999999997E-2</v>
      </c>
      <c r="AT101" s="128"/>
    </row>
    <row r="102" spans="1:47" outlineLevel="1">
      <c r="A102" s="237" t="s">
        <v>218</v>
      </c>
      <c r="B102" s="236" t="s">
        <v>93</v>
      </c>
      <c r="C102" s="577" t="str">
        <f t="shared" si="1"/>
        <v>Storage HW</v>
      </c>
      <c r="D102" s="577" t="s">
        <v>76</v>
      </c>
      <c r="E102" s="577" t="s">
        <v>93</v>
      </c>
      <c r="F102" s="54">
        <v>16.279838671751687</v>
      </c>
      <c r="G102" s="54">
        <v>15.5307161087064</v>
      </c>
      <c r="H102" s="54">
        <v>15.5307161087064</v>
      </c>
      <c r="I102" s="54">
        <v>15.542103415277166</v>
      </c>
      <c r="J102" s="54">
        <v>0.73773525647452098</v>
      </c>
      <c r="K102" s="128"/>
      <c r="L102" s="128"/>
      <c r="M102" s="54">
        <v>3.555540730506904</v>
      </c>
      <c r="N102" s="54">
        <v>3.3475697216671607</v>
      </c>
      <c r="O102" s="54">
        <v>3.3475697216671607</v>
      </c>
      <c r="P102" s="54">
        <v>0</v>
      </c>
      <c r="Q102" s="54">
        <v>0</v>
      </c>
      <c r="R102" s="128"/>
      <c r="S102" s="128"/>
      <c r="T102" s="54">
        <v>6.6457584399999998</v>
      </c>
      <c r="U102" s="54">
        <v>6.2573274000000003</v>
      </c>
      <c r="V102" s="54">
        <v>6.2573274000000003</v>
      </c>
      <c r="W102" s="54">
        <v>6.3006657200000005</v>
      </c>
      <c r="X102" s="54">
        <v>0.34509272000000007</v>
      </c>
      <c r="Y102" s="128"/>
      <c r="Z102" s="128"/>
      <c r="AA102" s="54">
        <v>1.9560667899999999</v>
      </c>
      <c r="AB102" s="54">
        <v>1.9276838100000004</v>
      </c>
      <c r="AC102" s="54">
        <v>1.9276838100000004</v>
      </c>
      <c r="AD102" s="54">
        <v>1.92900129</v>
      </c>
      <c r="AE102" s="54">
        <v>2.7065500000000003E-2</v>
      </c>
      <c r="AF102" s="128"/>
      <c r="AG102" s="128"/>
      <c r="AH102" s="54">
        <v>22.991323740000002</v>
      </c>
      <c r="AI102" s="54">
        <v>22.855892970000003</v>
      </c>
      <c r="AJ102" s="54">
        <v>22.855892970000003</v>
      </c>
      <c r="AK102" s="54">
        <v>22.868658080000003</v>
      </c>
      <c r="AL102" s="54">
        <v>0.12266566</v>
      </c>
      <c r="AM102" s="128"/>
      <c r="AN102" s="128"/>
      <c r="AO102" s="54">
        <v>1.9412384</v>
      </c>
      <c r="AP102" s="54">
        <v>1.9216633900000002</v>
      </c>
      <c r="AQ102" s="54">
        <v>1.9216633900000002</v>
      </c>
      <c r="AR102" s="54">
        <v>1.9303957400000002</v>
      </c>
      <c r="AS102" s="54">
        <v>1.084266E-2</v>
      </c>
      <c r="AT102" s="128"/>
    </row>
    <row r="103" spans="1:47" outlineLevel="1">
      <c r="A103" s="237" t="s">
        <v>218</v>
      </c>
      <c r="B103" s="236" t="s">
        <v>238</v>
      </c>
      <c r="C103" s="577" t="str">
        <f t="shared" si="1"/>
        <v>Storage HW</v>
      </c>
      <c r="D103" s="577" t="s">
        <v>76</v>
      </c>
      <c r="E103" s="577" t="s">
        <v>94</v>
      </c>
      <c r="F103" s="54">
        <v>28.05853797220696</v>
      </c>
      <c r="G103" s="54">
        <v>26.9989866295128</v>
      </c>
      <c r="H103" s="54">
        <v>26.9989866295128</v>
      </c>
      <c r="I103" s="54">
        <v>26.9989866295128</v>
      </c>
      <c r="J103" s="54">
        <v>1.0595513426941601</v>
      </c>
      <c r="K103" s="128"/>
      <c r="L103" s="128"/>
      <c r="M103" s="54">
        <v>6.0963085567522866</v>
      </c>
      <c r="N103" s="54">
        <v>5.8086287085346076</v>
      </c>
      <c r="O103" s="54">
        <v>5.8086287085346076</v>
      </c>
      <c r="P103" s="54">
        <v>0</v>
      </c>
      <c r="Q103" s="54">
        <v>0</v>
      </c>
      <c r="R103" s="128"/>
      <c r="S103" s="128"/>
      <c r="T103" s="54">
        <v>33.951819759999999</v>
      </c>
      <c r="U103" s="54">
        <v>33.031961600000002</v>
      </c>
      <c r="V103" s="54">
        <v>32.100283910000002</v>
      </c>
      <c r="W103" s="54">
        <v>32.988354510000001</v>
      </c>
      <c r="X103" s="54">
        <v>0.96346525000000005</v>
      </c>
      <c r="Y103" s="128"/>
      <c r="Z103" s="128"/>
      <c r="AA103" s="54">
        <v>7.1718625899999999</v>
      </c>
      <c r="AB103" s="54">
        <v>7.139395340000001</v>
      </c>
      <c r="AC103" s="54">
        <v>6.0619533700000003</v>
      </c>
      <c r="AD103" s="54">
        <v>7.1398612299999993</v>
      </c>
      <c r="AE103" s="54">
        <v>3.200136E-2</v>
      </c>
      <c r="AF103" s="128"/>
      <c r="AG103" s="128"/>
      <c r="AH103" s="54">
        <v>30.411306700000001</v>
      </c>
      <c r="AI103" s="54">
        <v>29.37771189</v>
      </c>
      <c r="AJ103" s="54">
        <v>28.283361320000001</v>
      </c>
      <c r="AK103" s="54">
        <v>29.377711920000003</v>
      </c>
      <c r="AL103" s="54">
        <v>1.03359478</v>
      </c>
      <c r="AM103" s="128"/>
      <c r="AN103" s="128"/>
      <c r="AO103" s="54">
        <v>5.2275121099999993</v>
      </c>
      <c r="AP103" s="54">
        <v>5.1110415999999992</v>
      </c>
      <c r="AQ103" s="54">
        <v>4.9915584699999993</v>
      </c>
      <c r="AR103" s="54">
        <v>5.1110421299999995</v>
      </c>
      <c r="AS103" s="54">
        <v>0.11646997999999997</v>
      </c>
      <c r="AT103" s="128"/>
    </row>
    <row r="104" spans="1:47" outlineLevel="1">
      <c r="A104" s="237" t="s">
        <v>218</v>
      </c>
      <c r="B104" s="236" t="s">
        <v>402</v>
      </c>
      <c r="C104" s="577" t="str">
        <f t="shared" si="1"/>
        <v>Storage HW</v>
      </c>
      <c r="D104" s="577" t="s">
        <v>76</v>
      </c>
      <c r="E104" s="577" t="s">
        <v>398</v>
      </c>
      <c r="F104" s="54">
        <v>-1.93594078634779</v>
      </c>
      <c r="G104" s="54">
        <v>-1.93594078634779</v>
      </c>
      <c r="H104" s="54">
        <v>-1.93594078634779</v>
      </c>
      <c r="I104" s="54">
        <v>-1.93594078634779</v>
      </c>
      <c r="J104" s="54">
        <v>0</v>
      </c>
      <c r="K104" s="128"/>
      <c r="L104" s="128"/>
      <c r="M104" s="54">
        <v>0</v>
      </c>
      <c r="N104" s="54">
        <v>0</v>
      </c>
      <c r="O104" s="54">
        <v>0</v>
      </c>
      <c r="P104" s="54">
        <v>0</v>
      </c>
      <c r="Q104" s="54">
        <v>0</v>
      </c>
      <c r="R104" s="128"/>
      <c r="S104" s="128"/>
      <c r="T104" s="54">
        <v>0</v>
      </c>
      <c r="U104" s="54">
        <v>0</v>
      </c>
      <c r="V104" s="54">
        <v>0</v>
      </c>
      <c r="W104" s="54">
        <v>0</v>
      </c>
      <c r="X104" s="54">
        <v>0</v>
      </c>
      <c r="Y104" s="128"/>
      <c r="Z104" s="128"/>
      <c r="AA104" s="54">
        <v>0</v>
      </c>
      <c r="AB104" s="54">
        <v>0</v>
      </c>
      <c r="AC104" s="54">
        <v>0</v>
      </c>
      <c r="AD104" s="54">
        <v>0</v>
      </c>
      <c r="AE104" s="54">
        <v>0</v>
      </c>
      <c r="AF104" s="128"/>
      <c r="AG104" s="128"/>
      <c r="AH104" s="54">
        <v>0</v>
      </c>
      <c r="AI104" s="54">
        <v>0</v>
      </c>
      <c r="AJ104" s="54">
        <v>0</v>
      </c>
      <c r="AK104" s="54">
        <v>0</v>
      </c>
      <c r="AL104" s="54">
        <v>0</v>
      </c>
      <c r="AM104" s="128"/>
      <c r="AN104" s="128"/>
      <c r="AO104" s="54">
        <v>0</v>
      </c>
      <c r="AP104" s="54">
        <v>0</v>
      </c>
      <c r="AQ104" s="54">
        <v>0</v>
      </c>
      <c r="AR104" s="54">
        <v>0</v>
      </c>
      <c r="AS104" s="54">
        <v>0</v>
      </c>
      <c r="AT104" s="128"/>
    </row>
    <row r="105" spans="1:47">
      <c r="C105" s="577"/>
      <c r="D105" s="577"/>
      <c r="E105" s="577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  <c r="AC105" s="128"/>
      <c r="AD105" s="128"/>
      <c r="AE105" s="128"/>
      <c r="AF105" s="128"/>
      <c r="AG105" s="128"/>
      <c r="AH105" s="128"/>
      <c r="AI105" s="128"/>
      <c r="AJ105" s="128"/>
      <c r="AK105" s="128"/>
      <c r="AL105" s="128"/>
      <c r="AM105" s="128"/>
      <c r="AN105" s="128"/>
      <c r="AO105" s="128"/>
      <c r="AP105" s="128"/>
      <c r="AQ105" s="128"/>
      <c r="AR105" s="128"/>
      <c r="AS105" s="128"/>
      <c r="AT105" s="128"/>
    </row>
    <row r="106" spans="1:47" s="270" customFormat="1">
      <c r="A106" s="237" t="s">
        <v>57</v>
      </c>
      <c r="B106" s="236" t="s">
        <v>13</v>
      </c>
      <c r="C106" s="576" t="s">
        <v>258</v>
      </c>
      <c r="D106" s="577" t="s">
        <v>72</v>
      </c>
      <c r="E106" s="577" t="s">
        <v>73</v>
      </c>
      <c r="F106" s="54">
        <v>18.736802856872199</v>
      </c>
      <c r="G106" s="54">
        <v>0</v>
      </c>
      <c r="H106" s="54">
        <v>0</v>
      </c>
      <c r="I106" s="54">
        <v>0</v>
      </c>
      <c r="J106" s="54">
        <v>18.736802856872199</v>
      </c>
      <c r="K106" s="128"/>
      <c r="L106" s="128"/>
      <c r="M106" s="54">
        <v>0</v>
      </c>
      <c r="N106" s="54">
        <v>0</v>
      </c>
      <c r="O106" s="54">
        <v>0</v>
      </c>
      <c r="P106" s="54">
        <v>0</v>
      </c>
      <c r="Q106" s="54">
        <v>0</v>
      </c>
      <c r="R106" s="128"/>
      <c r="S106" s="128"/>
      <c r="T106" s="54">
        <v>12.22902854</v>
      </c>
      <c r="U106" s="54">
        <v>2.4951420000000724E-2</v>
      </c>
      <c r="V106" s="54">
        <v>0</v>
      </c>
      <c r="W106" s="54">
        <v>2.4951420000000724E-2</v>
      </c>
      <c r="X106" s="54">
        <v>12.204077119999999</v>
      </c>
      <c r="Y106" s="128"/>
      <c r="Z106" s="128"/>
      <c r="AA106" s="54">
        <v>7.5307850299999988</v>
      </c>
      <c r="AB106" s="54">
        <v>0</v>
      </c>
      <c r="AC106" s="54">
        <v>0</v>
      </c>
      <c r="AD106" s="54">
        <v>0</v>
      </c>
      <c r="AE106" s="54">
        <v>7.5307850299999988</v>
      </c>
      <c r="AF106" s="128"/>
      <c r="AG106" s="128"/>
      <c r="AH106" s="54">
        <v>14.298511349999997</v>
      </c>
      <c r="AI106" s="54">
        <v>-3.5527136788005009E-15</v>
      </c>
      <c r="AJ106" s="54">
        <v>0</v>
      </c>
      <c r="AK106" s="54">
        <v>-3.5527136788005009E-15</v>
      </c>
      <c r="AL106" s="54">
        <v>14.298511350000002</v>
      </c>
      <c r="AM106" s="128"/>
      <c r="AN106" s="128"/>
      <c r="AO106" s="54">
        <v>26.345310009999999</v>
      </c>
      <c r="AP106" s="54">
        <v>0</v>
      </c>
      <c r="AQ106" s="54">
        <v>0</v>
      </c>
      <c r="AR106" s="54">
        <v>0</v>
      </c>
      <c r="AS106" s="54">
        <v>26.345310010000002</v>
      </c>
      <c r="AT106" s="128"/>
      <c r="AU106" s="269"/>
    </row>
    <row r="107" spans="1:47">
      <c r="A107" s="237" t="s">
        <v>39</v>
      </c>
      <c r="B107" s="236" t="s">
        <v>13</v>
      </c>
      <c r="C107" s="577" t="s">
        <v>96</v>
      </c>
      <c r="D107" s="577" t="s">
        <v>72</v>
      </c>
      <c r="E107" s="577" t="s">
        <v>73</v>
      </c>
      <c r="F107" s="54">
        <v>14.035644238337479</v>
      </c>
      <c r="G107" s="54">
        <v>14.035644238337479</v>
      </c>
      <c r="H107" s="54">
        <v>14.035644238337479</v>
      </c>
      <c r="I107" s="54">
        <v>14.035644238337479</v>
      </c>
      <c r="J107" s="54">
        <v>0</v>
      </c>
      <c r="K107" s="128"/>
      <c r="L107" s="128"/>
      <c r="M107" s="54">
        <v>5.4989886218165571</v>
      </c>
      <c r="N107" s="54">
        <v>5.4989886218165571</v>
      </c>
      <c r="O107" s="54">
        <v>5.4989886218165571</v>
      </c>
      <c r="P107" s="54">
        <v>0</v>
      </c>
      <c r="Q107" s="54">
        <v>0</v>
      </c>
      <c r="R107" s="128"/>
      <c r="S107" s="128"/>
      <c r="T107" s="54">
        <v>20.724697090000003</v>
      </c>
      <c r="U107" s="54">
        <v>20.724697090000003</v>
      </c>
      <c r="V107" s="54">
        <v>20.724697089999999</v>
      </c>
      <c r="W107" s="54">
        <v>20.724697090000003</v>
      </c>
      <c r="X107" s="54">
        <v>0</v>
      </c>
      <c r="Y107" s="128"/>
      <c r="Z107" s="128"/>
      <c r="AA107" s="54">
        <v>4.5561460599999997</v>
      </c>
      <c r="AB107" s="54">
        <v>4.5561460599999997</v>
      </c>
      <c r="AC107" s="54">
        <v>4.5561460799999995</v>
      </c>
      <c r="AD107" s="54">
        <v>4.5561460599999997</v>
      </c>
      <c r="AE107" s="54">
        <v>0</v>
      </c>
      <c r="AF107" s="128"/>
      <c r="AG107" s="128"/>
      <c r="AH107" s="54">
        <v>14.782868379999998</v>
      </c>
      <c r="AI107" s="54">
        <v>14.782868379999998</v>
      </c>
      <c r="AJ107" s="54">
        <v>14.782868379999996</v>
      </c>
      <c r="AK107" s="54">
        <v>14.782868379999998</v>
      </c>
      <c r="AL107" s="54">
        <v>0</v>
      </c>
      <c r="AM107" s="128"/>
      <c r="AN107" s="128"/>
      <c r="AO107" s="54">
        <v>7.7645166399999974</v>
      </c>
      <c r="AP107" s="54">
        <v>7.7634534899999972</v>
      </c>
      <c r="AQ107" s="54">
        <v>7.763453479999999</v>
      </c>
      <c r="AR107" s="54">
        <v>7.7634534899999972</v>
      </c>
      <c r="AS107" s="54">
        <v>1.0631500000000001E-3</v>
      </c>
      <c r="AT107" s="128"/>
    </row>
    <row r="108" spans="1:47">
      <c r="A108" s="237" t="s">
        <v>239</v>
      </c>
      <c r="B108" s="236" t="s">
        <v>13</v>
      </c>
      <c r="C108" s="577" t="s">
        <v>95</v>
      </c>
      <c r="D108" s="577" t="s">
        <v>72</v>
      </c>
      <c r="E108" s="577" t="s">
        <v>73</v>
      </c>
      <c r="F108" s="54">
        <v>0</v>
      </c>
      <c r="G108" s="54">
        <v>0</v>
      </c>
      <c r="H108" s="54">
        <v>0</v>
      </c>
      <c r="I108" s="54">
        <v>0</v>
      </c>
      <c r="J108" s="54">
        <v>0</v>
      </c>
      <c r="K108" s="128"/>
      <c r="L108" s="128"/>
      <c r="M108" s="54">
        <v>0</v>
      </c>
      <c r="N108" s="54">
        <v>0</v>
      </c>
      <c r="O108" s="54">
        <v>0</v>
      </c>
      <c r="P108" s="54">
        <v>0</v>
      </c>
      <c r="Q108" s="54">
        <v>0</v>
      </c>
      <c r="R108" s="128"/>
      <c r="S108" s="128"/>
      <c r="T108" s="54">
        <v>5.8937300000000015E-3</v>
      </c>
      <c r="U108" s="54">
        <v>0</v>
      </c>
      <c r="V108" s="54">
        <v>0</v>
      </c>
      <c r="W108" s="54">
        <v>0</v>
      </c>
      <c r="X108" s="54">
        <v>5.8937300000000015E-3</v>
      </c>
      <c r="Y108" s="128"/>
      <c r="Z108" s="128"/>
      <c r="AA108" s="54">
        <v>6.2918000000000002E-4</v>
      </c>
      <c r="AB108" s="54">
        <v>0</v>
      </c>
      <c r="AC108" s="54">
        <v>0</v>
      </c>
      <c r="AD108" s="54">
        <v>0</v>
      </c>
      <c r="AE108" s="54">
        <v>6.2918000000000002E-4</v>
      </c>
      <c r="AF108" s="128"/>
      <c r="AG108" s="128"/>
      <c r="AH108" s="54">
        <v>1.1531120000000002E-2</v>
      </c>
      <c r="AI108" s="54">
        <v>0</v>
      </c>
      <c r="AJ108" s="54">
        <v>0</v>
      </c>
      <c r="AK108" s="54">
        <v>0</v>
      </c>
      <c r="AL108" s="54">
        <v>1.1531120000000002E-2</v>
      </c>
      <c r="AM108" s="128"/>
      <c r="AN108" s="128"/>
      <c r="AO108" s="54">
        <v>1.4018599999999999E-2</v>
      </c>
      <c r="AP108" s="54">
        <v>0</v>
      </c>
      <c r="AQ108" s="54">
        <v>0</v>
      </c>
      <c r="AR108" s="54">
        <v>0</v>
      </c>
      <c r="AS108" s="54">
        <v>1.4018599999999999E-2</v>
      </c>
      <c r="AT108" s="128"/>
    </row>
    <row r="109" spans="1:47">
      <c r="A109" s="237" t="s">
        <v>239</v>
      </c>
      <c r="B109" s="236" t="s">
        <v>13</v>
      </c>
      <c r="C109" s="577" t="s">
        <v>266</v>
      </c>
      <c r="D109" s="577" t="s">
        <v>72</v>
      </c>
      <c r="E109" s="577" t="s">
        <v>73</v>
      </c>
      <c r="F109" s="54">
        <v>0</v>
      </c>
      <c r="G109" s="54">
        <v>0</v>
      </c>
      <c r="H109" s="54">
        <v>0</v>
      </c>
      <c r="I109" s="54">
        <v>0</v>
      </c>
      <c r="J109" s="54">
        <v>0</v>
      </c>
      <c r="K109" s="128"/>
      <c r="L109" s="128"/>
      <c r="M109" s="54">
        <v>0</v>
      </c>
      <c r="N109" s="54">
        <v>0</v>
      </c>
      <c r="O109" s="54">
        <v>0</v>
      </c>
      <c r="P109" s="54">
        <v>0</v>
      </c>
      <c r="Q109" s="54">
        <v>0</v>
      </c>
      <c r="R109" s="128"/>
      <c r="S109" s="128"/>
      <c r="T109" s="54">
        <v>2.4612699999999998E-3</v>
      </c>
      <c r="U109" s="54">
        <v>0</v>
      </c>
      <c r="V109" s="54">
        <v>0</v>
      </c>
      <c r="W109" s="54">
        <v>-2.0163199999999998E-3</v>
      </c>
      <c r="X109" s="54">
        <v>4.47759E-3</v>
      </c>
      <c r="Y109" s="128"/>
      <c r="Z109" s="128"/>
      <c r="AA109" s="54">
        <v>9.0893500000000012E-3</v>
      </c>
      <c r="AB109" s="54">
        <v>2.6161800000000001E-3</v>
      </c>
      <c r="AC109" s="54">
        <v>2.6161800000000001E-3</v>
      </c>
      <c r="AD109" s="54">
        <v>5.3033300000000002E-3</v>
      </c>
      <c r="AE109" s="54">
        <v>3.7860200000000002E-3</v>
      </c>
      <c r="AF109" s="128"/>
      <c r="AG109" s="128"/>
      <c r="AH109" s="54">
        <v>2.6451399999999968E-3</v>
      </c>
      <c r="AI109" s="54">
        <v>-1.7193639999999996E-2</v>
      </c>
      <c r="AJ109" s="54">
        <v>-1.7193639999999996E-2</v>
      </c>
      <c r="AK109" s="54">
        <v>-4.0092899999999996E-3</v>
      </c>
      <c r="AL109" s="54">
        <v>6.6544300000000002E-3</v>
      </c>
      <c r="AM109" s="128"/>
      <c r="AN109" s="128"/>
      <c r="AO109" s="54">
        <v>5.781267000000001E-2</v>
      </c>
      <c r="AP109" s="54">
        <v>6.8339799999999999E-3</v>
      </c>
      <c r="AQ109" s="54">
        <v>6.8339799999999999E-3</v>
      </c>
      <c r="AR109" s="54">
        <v>5.0847470000000006E-2</v>
      </c>
      <c r="AS109" s="54">
        <v>6.9652000000000004E-3</v>
      </c>
      <c r="AT109" s="128"/>
    </row>
    <row r="110" spans="1:47">
      <c r="A110" s="237" t="s">
        <v>239</v>
      </c>
      <c r="B110" s="236" t="s">
        <v>13</v>
      </c>
      <c r="C110" s="577" t="s">
        <v>267</v>
      </c>
      <c r="D110" s="577" t="s">
        <v>72</v>
      </c>
      <c r="E110" s="577" t="s">
        <v>73</v>
      </c>
      <c r="F110" s="54">
        <v>1.69930676</v>
      </c>
      <c r="G110" s="54">
        <v>0</v>
      </c>
      <c r="H110" s="54">
        <v>0</v>
      </c>
      <c r="I110" s="54">
        <v>1.69930676</v>
      </c>
      <c r="J110" s="54">
        <v>0</v>
      </c>
      <c r="K110" s="128"/>
      <c r="L110" s="128"/>
      <c r="M110" s="54">
        <v>1.1283704282759108</v>
      </c>
      <c r="N110" s="54">
        <v>0</v>
      </c>
      <c r="O110" s="54">
        <v>0</v>
      </c>
      <c r="P110" s="54">
        <v>0</v>
      </c>
      <c r="Q110" s="54">
        <v>0</v>
      </c>
      <c r="R110" s="128"/>
      <c r="S110" s="128"/>
      <c r="T110" s="54">
        <v>1.65803758</v>
      </c>
      <c r="U110" s="54">
        <v>0</v>
      </c>
      <c r="V110" s="54">
        <v>0</v>
      </c>
      <c r="W110" s="54">
        <v>0</v>
      </c>
      <c r="X110" s="54">
        <v>1.65803758</v>
      </c>
      <c r="Y110" s="128"/>
      <c r="Z110" s="128"/>
      <c r="AA110" s="54">
        <v>1.1274884800000002</v>
      </c>
      <c r="AB110" s="54">
        <v>0</v>
      </c>
      <c r="AC110" s="54">
        <v>0</v>
      </c>
      <c r="AD110" s="54">
        <v>0</v>
      </c>
      <c r="AE110" s="54">
        <v>1.1274884800000002</v>
      </c>
      <c r="AF110" s="128"/>
      <c r="AG110" s="128"/>
      <c r="AH110" s="54">
        <v>1.9330009400000001</v>
      </c>
      <c r="AI110" s="54">
        <v>0</v>
      </c>
      <c r="AJ110" s="54">
        <v>0</v>
      </c>
      <c r="AK110" s="54">
        <v>0</v>
      </c>
      <c r="AL110" s="54">
        <v>1.9330009400000001</v>
      </c>
      <c r="AM110" s="128"/>
      <c r="AN110" s="128"/>
      <c r="AO110" s="54">
        <v>1.42753347</v>
      </c>
      <c r="AP110" s="54">
        <v>0</v>
      </c>
      <c r="AQ110" s="54">
        <v>0</v>
      </c>
      <c r="AR110" s="54">
        <v>0</v>
      </c>
      <c r="AS110" s="54">
        <v>1.42753347</v>
      </c>
      <c r="AT110" s="128"/>
    </row>
    <row r="111" spans="1:47">
      <c r="A111" s="237" t="s">
        <v>239</v>
      </c>
      <c r="B111" s="236" t="s">
        <v>13</v>
      </c>
      <c r="C111" s="577" t="s">
        <v>325</v>
      </c>
      <c r="D111" s="577" t="s">
        <v>72</v>
      </c>
      <c r="E111" s="577" t="s">
        <v>73</v>
      </c>
      <c r="F111" s="54">
        <v>38.752677849650901</v>
      </c>
      <c r="G111" s="54">
        <v>0</v>
      </c>
      <c r="H111" s="54">
        <v>0</v>
      </c>
      <c r="I111" s="54">
        <v>38.752677849650901</v>
      </c>
      <c r="J111" s="54">
        <v>0</v>
      </c>
      <c r="K111" s="128"/>
      <c r="L111" s="128"/>
      <c r="M111" s="54">
        <v>5.1001685186076351</v>
      </c>
      <c r="N111" s="54">
        <v>0</v>
      </c>
      <c r="O111" s="54">
        <v>0</v>
      </c>
      <c r="P111" s="54">
        <v>0</v>
      </c>
      <c r="Q111" s="54">
        <v>0</v>
      </c>
      <c r="R111" s="128"/>
      <c r="S111" s="128"/>
      <c r="T111" s="54">
        <v>12.736744680000003</v>
      </c>
      <c r="U111" s="54">
        <v>6.01793815</v>
      </c>
      <c r="V111" s="54">
        <v>6.01793815</v>
      </c>
      <c r="W111" s="54">
        <v>6.01793815</v>
      </c>
      <c r="X111" s="54">
        <v>6.7188065300000002</v>
      </c>
      <c r="Y111" s="128"/>
      <c r="Z111" s="128"/>
      <c r="AA111" s="54">
        <v>3.1333588399999996</v>
      </c>
      <c r="AB111" s="54">
        <v>0</v>
      </c>
      <c r="AC111" s="54">
        <v>0</v>
      </c>
      <c r="AD111" s="54">
        <v>0</v>
      </c>
      <c r="AE111" s="54">
        <v>3.1333588399999996</v>
      </c>
      <c r="AF111" s="128"/>
      <c r="AG111" s="128"/>
      <c r="AH111" s="54">
        <v>2.19945857</v>
      </c>
      <c r="AI111" s="54">
        <v>0</v>
      </c>
      <c r="AJ111" s="54">
        <v>0</v>
      </c>
      <c r="AK111" s="54">
        <v>0</v>
      </c>
      <c r="AL111" s="54">
        <v>2.19945857</v>
      </c>
      <c r="AM111" s="128"/>
      <c r="AN111" s="128"/>
      <c r="AO111" s="54">
        <v>0.21856822999999995</v>
      </c>
      <c r="AP111" s="54">
        <v>0</v>
      </c>
      <c r="AQ111" s="54">
        <v>0</v>
      </c>
      <c r="AR111" s="54">
        <v>0</v>
      </c>
      <c r="AS111" s="54">
        <v>0.21856822999999995</v>
      </c>
      <c r="AT111" s="128"/>
    </row>
    <row r="112" spans="1:47">
      <c r="B112" s="236"/>
      <c r="C112" s="577"/>
      <c r="D112" s="577"/>
      <c r="E112" s="577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  <c r="AC112" s="128"/>
      <c r="AD112" s="128"/>
      <c r="AE112" s="128"/>
      <c r="AF112" s="128"/>
      <c r="AG112" s="128"/>
      <c r="AH112" s="128"/>
      <c r="AI112" s="128"/>
      <c r="AJ112" s="128"/>
      <c r="AK112" s="128"/>
      <c r="AL112" s="128"/>
      <c r="AM112" s="128"/>
      <c r="AN112" s="128"/>
      <c r="AO112" s="128"/>
      <c r="AP112" s="128"/>
      <c r="AQ112" s="128"/>
      <c r="AR112" s="128"/>
      <c r="AS112" s="128"/>
      <c r="AT112" s="128"/>
    </row>
    <row r="113" spans="1:47">
      <c r="B113" s="236" t="s">
        <v>13</v>
      </c>
      <c r="C113" s="577" t="s">
        <v>351</v>
      </c>
      <c r="D113" s="577" t="s">
        <v>72</v>
      </c>
      <c r="E113" s="577" t="s">
        <v>73</v>
      </c>
      <c r="F113" s="54">
        <v>3228.8680245604969</v>
      </c>
      <c r="G113" s="54">
        <v>2757.9084048649502</v>
      </c>
      <c r="H113" s="54">
        <v>2715.9682492787833</v>
      </c>
      <c r="I113" s="54">
        <v>2845.0051205139512</v>
      </c>
      <c r="J113" s="54">
        <v>383.86290404654602</v>
      </c>
      <c r="K113" s="128"/>
      <c r="L113" s="128"/>
      <c r="M113" s="54">
        <v>617.2882800332784</v>
      </c>
      <c r="N113" s="54">
        <v>358.07229925598938</v>
      </c>
      <c r="O113" s="54">
        <v>329.38159899369862</v>
      </c>
      <c r="P113" s="54">
        <v>0</v>
      </c>
      <c r="Q113" s="54">
        <v>0</v>
      </c>
      <c r="R113" s="128"/>
      <c r="S113" s="128"/>
      <c r="T113" s="54">
        <v>2796.4274069800003</v>
      </c>
      <c r="U113" s="54">
        <v>2228.8241689799993</v>
      </c>
      <c r="V113" s="54">
        <v>2192.5405552799994</v>
      </c>
      <c r="W113" s="54">
        <v>2409.4181902799996</v>
      </c>
      <c r="X113" s="54">
        <v>387.00921670000014</v>
      </c>
      <c r="Y113" s="128"/>
      <c r="Z113" s="128"/>
      <c r="AA113" s="54">
        <v>614.86029768999981</v>
      </c>
      <c r="AB113" s="54">
        <v>344.6871614199996</v>
      </c>
      <c r="AC113" s="54">
        <v>321.99004804999964</v>
      </c>
      <c r="AD113" s="54">
        <v>376.09719372999996</v>
      </c>
      <c r="AE113" s="54">
        <v>238.76310396000002</v>
      </c>
      <c r="AF113" s="128"/>
      <c r="AG113" s="128"/>
      <c r="AH113" s="54">
        <v>3055.8136361499924</v>
      </c>
      <c r="AI113" s="54">
        <v>2522.6492055299991</v>
      </c>
      <c r="AJ113" s="54">
        <v>2477.3549892799992</v>
      </c>
      <c r="AK113" s="54">
        <v>2674.94718302</v>
      </c>
      <c r="AL113" s="54">
        <v>380.86645313000037</v>
      </c>
      <c r="AM113" s="128"/>
      <c r="AN113" s="128"/>
      <c r="AO113" s="54">
        <v>545.0484271499987</v>
      </c>
      <c r="AP113" s="54">
        <v>292.69300291999963</v>
      </c>
      <c r="AQ113" s="54">
        <v>277.5697731599995</v>
      </c>
      <c r="AR113" s="54">
        <v>311.21317382999928</v>
      </c>
      <c r="AS113" s="54">
        <v>233.83525332000019</v>
      </c>
      <c r="AT113" s="128"/>
      <c r="AU113" s="56" t="e">
        <f>+#REF!-#REF!-#REF!-#REF!</f>
        <v>#REF!</v>
      </c>
    </row>
    <row r="114" spans="1:47" collapsed="1">
      <c r="A114" s="281"/>
      <c r="B114" s="282" t="s">
        <v>164</v>
      </c>
      <c r="C114" s="577" t="s">
        <v>351</v>
      </c>
      <c r="D114" s="577" t="s">
        <v>72</v>
      </c>
      <c r="E114" s="577" t="s">
        <v>260</v>
      </c>
      <c r="F114" s="54">
        <v>41.940155586166902</v>
      </c>
      <c r="G114" s="54">
        <v>41.940155586166902</v>
      </c>
      <c r="H114" s="54">
        <v>0</v>
      </c>
      <c r="I114" s="54">
        <v>41.940155586166902</v>
      </c>
      <c r="J114" s="54">
        <v>0</v>
      </c>
      <c r="K114" s="128"/>
      <c r="L114" s="128"/>
      <c r="M114" s="54">
        <v>28.6907002622908</v>
      </c>
      <c r="N114" s="54">
        <v>28.6907002622908</v>
      </c>
      <c r="O114" s="54">
        <v>0</v>
      </c>
      <c r="P114" s="54">
        <v>0</v>
      </c>
      <c r="Q114" s="54">
        <v>0</v>
      </c>
      <c r="R114" s="128"/>
      <c r="S114" s="128"/>
      <c r="T114" s="54">
        <v>29.92871392</v>
      </c>
      <c r="U114" s="54">
        <v>30.962680980000002</v>
      </c>
      <c r="V114" s="54">
        <v>0</v>
      </c>
      <c r="W114" s="54">
        <v>30.962680980000002</v>
      </c>
      <c r="X114" s="54">
        <v>-1.0339670600000002</v>
      </c>
      <c r="Y114" s="128"/>
      <c r="Z114" s="128"/>
      <c r="AA114" s="54">
        <v>15.884690340000002</v>
      </c>
      <c r="AB114" s="54">
        <v>16.468512050000001</v>
      </c>
      <c r="AC114" s="54">
        <v>0</v>
      </c>
      <c r="AD114" s="54">
        <v>16.468512050000001</v>
      </c>
      <c r="AE114" s="54">
        <v>-0.58382171000000005</v>
      </c>
      <c r="AF114" s="128"/>
      <c r="AG114" s="128"/>
      <c r="AH114" s="54">
        <v>30.039983909999993</v>
      </c>
      <c r="AI114" s="54">
        <v>30.253364969999996</v>
      </c>
      <c r="AJ114" s="54">
        <v>0</v>
      </c>
      <c r="AK114" s="54">
        <v>30.253364969999996</v>
      </c>
      <c r="AL114" s="54">
        <v>-0.21338105999999993</v>
      </c>
      <c r="AM114" s="128"/>
      <c r="AN114" s="128"/>
      <c r="AO114" s="54">
        <v>10.274141170000002</v>
      </c>
      <c r="AP114" s="54">
        <v>10.704977860000001</v>
      </c>
      <c r="AQ114" s="54">
        <v>0</v>
      </c>
      <c r="AR114" s="54">
        <v>10.704977860000001</v>
      </c>
      <c r="AS114" s="54">
        <v>-0.43083668999999997</v>
      </c>
      <c r="AT114" s="128"/>
    </row>
    <row r="115" spans="1:47">
      <c r="A115" s="281"/>
      <c r="B115" s="282" t="s">
        <v>265</v>
      </c>
      <c r="C115" s="577" t="s">
        <v>351</v>
      </c>
      <c r="D115" s="577" t="s">
        <v>72</v>
      </c>
      <c r="E115" s="577" t="s">
        <v>261</v>
      </c>
      <c r="F115" s="54">
        <v>0</v>
      </c>
      <c r="G115" s="54">
        <v>0</v>
      </c>
      <c r="H115" s="54">
        <v>0</v>
      </c>
      <c r="I115" s="54">
        <v>0</v>
      </c>
      <c r="J115" s="54">
        <v>0</v>
      </c>
      <c r="K115" s="128"/>
      <c r="L115" s="128"/>
      <c r="M115" s="54">
        <v>0</v>
      </c>
      <c r="N115" s="54">
        <v>0</v>
      </c>
      <c r="O115" s="54">
        <v>0</v>
      </c>
      <c r="P115" s="54">
        <v>0</v>
      </c>
      <c r="Q115" s="54">
        <v>0</v>
      </c>
      <c r="R115" s="128"/>
      <c r="S115" s="128"/>
      <c r="T115" s="54">
        <v>-22.931900540000008</v>
      </c>
      <c r="U115" s="54">
        <v>-22.931900540000008</v>
      </c>
      <c r="V115" s="54">
        <v>0</v>
      </c>
      <c r="W115" s="54">
        <v>-22.931900540000008</v>
      </c>
      <c r="X115" s="54">
        <v>0</v>
      </c>
      <c r="Y115" s="128"/>
      <c r="Z115" s="128"/>
      <c r="AA115" s="54">
        <v>-12.580270909999999</v>
      </c>
      <c r="AB115" s="54">
        <v>-12.580270909999999</v>
      </c>
      <c r="AC115" s="54">
        <v>0</v>
      </c>
      <c r="AD115" s="54">
        <v>-12.580270909999999</v>
      </c>
      <c r="AE115" s="54">
        <v>0</v>
      </c>
      <c r="AF115" s="128"/>
      <c r="AG115" s="128"/>
      <c r="AH115" s="54">
        <v>-27.569186299999995</v>
      </c>
      <c r="AI115" s="54">
        <v>-27.569186299999995</v>
      </c>
      <c r="AJ115" s="54">
        <v>0</v>
      </c>
      <c r="AK115" s="54">
        <v>-27.569186299999995</v>
      </c>
      <c r="AL115" s="54">
        <v>0</v>
      </c>
      <c r="AM115" s="128"/>
      <c r="AN115" s="128"/>
      <c r="AO115" s="54">
        <v>-3.2840861299999999</v>
      </c>
      <c r="AP115" s="54">
        <v>-3.2840861299999999</v>
      </c>
      <c r="AQ115" s="54">
        <v>0</v>
      </c>
      <c r="AR115" s="54">
        <v>-3.2840861299999999</v>
      </c>
      <c r="AS115" s="54">
        <v>0</v>
      </c>
      <c r="AT115" s="128"/>
    </row>
    <row r="116" spans="1:47">
      <c r="B116" s="236" t="s">
        <v>243</v>
      </c>
      <c r="C116" s="577" t="s">
        <v>351</v>
      </c>
      <c r="D116" s="577" t="s">
        <v>72</v>
      </c>
      <c r="E116" s="577" t="s">
        <v>74</v>
      </c>
      <c r="F116" s="54">
        <v>3186.9278689743301</v>
      </c>
      <c r="G116" s="54">
        <v>2715.9682492787833</v>
      </c>
      <c r="H116" s="54">
        <v>2715.9682492787833</v>
      </c>
      <c r="I116" s="54">
        <v>2803.0649649277843</v>
      </c>
      <c r="J116" s="54">
        <v>383.86290404654602</v>
      </c>
      <c r="K116" s="128"/>
      <c r="L116" s="128"/>
      <c r="M116" s="54">
        <v>588.59757977098752</v>
      </c>
      <c r="N116" s="54">
        <v>329.38159899369862</v>
      </c>
      <c r="O116" s="54">
        <v>329.38159899369862</v>
      </c>
      <c r="P116" s="54">
        <v>0</v>
      </c>
      <c r="Q116" s="54">
        <v>0</v>
      </c>
      <c r="R116" s="128"/>
      <c r="S116" s="128"/>
      <c r="T116" s="54">
        <v>2789.4305936000001</v>
      </c>
      <c r="U116" s="54">
        <v>2220.7933885399993</v>
      </c>
      <c r="V116" s="54">
        <v>2192.5405552799994</v>
      </c>
      <c r="W116" s="54">
        <v>2401.3874098400001</v>
      </c>
      <c r="X116" s="54">
        <v>388.04318376000015</v>
      </c>
      <c r="Y116" s="128"/>
      <c r="Z116" s="128"/>
      <c r="AA116" s="54">
        <v>611.55587825999987</v>
      </c>
      <c r="AB116" s="54">
        <v>340.79892027999961</v>
      </c>
      <c r="AC116" s="54">
        <v>321.99004804999964</v>
      </c>
      <c r="AD116" s="54">
        <v>372.20895258999997</v>
      </c>
      <c r="AE116" s="54">
        <v>239.34692567000002</v>
      </c>
      <c r="AF116" s="128"/>
      <c r="AG116" s="128"/>
      <c r="AH116" s="54">
        <v>3053.3428385399925</v>
      </c>
      <c r="AI116" s="54">
        <v>2519.9650268599989</v>
      </c>
      <c r="AJ116" s="54">
        <v>2477.3549892799992</v>
      </c>
      <c r="AK116" s="54">
        <v>2672.2630043499998</v>
      </c>
      <c r="AL116" s="54">
        <v>381.07983419000044</v>
      </c>
      <c r="AM116" s="128"/>
      <c r="AN116" s="128"/>
      <c r="AO116" s="54">
        <v>538.05837210999869</v>
      </c>
      <c r="AP116" s="54">
        <v>285.27211118999969</v>
      </c>
      <c r="AQ116" s="54">
        <v>277.5697731599995</v>
      </c>
      <c r="AR116" s="54">
        <v>303.79228209999934</v>
      </c>
      <c r="AS116" s="54">
        <v>234.26609001000017</v>
      </c>
      <c r="AT116" s="128"/>
    </row>
    <row r="117" spans="1:47">
      <c r="B117" s="236" t="s">
        <v>58</v>
      </c>
      <c r="C117" s="577" t="s">
        <v>351</v>
      </c>
      <c r="D117" s="577" t="s">
        <v>76</v>
      </c>
      <c r="E117" s="577" t="s">
        <v>16</v>
      </c>
      <c r="F117" s="54">
        <v>1593.8840400217666</v>
      </c>
      <c r="G117" s="54">
        <v>1369.9358468363623</v>
      </c>
      <c r="H117" s="54">
        <v>1369.9358468363623</v>
      </c>
      <c r="I117" s="54">
        <v>1409.6147662478165</v>
      </c>
      <c r="J117" s="54">
        <v>184.26927377394958</v>
      </c>
      <c r="K117" s="128"/>
      <c r="L117" s="128"/>
      <c r="M117" s="54">
        <v>247.3777877837222</v>
      </c>
      <c r="N117" s="54">
        <v>121.51702882561415</v>
      </c>
      <c r="O117" s="54">
        <v>121.51702882561415</v>
      </c>
      <c r="P117" s="54">
        <v>0</v>
      </c>
      <c r="Q117" s="54">
        <v>0</v>
      </c>
      <c r="R117" s="128"/>
      <c r="S117" s="128"/>
      <c r="T117" s="54">
        <v>1244.2034837800011</v>
      </c>
      <c r="U117" s="54">
        <v>961.66479358000015</v>
      </c>
      <c r="V117" s="54">
        <v>960.34433526999999</v>
      </c>
      <c r="W117" s="54">
        <v>1060.7266106400004</v>
      </c>
      <c r="X117" s="54">
        <v>183.47687314000007</v>
      </c>
      <c r="Y117" s="128"/>
      <c r="Z117" s="128"/>
      <c r="AA117" s="54">
        <v>246.4172968300002</v>
      </c>
      <c r="AB117" s="54">
        <v>116.23737395999997</v>
      </c>
      <c r="AC117" s="54">
        <v>115.61446217999995</v>
      </c>
      <c r="AD117" s="54">
        <v>131.8916459299999</v>
      </c>
      <c r="AE117" s="54">
        <v>114.5256509</v>
      </c>
      <c r="AF117" s="128"/>
      <c r="AG117" s="128"/>
      <c r="AH117" s="54">
        <v>1555.4364686300012</v>
      </c>
      <c r="AI117" s="54">
        <v>1303.3537460600012</v>
      </c>
      <c r="AJ117" s="54">
        <v>1295.5993645900014</v>
      </c>
      <c r="AK117" s="54">
        <v>1370.084052240001</v>
      </c>
      <c r="AL117" s="54">
        <v>185.35241639000009</v>
      </c>
      <c r="AM117" s="128"/>
      <c r="AN117" s="128"/>
      <c r="AO117" s="54">
        <v>243.29578406999983</v>
      </c>
      <c r="AP117" s="54">
        <v>119.18972952000001</v>
      </c>
      <c r="AQ117" s="54">
        <v>117.95517513000001</v>
      </c>
      <c r="AR117" s="54">
        <v>127.30639988000003</v>
      </c>
      <c r="AS117" s="54">
        <v>115.9893841900001</v>
      </c>
      <c r="AT117" s="128"/>
    </row>
    <row r="118" spans="1:47" outlineLevel="1">
      <c r="B118" s="236" t="s">
        <v>17</v>
      </c>
      <c r="C118" s="577" t="s">
        <v>351</v>
      </c>
      <c r="D118" s="577" t="s">
        <v>76</v>
      </c>
      <c r="E118" s="577" t="s">
        <v>17</v>
      </c>
      <c r="F118" s="54">
        <v>258.73323755956602</v>
      </c>
      <c r="G118" s="54">
        <v>214.36737636773171</v>
      </c>
      <c r="H118" s="54">
        <v>214.36737636773171</v>
      </c>
      <c r="I118" s="54">
        <v>219.84758745619331</v>
      </c>
      <c r="J118" s="54">
        <v>38.885650103372697</v>
      </c>
      <c r="K118" s="128"/>
      <c r="L118" s="128"/>
      <c r="M118" s="54">
        <v>48.868103716050143</v>
      </c>
      <c r="N118" s="54">
        <v>25.569045726007779</v>
      </c>
      <c r="O118" s="54">
        <v>25.569045726007779</v>
      </c>
      <c r="P118" s="54">
        <v>0</v>
      </c>
      <c r="Q118" s="54">
        <v>0</v>
      </c>
      <c r="R118" s="128"/>
      <c r="S118" s="128"/>
      <c r="T118" s="54">
        <v>0</v>
      </c>
      <c r="U118" s="54">
        <v>0</v>
      </c>
      <c r="V118" s="54">
        <v>0</v>
      </c>
      <c r="W118" s="54">
        <v>0</v>
      </c>
      <c r="X118" s="54">
        <v>0</v>
      </c>
      <c r="Y118" s="128"/>
      <c r="Z118" s="128"/>
      <c r="AA118" s="54">
        <v>0</v>
      </c>
      <c r="AB118" s="54">
        <v>0</v>
      </c>
      <c r="AC118" s="54">
        <v>0</v>
      </c>
      <c r="AD118" s="54">
        <v>0</v>
      </c>
      <c r="AE118" s="54">
        <v>0</v>
      </c>
      <c r="AF118" s="128"/>
      <c r="AG118" s="128"/>
      <c r="AH118" s="54">
        <v>0</v>
      </c>
      <c r="AI118" s="54">
        <v>0</v>
      </c>
      <c r="AJ118" s="54">
        <v>0</v>
      </c>
      <c r="AK118" s="54">
        <v>0</v>
      </c>
      <c r="AL118" s="54">
        <v>0</v>
      </c>
      <c r="AM118" s="128"/>
      <c r="AN118" s="128"/>
      <c r="AO118" s="54">
        <v>0</v>
      </c>
      <c r="AP118" s="54">
        <v>0</v>
      </c>
      <c r="AQ118" s="54">
        <v>0</v>
      </c>
      <c r="AR118" s="54">
        <v>0</v>
      </c>
      <c r="AS118" s="54">
        <v>0</v>
      </c>
      <c r="AT118" s="128"/>
    </row>
    <row r="119" spans="1:47" outlineLevel="1">
      <c r="B119" s="236" t="s">
        <v>18</v>
      </c>
      <c r="C119" s="577" t="s">
        <v>351</v>
      </c>
      <c r="D119" s="577" t="s">
        <v>76</v>
      </c>
      <c r="E119" s="577" t="s">
        <v>18</v>
      </c>
      <c r="F119" s="54">
        <v>3.9612828384029468</v>
      </c>
      <c r="G119" s="54">
        <v>3.0768070077884921</v>
      </c>
      <c r="H119" s="54">
        <v>3.0768070077884921</v>
      </c>
      <c r="I119" s="54">
        <v>3.4225731968759732</v>
      </c>
      <c r="J119" s="54">
        <v>0.53870964152697653</v>
      </c>
      <c r="K119" s="128"/>
      <c r="L119" s="128"/>
      <c r="M119" s="54">
        <v>7.2225668875399762</v>
      </c>
      <c r="N119" s="54">
        <v>3.1489700525215261</v>
      </c>
      <c r="O119" s="54">
        <v>3.1489700525215261</v>
      </c>
      <c r="P119" s="54">
        <v>0</v>
      </c>
      <c r="Q119" s="54">
        <v>0</v>
      </c>
      <c r="R119" s="128"/>
      <c r="S119" s="128"/>
      <c r="T119" s="54">
        <v>0</v>
      </c>
      <c r="U119" s="54">
        <v>0</v>
      </c>
      <c r="V119" s="54">
        <v>0</v>
      </c>
      <c r="W119" s="54">
        <v>0</v>
      </c>
      <c r="X119" s="54">
        <v>0</v>
      </c>
      <c r="Y119" s="128"/>
      <c r="Z119" s="128"/>
      <c r="AA119" s="54">
        <v>0</v>
      </c>
      <c r="AB119" s="54">
        <v>0</v>
      </c>
      <c r="AC119" s="54">
        <v>0</v>
      </c>
      <c r="AD119" s="54">
        <v>0</v>
      </c>
      <c r="AE119" s="54">
        <v>0</v>
      </c>
      <c r="AF119" s="128"/>
      <c r="AG119" s="128"/>
      <c r="AH119" s="54">
        <v>0</v>
      </c>
      <c r="AI119" s="54">
        <v>0</v>
      </c>
      <c r="AJ119" s="54">
        <v>0</v>
      </c>
      <c r="AK119" s="54">
        <v>0</v>
      </c>
      <c r="AL119" s="54">
        <v>0</v>
      </c>
      <c r="AM119" s="128"/>
      <c r="AN119" s="128"/>
      <c r="AO119" s="54">
        <v>0</v>
      </c>
      <c r="AP119" s="54">
        <v>0</v>
      </c>
      <c r="AQ119" s="54">
        <v>0</v>
      </c>
      <c r="AR119" s="54">
        <v>0</v>
      </c>
      <c r="AS119" s="54">
        <v>0</v>
      </c>
      <c r="AT119" s="128"/>
    </row>
    <row r="120" spans="1:47" outlineLevel="1">
      <c r="B120" s="236" t="s">
        <v>19</v>
      </c>
      <c r="C120" s="577" t="s">
        <v>351</v>
      </c>
      <c r="D120" s="577" t="s">
        <v>76</v>
      </c>
      <c r="E120" s="577" t="s">
        <v>19</v>
      </c>
      <c r="F120" s="54">
        <v>222.40737705416791</v>
      </c>
      <c r="G120" s="54">
        <v>166.95142046201312</v>
      </c>
      <c r="H120" s="54">
        <v>166.95142046201312</v>
      </c>
      <c r="I120" s="54">
        <v>180.07206017391937</v>
      </c>
      <c r="J120" s="54">
        <v>42.335316880248527</v>
      </c>
      <c r="K120" s="128"/>
      <c r="L120" s="128"/>
      <c r="M120" s="54">
        <v>51.957174248576521</v>
      </c>
      <c r="N120" s="54">
        <v>22.919472210823269</v>
      </c>
      <c r="O120" s="54">
        <v>22.919472210823269</v>
      </c>
      <c r="P120" s="54">
        <v>0</v>
      </c>
      <c r="Q120" s="54">
        <v>0</v>
      </c>
      <c r="R120" s="128"/>
      <c r="S120" s="128"/>
      <c r="T120" s="54">
        <v>0</v>
      </c>
      <c r="U120" s="54">
        <v>0</v>
      </c>
      <c r="V120" s="54">
        <v>0</v>
      </c>
      <c r="W120" s="54">
        <v>0</v>
      </c>
      <c r="X120" s="54">
        <v>0</v>
      </c>
      <c r="Y120" s="128"/>
      <c r="Z120" s="128"/>
      <c r="AA120" s="54">
        <v>0</v>
      </c>
      <c r="AB120" s="54">
        <v>0</v>
      </c>
      <c r="AC120" s="54">
        <v>0</v>
      </c>
      <c r="AD120" s="54">
        <v>0</v>
      </c>
      <c r="AE120" s="54">
        <v>0</v>
      </c>
      <c r="AF120" s="128"/>
      <c r="AG120" s="128"/>
      <c r="AH120" s="54">
        <v>0</v>
      </c>
      <c r="AI120" s="54">
        <v>0</v>
      </c>
      <c r="AJ120" s="54">
        <v>0</v>
      </c>
      <c r="AK120" s="54">
        <v>0</v>
      </c>
      <c r="AL120" s="54">
        <v>0</v>
      </c>
      <c r="AM120" s="128"/>
      <c r="AN120" s="128"/>
      <c r="AO120" s="54">
        <v>0</v>
      </c>
      <c r="AP120" s="54">
        <v>0</v>
      </c>
      <c r="AQ120" s="54">
        <v>0</v>
      </c>
      <c r="AR120" s="54">
        <v>0</v>
      </c>
      <c r="AS120" s="54">
        <v>0</v>
      </c>
      <c r="AT120" s="128"/>
    </row>
    <row r="121" spans="1:47" outlineLevel="1">
      <c r="B121" s="236" t="s">
        <v>77</v>
      </c>
      <c r="C121" s="577" t="s">
        <v>351</v>
      </c>
      <c r="D121" s="577" t="s">
        <v>76</v>
      </c>
      <c r="E121" s="577" t="s">
        <v>77</v>
      </c>
      <c r="F121" s="54">
        <v>593.32341437038144</v>
      </c>
      <c r="G121" s="54">
        <v>558.56553635942294</v>
      </c>
      <c r="H121" s="54">
        <v>558.56553635942294</v>
      </c>
      <c r="I121" s="54">
        <v>563.35888784482245</v>
      </c>
      <c r="J121" s="54">
        <v>29.964526525558945</v>
      </c>
      <c r="K121" s="128"/>
      <c r="L121" s="128"/>
      <c r="M121" s="54">
        <v>37.918633621322655</v>
      </c>
      <c r="N121" s="54">
        <v>19.729951224926907</v>
      </c>
      <c r="O121" s="54">
        <v>19.729951224926907</v>
      </c>
      <c r="P121" s="54">
        <v>0</v>
      </c>
      <c r="Q121" s="54">
        <v>0</v>
      </c>
      <c r="R121" s="128"/>
      <c r="S121" s="128"/>
      <c r="T121" s="54">
        <v>0</v>
      </c>
      <c r="U121" s="54">
        <v>0</v>
      </c>
      <c r="V121" s="54">
        <v>0</v>
      </c>
      <c r="W121" s="54">
        <v>0</v>
      </c>
      <c r="X121" s="54">
        <v>0</v>
      </c>
      <c r="Y121" s="128"/>
      <c r="Z121" s="128"/>
      <c r="AA121" s="54">
        <v>0</v>
      </c>
      <c r="AB121" s="54">
        <v>0</v>
      </c>
      <c r="AC121" s="54">
        <v>0</v>
      </c>
      <c r="AD121" s="54">
        <v>0</v>
      </c>
      <c r="AE121" s="54">
        <v>0</v>
      </c>
      <c r="AF121" s="128"/>
      <c r="AG121" s="128"/>
      <c r="AH121" s="54">
        <v>0</v>
      </c>
      <c r="AI121" s="54">
        <v>0</v>
      </c>
      <c r="AJ121" s="54">
        <v>0</v>
      </c>
      <c r="AK121" s="54">
        <v>0</v>
      </c>
      <c r="AL121" s="54">
        <v>0</v>
      </c>
      <c r="AM121" s="128"/>
      <c r="AN121" s="128"/>
      <c r="AO121" s="54">
        <v>0</v>
      </c>
      <c r="AP121" s="54">
        <v>0</v>
      </c>
      <c r="AQ121" s="54">
        <v>0</v>
      </c>
      <c r="AR121" s="54">
        <v>0</v>
      </c>
      <c r="AS121" s="54">
        <v>0</v>
      </c>
      <c r="AT121" s="128"/>
    </row>
    <row r="122" spans="1:47" outlineLevel="1">
      <c r="B122" s="236" t="s">
        <v>78</v>
      </c>
      <c r="C122" s="577" t="s">
        <v>351</v>
      </c>
      <c r="D122" s="577" t="s">
        <v>76</v>
      </c>
      <c r="E122" s="577" t="s">
        <v>78</v>
      </c>
      <c r="F122" s="54">
        <v>124.23643856071926</v>
      </c>
      <c r="G122" s="54">
        <v>105.9798062377986</v>
      </c>
      <c r="H122" s="54">
        <v>105.9798062377986</v>
      </c>
      <c r="I122" s="54">
        <v>108.76806489658551</v>
      </c>
      <c r="J122" s="54">
        <v>15.468373664133745</v>
      </c>
      <c r="K122" s="128"/>
      <c r="L122" s="128"/>
      <c r="M122" s="54">
        <v>19.644739422264276</v>
      </c>
      <c r="N122" s="54">
        <v>8.3959175865525779</v>
      </c>
      <c r="O122" s="54">
        <v>8.3959175865525779</v>
      </c>
      <c r="P122" s="54">
        <v>0</v>
      </c>
      <c r="Q122" s="54">
        <v>0</v>
      </c>
      <c r="R122" s="128"/>
      <c r="S122" s="128"/>
      <c r="T122" s="54">
        <v>0</v>
      </c>
      <c r="U122" s="54">
        <v>0</v>
      </c>
      <c r="V122" s="54">
        <v>0</v>
      </c>
      <c r="W122" s="54">
        <v>0</v>
      </c>
      <c r="X122" s="54">
        <v>0</v>
      </c>
      <c r="Y122" s="128"/>
      <c r="Z122" s="128"/>
      <c r="AA122" s="54">
        <v>0</v>
      </c>
      <c r="AB122" s="54">
        <v>0</v>
      </c>
      <c r="AC122" s="54">
        <v>0</v>
      </c>
      <c r="AD122" s="54">
        <v>0</v>
      </c>
      <c r="AE122" s="54">
        <v>0</v>
      </c>
      <c r="AF122" s="128"/>
      <c r="AG122" s="128"/>
      <c r="AH122" s="54">
        <v>0</v>
      </c>
      <c r="AI122" s="54">
        <v>0</v>
      </c>
      <c r="AJ122" s="54">
        <v>0</v>
      </c>
      <c r="AK122" s="54">
        <v>0</v>
      </c>
      <c r="AL122" s="54">
        <v>0</v>
      </c>
      <c r="AM122" s="128"/>
      <c r="AN122" s="128"/>
      <c r="AO122" s="54">
        <v>0</v>
      </c>
      <c r="AP122" s="54">
        <v>0</v>
      </c>
      <c r="AQ122" s="54">
        <v>0</v>
      </c>
      <c r="AR122" s="54">
        <v>0</v>
      </c>
      <c r="AS122" s="54">
        <v>0</v>
      </c>
      <c r="AT122" s="128"/>
    </row>
    <row r="123" spans="1:47" outlineLevel="1">
      <c r="B123" s="236" t="s">
        <v>393</v>
      </c>
      <c r="C123" s="577" t="s">
        <v>351</v>
      </c>
      <c r="D123" s="577" t="s">
        <v>76</v>
      </c>
      <c r="E123" s="577" t="s">
        <v>393</v>
      </c>
      <c r="F123" s="54">
        <v>49.216832564940013</v>
      </c>
      <c r="G123" s="54">
        <v>41.45582031067223</v>
      </c>
      <c r="H123" s="54">
        <v>41.45582031067223</v>
      </c>
      <c r="I123" s="54">
        <v>42.864599682833614</v>
      </c>
      <c r="J123" s="54">
        <v>6.3522328821063994</v>
      </c>
      <c r="K123" s="128"/>
      <c r="L123" s="128"/>
      <c r="M123" s="54">
        <v>8.5341336567872297</v>
      </c>
      <c r="N123" s="54">
        <v>5.4457067370615651</v>
      </c>
      <c r="O123" s="54">
        <v>5.4457067370615651</v>
      </c>
      <c r="P123" s="54">
        <v>0</v>
      </c>
      <c r="Q123" s="54">
        <v>0</v>
      </c>
      <c r="R123" s="128"/>
      <c r="S123" s="128"/>
      <c r="T123" s="54">
        <v>0</v>
      </c>
      <c r="U123" s="54">
        <v>0</v>
      </c>
      <c r="V123" s="54">
        <v>0</v>
      </c>
      <c r="W123" s="54">
        <v>0</v>
      </c>
      <c r="X123" s="54">
        <v>0</v>
      </c>
      <c r="Y123" s="128"/>
      <c r="Z123" s="128"/>
      <c r="AA123" s="54">
        <v>0</v>
      </c>
      <c r="AB123" s="54">
        <v>0</v>
      </c>
      <c r="AC123" s="54">
        <v>0</v>
      </c>
      <c r="AD123" s="54">
        <v>0</v>
      </c>
      <c r="AE123" s="54">
        <v>0</v>
      </c>
      <c r="AF123" s="128"/>
      <c r="AG123" s="128"/>
      <c r="AH123" s="54">
        <v>0</v>
      </c>
      <c r="AI123" s="54">
        <v>0</v>
      </c>
      <c r="AJ123" s="54">
        <v>0</v>
      </c>
      <c r="AK123" s="54">
        <v>0</v>
      </c>
      <c r="AL123" s="54">
        <v>0</v>
      </c>
      <c r="AM123" s="128"/>
      <c r="AN123" s="128"/>
      <c r="AO123" s="54">
        <v>0</v>
      </c>
      <c r="AP123" s="54">
        <v>0</v>
      </c>
      <c r="AQ123" s="54">
        <v>0</v>
      </c>
      <c r="AR123" s="54">
        <v>0</v>
      </c>
      <c r="AS123" s="54">
        <v>0</v>
      </c>
      <c r="AT123" s="128"/>
    </row>
    <row r="124" spans="1:47" outlineLevel="1">
      <c r="B124" s="236" t="s">
        <v>80</v>
      </c>
      <c r="C124" s="577" t="s">
        <v>351</v>
      </c>
      <c r="D124" s="577" t="s">
        <v>76</v>
      </c>
      <c r="E124" s="577" t="s">
        <v>80</v>
      </c>
      <c r="F124" s="54">
        <v>27.722846544494708</v>
      </c>
      <c r="G124" s="54">
        <v>9.1327123873013623</v>
      </c>
      <c r="H124" s="54">
        <v>9.1327123873013623</v>
      </c>
      <c r="I124" s="54">
        <v>11.044091692740073</v>
      </c>
      <c r="J124" s="54">
        <v>16.678754851754629</v>
      </c>
      <c r="K124" s="128"/>
      <c r="L124" s="128"/>
      <c r="M124" s="54">
        <v>12.879343573458748</v>
      </c>
      <c r="N124" s="54">
        <v>0.69854536129084477</v>
      </c>
      <c r="O124" s="54">
        <v>0.69854536129084477</v>
      </c>
      <c r="P124" s="54">
        <v>0</v>
      </c>
      <c r="Q124" s="54">
        <v>0</v>
      </c>
      <c r="R124" s="128"/>
      <c r="S124" s="128"/>
      <c r="T124" s="54">
        <v>0</v>
      </c>
      <c r="U124" s="54">
        <v>0</v>
      </c>
      <c r="V124" s="54">
        <v>0</v>
      </c>
      <c r="W124" s="54">
        <v>0</v>
      </c>
      <c r="X124" s="54">
        <v>0</v>
      </c>
      <c r="Y124" s="128"/>
      <c r="Z124" s="128"/>
      <c r="AA124" s="54">
        <v>0</v>
      </c>
      <c r="AB124" s="54">
        <v>0</v>
      </c>
      <c r="AC124" s="54">
        <v>0</v>
      </c>
      <c r="AD124" s="54">
        <v>0</v>
      </c>
      <c r="AE124" s="54">
        <v>0</v>
      </c>
      <c r="AF124" s="128"/>
      <c r="AG124" s="128"/>
      <c r="AH124" s="54">
        <v>0</v>
      </c>
      <c r="AI124" s="54">
        <v>0</v>
      </c>
      <c r="AJ124" s="54">
        <v>0</v>
      </c>
      <c r="AK124" s="54">
        <v>0</v>
      </c>
      <c r="AL124" s="54">
        <v>0</v>
      </c>
      <c r="AM124" s="128"/>
      <c r="AN124" s="128"/>
      <c r="AO124" s="54">
        <v>0</v>
      </c>
      <c r="AP124" s="54">
        <v>0</v>
      </c>
      <c r="AQ124" s="54">
        <v>0</v>
      </c>
      <c r="AR124" s="54">
        <v>0</v>
      </c>
      <c r="AS124" s="54">
        <v>0</v>
      </c>
      <c r="AT124" s="128"/>
    </row>
    <row r="125" spans="1:47" outlineLevel="1">
      <c r="B125" s="236" t="s">
        <v>104</v>
      </c>
      <c r="C125" s="577" t="s">
        <v>351</v>
      </c>
      <c r="D125" s="577" t="s">
        <v>76</v>
      </c>
      <c r="E125" s="577" t="s">
        <v>79</v>
      </c>
      <c r="F125" s="54">
        <v>96.094198320012595</v>
      </c>
      <c r="G125" s="54">
        <v>81.462034971056781</v>
      </c>
      <c r="H125" s="54">
        <v>81.462034971056781</v>
      </c>
      <c r="I125" s="54">
        <v>85.822912751423559</v>
      </c>
      <c r="J125" s="54">
        <v>10.271285568589036</v>
      </c>
      <c r="K125" s="128"/>
      <c r="L125" s="128"/>
      <c r="M125" s="54">
        <v>17.285419108551785</v>
      </c>
      <c r="N125" s="54">
        <v>8.3782686604257108</v>
      </c>
      <c r="O125" s="54">
        <v>8.3782686604257108</v>
      </c>
      <c r="P125" s="54">
        <v>0</v>
      </c>
      <c r="Q125" s="54">
        <v>0</v>
      </c>
      <c r="R125" s="128"/>
      <c r="S125" s="128"/>
      <c r="T125" s="54">
        <v>108.03718704000001</v>
      </c>
      <c r="U125" s="54">
        <v>80.109359780000005</v>
      </c>
      <c r="V125" s="54">
        <v>80.109359780000005</v>
      </c>
      <c r="W125" s="54">
        <v>92.507112710000001</v>
      </c>
      <c r="X125" s="54">
        <v>15.53007433</v>
      </c>
      <c r="Y125" s="128"/>
      <c r="Z125" s="128"/>
      <c r="AA125" s="54">
        <v>19.928454290000001</v>
      </c>
      <c r="AB125" s="54">
        <v>11.134565309999999</v>
      </c>
      <c r="AC125" s="54">
        <v>11.134565309999999</v>
      </c>
      <c r="AD125" s="54">
        <v>11.543493889999999</v>
      </c>
      <c r="AE125" s="54">
        <v>8.3849604000000006</v>
      </c>
      <c r="AF125" s="128"/>
      <c r="AG125" s="128"/>
      <c r="AH125" s="54">
        <v>64.13711674999999</v>
      </c>
      <c r="AI125" s="54">
        <v>49.049427329999993</v>
      </c>
      <c r="AJ125" s="54">
        <v>49.049427329999993</v>
      </c>
      <c r="AK125" s="54">
        <v>50.528012559999986</v>
      </c>
      <c r="AL125" s="54">
        <v>13.609104189999998</v>
      </c>
      <c r="AM125" s="128"/>
      <c r="AN125" s="128"/>
      <c r="AO125" s="54">
        <v>13.891024639999998</v>
      </c>
      <c r="AP125" s="54">
        <v>6.030805889999999</v>
      </c>
      <c r="AQ125" s="54">
        <v>6.030805889999999</v>
      </c>
      <c r="AR125" s="54">
        <v>6.5142409400000005</v>
      </c>
      <c r="AS125" s="54">
        <v>7.3767836999999989</v>
      </c>
      <c r="AT125" s="128"/>
    </row>
    <row r="126" spans="1:47" outlineLevel="1">
      <c r="B126" s="236" t="s">
        <v>105</v>
      </c>
      <c r="C126" s="577" t="s">
        <v>351</v>
      </c>
      <c r="D126" s="577" t="s">
        <v>76</v>
      </c>
      <c r="E126" s="577" t="s">
        <v>81</v>
      </c>
      <c r="F126" s="54">
        <v>218.18841220908428</v>
      </c>
      <c r="G126" s="54">
        <v>188.94433273257945</v>
      </c>
      <c r="H126" s="54">
        <v>188.94433273257945</v>
      </c>
      <c r="I126" s="54">
        <v>194.41398855242528</v>
      </c>
      <c r="J126" s="54">
        <v>23.774423656658989</v>
      </c>
      <c r="K126" s="128"/>
      <c r="L126" s="128"/>
      <c r="M126" s="54">
        <v>43.067673549170756</v>
      </c>
      <c r="N126" s="54">
        <v>27.231151266003913</v>
      </c>
      <c r="O126" s="54">
        <v>27.231151266003913</v>
      </c>
      <c r="P126" s="54">
        <v>0</v>
      </c>
      <c r="Q126" s="54">
        <v>0</v>
      </c>
      <c r="R126" s="128"/>
      <c r="S126" s="128"/>
      <c r="T126" s="54">
        <v>151.16230018000005</v>
      </c>
      <c r="U126" s="54">
        <v>118.40386143000002</v>
      </c>
      <c r="V126" s="54">
        <v>118.40386143000002</v>
      </c>
      <c r="W126" s="54">
        <v>124.62843445999999</v>
      </c>
      <c r="X126" s="54">
        <v>26.533865720000001</v>
      </c>
      <c r="Y126" s="128"/>
      <c r="Z126" s="128"/>
      <c r="AA126" s="54">
        <v>59.035583179999946</v>
      </c>
      <c r="AB126" s="54">
        <v>42.280430669999987</v>
      </c>
      <c r="AC126" s="54">
        <v>42.280430669999987</v>
      </c>
      <c r="AD126" s="54">
        <v>44.771449439999977</v>
      </c>
      <c r="AE126" s="54">
        <v>14.264133739999998</v>
      </c>
      <c r="AF126" s="128"/>
      <c r="AG126" s="128"/>
      <c r="AH126" s="54">
        <v>191.58573859000012</v>
      </c>
      <c r="AI126" s="54">
        <v>162.45369039999994</v>
      </c>
      <c r="AJ126" s="54">
        <v>162.45369039999994</v>
      </c>
      <c r="AK126" s="54">
        <v>168.79871871999998</v>
      </c>
      <c r="AL126" s="54">
        <v>22.787019870000002</v>
      </c>
      <c r="AM126" s="128"/>
      <c r="AN126" s="128"/>
      <c r="AO126" s="54">
        <v>68.655708600000025</v>
      </c>
      <c r="AP126" s="54">
        <v>54.563841359999991</v>
      </c>
      <c r="AQ126" s="54">
        <v>54.563841359999991</v>
      </c>
      <c r="AR126" s="54">
        <v>55.998500110000009</v>
      </c>
      <c r="AS126" s="54">
        <v>12.657208490000002</v>
      </c>
      <c r="AT126" s="128"/>
    </row>
    <row r="127" spans="1:47">
      <c r="B127" s="236" t="s">
        <v>26</v>
      </c>
      <c r="C127" s="577" t="s">
        <v>351</v>
      </c>
      <c r="D127" s="577" t="s">
        <v>76</v>
      </c>
      <c r="E127" s="577" t="s">
        <v>82</v>
      </c>
      <c r="F127" s="54">
        <v>1059.9605262912826</v>
      </c>
      <c r="G127" s="54">
        <v>916.48891857343449</v>
      </c>
      <c r="H127" s="54">
        <v>916.48891857343449</v>
      </c>
      <c r="I127" s="54">
        <v>940.32003557049495</v>
      </c>
      <c r="J127" s="54">
        <v>119.64049072078734</v>
      </c>
      <c r="K127" s="128"/>
      <c r="L127" s="128"/>
      <c r="M127" s="54">
        <v>195.33871117560344</v>
      </c>
      <c r="N127" s="54">
        <v>111.68315774165646</v>
      </c>
      <c r="O127" s="54">
        <v>111.68315774165646</v>
      </c>
      <c r="P127" s="54">
        <v>0</v>
      </c>
      <c r="Q127" s="54">
        <v>0</v>
      </c>
      <c r="R127" s="128"/>
      <c r="S127" s="128"/>
      <c r="T127" s="54">
        <v>999.7388713899993</v>
      </c>
      <c r="U127" s="54">
        <v>830.96947491999958</v>
      </c>
      <c r="V127" s="54">
        <v>829.81348043999969</v>
      </c>
      <c r="W127" s="54">
        <v>872.76843110999994</v>
      </c>
      <c r="X127" s="54">
        <v>126.97044027999992</v>
      </c>
      <c r="Y127" s="128"/>
      <c r="Z127" s="128"/>
      <c r="AA127" s="54">
        <v>199.3503938300004</v>
      </c>
      <c r="AB127" s="54">
        <v>114.83737385000005</v>
      </c>
      <c r="AC127" s="54">
        <v>113.84487718000004</v>
      </c>
      <c r="AD127" s="54">
        <v>121.43321755000015</v>
      </c>
      <c r="AE127" s="54">
        <v>77.91717627999995</v>
      </c>
      <c r="AF127" s="128"/>
      <c r="AG127" s="128"/>
      <c r="AH127" s="54">
        <v>877.35623399999986</v>
      </c>
      <c r="AI127" s="54">
        <v>713.32006278999995</v>
      </c>
      <c r="AJ127" s="54">
        <v>711.07258974000013</v>
      </c>
      <c r="AK127" s="54">
        <v>757.04085937999992</v>
      </c>
      <c r="AL127" s="54">
        <v>120.31537462000011</v>
      </c>
      <c r="AM127" s="128"/>
      <c r="AN127" s="128"/>
      <c r="AO127" s="54">
        <v>192.78287665000016</v>
      </c>
      <c r="AP127" s="54">
        <v>112.08182064</v>
      </c>
      <c r="AQ127" s="54">
        <v>111.82867516999998</v>
      </c>
      <c r="AR127" s="54">
        <v>117.1594469700001</v>
      </c>
      <c r="AS127" s="54">
        <v>75.623429680000086</v>
      </c>
      <c r="AT127" s="128"/>
    </row>
    <row r="128" spans="1:47" outlineLevel="1">
      <c r="B128" s="236" t="s">
        <v>235</v>
      </c>
      <c r="C128" s="577" t="s">
        <v>351</v>
      </c>
      <c r="D128" s="577" t="s">
        <v>76</v>
      </c>
      <c r="E128" s="577" t="s">
        <v>83</v>
      </c>
      <c r="F128" s="54">
        <v>255.2601457716562</v>
      </c>
      <c r="G128" s="54">
        <v>222.08167473639375</v>
      </c>
      <c r="H128" s="54">
        <v>222.08167473639375</v>
      </c>
      <c r="I128" s="54">
        <v>229.32218383535508</v>
      </c>
      <c r="J128" s="54">
        <v>25.937961936301129</v>
      </c>
      <c r="K128" s="128"/>
      <c r="L128" s="128"/>
      <c r="M128" s="54">
        <v>50.431598610623382</v>
      </c>
      <c r="N128" s="54">
        <v>31.213994561355658</v>
      </c>
      <c r="O128" s="54">
        <v>31.213994561355658</v>
      </c>
      <c r="P128" s="54">
        <v>0</v>
      </c>
      <c r="Q128" s="54">
        <v>0</v>
      </c>
      <c r="R128" s="128"/>
      <c r="S128" s="128"/>
      <c r="T128" s="54">
        <v>324.86950724000013</v>
      </c>
      <c r="U128" s="54">
        <v>280.69069427000005</v>
      </c>
      <c r="V128" s="54">
        <v>280.55634636000008</v>
      </c>
      <c r="W128" s="54">
        <v>298.16243236000003</v>
      </c>
      <c r="X128" s="54">
        <v>26.70707488</v>
      </c>
      <c r="Y128" s="128"/>
      <c r="Z128" s="128"/>
      <c r="AA128" s="54">
        <v>39.754876909999986</v>
      </c>
      <c r="AB128" s="54">
        <v>19.744239419999989</v>
      </c>
      <c r="AC128" s="54">
        <v>19.738598069999991</v>
      </c>
      <c r="AD128" s="54">
        <v>20.760034669999992</v>
      </c>
      <c r="AE128" s="54">
        <v>18.994842239999997</v>
      </c>
      <c r="AF128" s="128"/>
      <c r="AG128" s="128"/>
      <c r="AH128" s="54">
        <v>220.57955842999988</v>
      </c>
      <c r="AI128" s="54">
        <v>172.26240783999998</v>
      </c>
      <c r="AJ128" s="54">
        <v>172.16343952</v>
      </c>
      <c r="AK128" s="54">
        <v>192.48487336999995</v>
      </c>
      <c r="AL128" s="54">
        <v>28.094685060000007</v>
      </c>
      <c r="AM128" s="128"/>
      <c r="AN128" s="128"/>
      <c r="AO128" s="54">
        <v>41.761559810000001</v>
      </c>
      <c r="AP128" s="54">
        <v>20.782982649999994</v>
      </c>
      <c r="AQ128" s="54">
        <v>20.661156559999995</v>
      </c>
      <c r="AR128" s="54">
        <v>21.925820140000003</v>
      </c>
      <c r="AS128" s="54">
        <v>19.835739669999999</v>
      </c>
      <c r="AT128" s="128"/>
    </row>
    <row r="129" spans="1:46" outlineLevel="1">
      <c r="B129" s="236" t="s">
        <v>106</v>
      </c>
      <c r="C129" s="577" t="s">
        <v>351</v>
      </c>
      <c r="D129" s="577" t="s">
        <v>76</v>
      </c>
      <c r="E129" s="577" t="s">
        <v>84</v>
      </c>
      <c r="F129" s="54">
        <v>150.88851104170473</v>
      </c>
      <c r="G129" s="54">
        <v>131.78624622127833</v>
      </c>
      <c r="H129" s="54">
        <v>131.78624622127833</v>
      </c>
      <c r="I129" s="54">
        <v>133.80547359089132</v>
      </c>
      <c r="J129" s="54">
        <v>17.083037450813425</v>
      </c>
      <c r="K129" s="128"/>
      <c r="L129" s="128"/>
      <c r="M129" s="54">
        <v>20.939098011615634</v>
      </c>
      <c r="N129" s="54">
        <v>8.5276189270692999</v>
      </c>
      <c r="O129" s="54">
        <v>8.5276189270692999</v>
      </c>
      <c r="P129" s="54">
        <v>0</v>
      </c>
      <c r="Q129" s="54">
        <v>0</v>
      </c>
      <c r="R129" s="128"/>
      <c r="S129" s="128"/>
      <c r="T129" s="54">
        <v>92.933522530000005</v>
      </c>
      <c r="U129" s="54">
        <v>72.359271440000001</v>
      </c>
      <c r="V129" s="54">
        <v>71.337624869999999</v>
      </c>
      <c r="W129" s="54">
        <v>75.093963459999998</v>
      </c>
      <c r="X129" s="54">
        <v>17.83955907</v>
      </c>
      <c r="Y129" s="128"/>
      <c r="Z129" s="128"/>
      <c r="AA129" s="54">
        <v>19.985804630000004</v>
      </c>
      <c r="AB129" s="54">
        <v>7.6602695700000005</v>
      </c>
      <c r="AC129" s="54">
        <v>6.6765784900000007</v>
      </c>
      <c r="AD129" s="54">
        <v>8.0749050100000002</v>
      </c>
      <c r="AE129" s="54">
        <v>11.910899619999999</v>
      </c>
      <c r="AF129" s="128"/>
      <c r="AG129" s="128"/>
      <c r="AH129" s="54">
        <v>117.28750357000001</v>
      </c>
      <c r="AI129" s="54">
        <v>98.127556339999998</v>
      </c>
      <c r="AJ129" s="54">
        <v>95.984449330000004</v>
      </c>
      <c r="AK129" s="54">
        <v>100.63238580000001</v>
      </c>
      <c r="AL129" s="54">
        <v>16.655117769999997</v>
      </c>
      <c r="AM129" s="128"/>
      <c r="AN129" s="128"/>
      <c r="AO129" s="54">
        <v>22.094729399999991</v>
      </c>
      <c r="AP129" s="54">
        <v>8.7047283800000006</v>
      </c>
      <c r="AQ129" s="54">
        <v>8.5770074800000007</v>
      </c>
      <c r="AR129" s="54">
        <v>9.8257640799999972</v>
      </c>
      <c r="AS129" s="54">
        <v>12.268965320000001</v>
      </c>
      <c r="AT129" s="128"/>
    </row>
    <row r="130" spans="1:46" outlineLevel="1">
      <c r="B130" s="236" t="s">
        <v>87</v>
      </c>
      <c r="C130" s="577" t="s">
        <v>351</v>
      </c>
      <c r="D130" s="577" t="s">
        <v>76</v>
      </c>
      <c r="E130" s="577" t="s">
        <v>87</v>
      </c>
      <c r="F130" s="54">
        <v>139.85434311066373</v>
      </c>
      <c r="G130" s="54">
        <v>120.40160649997601</v>
      </c>
      <c r="H130" s="54">
        <v>120.40160649997601</v>
      </c>
      <c r="I130" s="54">
        <v>123.16218464350291</v>
      </c>
      <c r="J130" s="54">
        <v>16.692158467160841</v>
      </c>
      <c r="K130" s="128"/>
      <c r="L130" s="128"/>
      <c r="M130" s="54">
        <v>24.188544521035791</v>
      </c>
      <c r="N130" s="54">
        <v>13.988365186782239</v>
      </c>
      <c r="O130" s="54">
        <v>13.988365186782239</v>
      </c>
      <c r="P130" s="54">
        <v>0</v>
      </c>
      <c r="Q130" s="54">
        <v>0</v>
      </c>
      <c r="R130" s="128"/>
      <c r="S130" s="128"/>
      <c r="T130" s="54">
        <v>137.05514169000003</v>
      </c>
      <c r="U130" s="54">
        <v>114.56745170000002</v>
      </c>
      <c r="V130" s="54">
        <v>114.56745170000002</v>
      </c>
      <c r="W130" s="54">
        <v>119.44214652999999</v>
      </c>
      <c r="X130" s="54">
        <v>17.612995160000001</v>
      </c>
      <c r="Y130" s="128"/>
      <c r="Z130" s="128"/>
      <c r="AA130" s="54">
        <v>21.198157140000006</v>
      </c>
      <c r="AB130" s="54">
        <v>9.1232685399999998</v>
      </c>
      <c r="AC130" s="54">
        <v>9.1232685399999998</v>
      </c>
      <c r="AD130" s="54">
        <v>9.6790578200000006</v>
      </c>
      <c r="AE130" s="54">
        <v>11.51909932</v>
      </c>
      <c r="AF130" s="128"/>
      <c r="AG130" s="128"/>
      <c r="AH130" s="54">
        <v>133.1947796</v>
      </c>
      <c r="AI130" s="54">
        <v>111.22158874000003</v>
      </c>
      <c r="AJ130" s="54">
        <v>111.22158874000003</v>
      </c>
      <c r="AK130" s="54">
        <v>115.58066857000004</v>
      </c>
      <c r="AL130" s="54">
        <v>17.614111030000004</v>
      </c>
      <c r="AM130" s="128"/>
      <c r="AN130" s="128"/>
      <c r="AO130" s="54">
        <v>20.647053190000005</v>
      </c>
      <c r="AP130" s="54">
        <v>9.9047116800000001</v>
      </c>
      <c r="AQ130" s="54">
        <v>9.9047116800000001</v>
      </c>
      <c r="AR130" s="54">
        <v>10.374839250000001</v>
      </c>
      <c r="AS130" s="54">
        <v>10.272213940000002</v>
      </c>
      <c r="AT130" s="128"/>
    </row>
    <row r="131" spans="1:46" outlineLevel="1">
      <c r="B131" s="236" t="s">
        <v>107</v>
      </c>
      <c r="C131" s="577" t="s">
        <v>351</v>
      </c>
      <c r="D131" s="577" t="s">
        <v>76</v>
      </c>
      <c r="E131" s="577" t="s">
        <v>86</v>
      </c>
      <c r="F131" s="54">
        <v>104.43554911776528</v>
      </c>
      <c r="G131" s="54">
        <v>91.983836387655401</v>
      </c>
      <c r="H131" s="54">
        <v>91.983836387655401</v>
      </c>
      <c r="I131" s="54">
        <v>93.60806355810125</v>
      </c>
      <c r="J131" s="54">
        <v>10.82748555966403</v>
      </c>
      <c r="K131" s="128"/>
      <c r="L131" s="128"/>
      <c r="M131" s="54">
        <v>16.125122875573418</v>
      </c>
      <c r="N131" s="54">
        <v>8.1892623808822087</v>
      </c>
      <c r="O131" s="54">
        <v>8.1892623808822087</v>
      </c>
      <c r="P131" s="54">
        <v>0</v>
      </c>
      <c r="Q131" s="54">
        <v>0</v>
      </c>
      <c r="R131" s="128"/>
      <c r="S131" s="128"/>
      <c r="T131" s="54">
        <v>82.48820047000001</v>
      </c>
      <c r="U131" s="54">
        <v>67.411201399999996</v>
      </c>
      <c r="V131" s="54">
        <v>67.411201399999996</v>
      </c>
      <c r="W131" s="54">
        <v>70.241993100000002</v>
      </c>
      <c r="X131" s="54">
        <v>12.246207369999999</v>
      </c>
      <c r="Y131" s="128"/>
      <c r="Z131" s="128"/>
      <c r="AA131" s="54">
        <v>21.785655479999992</v>
      </c>
      <c r="AB131" s="54">
        <v>13.733564680000001</v>
      </c>
      <c r="AC131" s="54">
        <v>13.733564680000001</v>
      </c>
      <c r="AD131" s="54">
        <v>14.828436200000001</v>
      </c>
      <c r="AE131" s="54">
        <v>6.9572192800000003</v>
      </c>
      <c r="AF131" s="128"/>
      <c r="AG131" s="128"/>
      <c r="AH131" s="54">
        <v>55.195021509999968</v>
      </c>
      <c r="AI131" s="54">
        <v>41.533670389999976</v>
      </c>
      <c r="AJ131" s="54">
        <v>41.533670389999976</v>
      </c>
      <c r="AK131" s="54">
        <v>43.944926799999983</v>
      </c>
      <c r="AL131" s="54">
        <v>11.250094710000003</v>
      </c>
      <c r="AM131" s="128"/>
      <c r="AN131" s="128"/>
      <c r="AO131" s="54">
        <v>19.717966660000013</v>
      </c>
      <c r="AP131" s="54">
        <v>12.644848289999999</v>
      </c>
      <c r="AQ131" s="54">
        <v>12.644848289999999</v>
      </c>
      <c r="AR131" s="54">
        <v>13.050714939999999</v>
      </c>
      <c r="AS131" s="54">
        <v>6.6672517200000012</v>
      </c>
      <c r="AT131" s="128"/>
    </row>
    <row r="132" spans="1:46" outlineLevel="1">
      <c r="B132" s="236" t="s">
        <v>236</v>
      </c>
      <c r="C132" s="577" t="s">
        <v>351</v>
      </c>
      <c r="D132" s="577" t="s">
        <v>76</v>
      </c>
      <c r="E132" s="577" t="s">
        <v>88</v>
      </c>
      <c r="F132" s="54">
        <v>70.91381496745133</v>
      </c>
      <c r="G132" s="54">
        <v>58.026912132216204</v>
      </c>
      <c r="H132" s="54">
        <v>58.026912132216204</v>
      </c>
      <c r="I132" s="54">
        <v>59.033878422289398</v>
      </c>
      <c r="J132" s="54">
        <v>11.879936545161929</v>
      </c>
      <c r="K132" s="128"/>
      <c r="L132" s="128"/>
      <c r="M132" s="54">
        <v>17.391586453744235</v>
      </c>
      <c r="N132" s="54">
        <v>8.6337393014284007</v>
      </c>
      <c r="O132" s="54">
        <v>8.6337393014284007</v>
      </c>
      <c r="P132" s="54">
        <v>0</v>
      </c>
      <c r="Q132" s="54">
        <v>0</v>
      </c>
      <c r="R132" s="128"/>
      <c r="S132" s="128"/>
      <c r="T132" s="54">
        <v>67.373349699999977</v>
      </c>
      <c r="U132" s="54">
        <v>52.492108609999988</v>
      </c>
      <c r="V132" s="54">
        <v>52.492108609999988</v>
      </c>
      <c r="W132" s="54">
        <v>54.375970769999988</v>
      </c>
      <c r="X132" s="54">
        <v>12.99737893</v>
      </c>
      <c r="Y132" s="128"/>
      <c r="Z132" s="128"/>
      <c r="AA132" s="54">
        <v>19.725977060000012</v>
      </c>
      <c r="AB132" s="54">
        <v>11.805753520000001</v>
      </c>
      <c r="AC132" s="54">
        <v>11.805753520000001</v>
      </c>
      <c r="AD132" s="54">
        <v>12.269608350000004</v>
      </c>
      <c r="AE132" s="54">
        <v>7.4563687099999996</v>
      </c>
      <c r="AF132" s="128"/>
      <c r="AG132" s="128"/>
      <c r="AH132" s="54">
        <v>55.342694980000005</v>
      </c>
      <c r="AI132" s="54">
        <v>43.160602730000008</v>
      </c>
      <c r="AJ132" s="54">
        <v>43.160602730000008</v>
      </c>
      <c r="AK132" s="54">
        <v>44.407136590000007</v>
      </c>
      <c r="AL132" s="54">
        <v>10.935558389999997</v>
      </c>
      <c r="AM132" s="128"/>
      <c r="AN132" s="128"/>
      <c r="AO132" s="54">
        <v>18.88731073999999</v>
      </c>
      <c r="AP132" s="54">
        <v>11.633108750000003</v>
      </c>
      <c r="AQ132" s="54">
        <v>11.633108750000003</v>
      </c>
      <c r="AR132" s="54">
        <v>11.786993850000004</v>
      </c>
      <c r="AS132" s="54">
        <v>7.1003168900000029</v>
      </c>
      <c r="AT132" s="128"/>
    </row>
    <row r="133" spans="1:46" outlineLevel="1">
      <c r="B133" s="236" t="s">
        <v>237</v>
      </c>
      <c r="C133" s="577" t="s">
        <v>351</v>
      </c>
      <c r="D133" s="577" t="s">
        <v>76</v>
      </c>
      <c r="E133" s="577" t="s">
        <v>198</v>
      </c>
      <c r="F133" s="54">
        <v>185.7217110381012</v>
      </c>
      <c r="G133" s="54">
        <v>155.17252665365581</v>
      </c>
      <c r="H133" s="54">
        <v>155.17252665365581</v>
      </c>
      <c r="I133" s="54">
        <v>160.60237441740151</v>
      </c>
      <c r="J133" s="54">
        <v>25.119336620699698</v>
      </c>
      <c r="K133" s="128"/>
      <c r="L133" s="128"/>
      <c r="M133" s="54">
        <v>40.179974458826464</v>
      </c>
      <c r="N133" s="54">
        <v>23.998036766128191</v>
      </c>
      <c r="O133" s="54">
        <v>23.998036766128191</v>
      </c>
      <c r="P133" s="54">
        <v>0</v>
      </c>
      <c r="Q133" s="54">
        <v>0</v>
      </c>
      <c r="R133" s="128"/>
      <c r="S133" s="128"/>
      <c r="T133" s="54">
        <v>198.50381254000001</v>
      </c>
      <c r="U133" s="54">
        <v>167.75365238000001</v>
      </c>
      <c r="V133" s="54">
        <v>167.75365238000001</v>
      </c>
      <c r="W133" s="54">
        <v>173.80306539000003</v>
      </c>
      <c r="X133" s="54">
        <v>24.700747150000005</v>
      </c>
      <c r="Y133" s="128"/>
      <c r="Z133" s="128"/>
      <c r="AA133" s="54">
        <v>44.918549930000012</v>
      </c>
      <c r="AB133" s="54">
        <v>28.930102080000005</v>
      </c>
      <c r="AC133" s="54">
        <v>28.926937840000001</v>
      </c>
      <c r="AD133" s="54">
        <v>30.053175490000005</v>
      </c>
      <c r="AE133" s="54">
        <v>14.865374440000002</v>
      </c>
      <c r="AF133" s="128"/>
      <c r="AG133" s="128"/>
      <c r="AH133" s="54">
        <v>204.65123077999971</v>
      </c>
      <c r="AI133" s="54">
        <v>171.65472490999991</v>
      </c>
      <c r="AJ133" s="54">
        <v>171.64932674999991</v>
      </c>
      <c r="AK133" s="54">
        <v>181.77047388999983</v>
      </c>
      <c r="AL133" s="54">
        <v>22.880756890000026</v>
      </c>
      <c r="AM133" s="128"/>
      <c r="AN133" s="128"/>
      <c r="AO133" s="54">
        <v>34.078670140000007</v>
      </c>
      <c r="AP133" s="54">
        <v>19.882875110000011</v>
      </c>
      <c r="AQ133" s="54">
        <v>19.87927663000001</v>
      </c>
      <c r="AR133" s="54">
        <v>20.695997680000016</v>
      </c>
      <c r="AS133" s="54">
        <v>13.382672459999998</v>
      </c>
      <c r="AT133" s="128"/>
    </row>
    <row r="134" spans="1:46" outlineLevel="1">
      <c r="B134" s="236" t="s">
        <v>163</v>
      </c>
      <c r="C134" s="577" t="s">
        <v>351</v>
      </c>
      <c r="D134" s="577" t="s">
        <v>76</v>
      </c>
      <c r="E134" s="577" t="s">
        <v>89</v>
      </c>
      <c r="F134" s="54">
        <v>152.88644529020038</v>
      </c>
      <c r="G134" s="54">
        <v>137.03606464439048</v>
      </c>
      <c r="H134" s="54">
        <v>137.03606464439048</v>
      </c>
      <c r="I134" s="54">
        <v>140.78582580508458</v>
      </c>
      <c r="J134" s="54">
        <v>12.10061948511583</v>
      </c>
      <c r="K134" s="128"/>
      <c r="L134" s="128"/>
      <c r="M134" s="54">
        <v>26.082759525883354</v>
      </c>
      <c r="N134" s="54">
        <v>17.13212847811257</v>
      </c>
      <c r="O134" s="54">
        <v>17.13212847811257</v>
      </c>
      <c r="P134" s="54">
        <v>0</v>
      </c>
      <c r="Q134" s="54">
        <v>0</v>
      </c>
      <c r="R134" s="128"/>
      <c r="S134" s="128"/>
      <c r="T134" s="54">
        <v>94.910648220000013</v>
      </c>
      <c r="U134" s="54">
        <v>75.695095120000005</v>
      </c>
      <c r="V134" s="54">
        <v>75.695095120000005</v>
      </c>
      <c r="W134" s="54">
        <v>81.6488595</v>
      </c>
      <c r="X134" s="54">
        <v>13.261788720000002</v>
      </c>
      <c r="Y134" s="128"/>
      <c r="Z134" s="128"/>
      <c r="AA134" s="54">
        <v>31.981372680000021</v>
      </c>
      <c r="AB134" s="54">
        <v>23.840176040000006</v>
      </c>
      <c r="AC134" s="54">
        <v>23.840176040000006</v>
      </c>
      <c r="AD134" s="54">
        <v>25.768000010000009</v>
      </c>
      <c r="AE134" s="54">
        <v>6.2133726699999974</v>
      </c>
      <c r="AF134" s="128"/>
      <c r="AG134" s="128"/>
      <c r="AH134" s="54">
        <v>91.064597570000075</v>
      </c>
      <c r="AI134" s="54">
        <v>75.359512280000004</v>
      </c>
      <c r="AJ134" s="54">
        <v>75.359512280000004</v>
      </c>
      <c r="AK134" s="54">
        <v>78.220394800000008</v>
      </c>
      <c r="AL134" s="54">
        <v>12.844202769999997</v>
      </c>
      <c r="AM134" s="128"/>
      <c r="AN134" s="128"/>
      <c r="AO134" s="54">
        <v>35.595586709999999</v>
      </c>
      <c r="AP134" s="54">
        <v>28.528565780000008</v>
      </c>
      <c r="AQ134" s="54">
        <v>28.528565780000008</v>
      </c>
      <c r="AR134" s="54">
        <v>29.499317030000007</v>
      </c>
      <c r="AS134" s="54">
        <v>6.0962696800000016</v>
      </c>
      <c r="AT134" s="128"/>
    </row>
    <row r="135" spans="1:46" outlineLevel="1">
      <c r="B135" s="236" t="s">
        <v>404</v>
      </c>
      <c r="C135" s="577" t="s">
        <v>351</v>
      </c>
      <c r="D135" s="577" t="s">
        <v>76</v>
      </c>
      <c r="E135" s="577" t="s">
        <v>395</v>
      </c>
      <c r="F135" s="54">
        <v>0</v>
      </c>
      <c r="G135" s="54">
        <v>0</v>
      </c>
      <c r="H135" s="54">
        <v>0</v>
      </c>
      <c r="I135" s="54">
        <v>0</v>
      </c>
      <c r="J135" s="54">
        <v>0</v>
      </c>
      <c r="K135" s="128"/>
      <c r="L135" s="128"/>
      <c r="M135" s="54">
        <v>0</v>
      </c>
      <c r="N135" s="54">
        <v>0</v>
      </c>
      <c r="O135" s="54">
        <v>0</v>
      </c>
      <c r="P135" s="54">
        <v>0</v>
      </c>
      <c r="Q135" s="54">
        <v>0</v>
      </c>
      <c r="R135" s="128"/>
      <c r="S135" s="128"/>
      <c r="T135" s="54">
        <v>1.604689</v>
      </c>
      <c r="U135" s="54">
        <v>0</v>
      </c>
      <c r="V135" s="54">
        <v>0</v>
      </c>
      <c r="W135" s="54">
        <v>0</v>
      </c>
      <c r="X135" s="54">
        <v>1.604689</v>
      </c>
      <c r="Y135" s="128"/>
      <c r="Z135" s="128"/>
      <c r="AA135" s="54">
        <v>0</v>
      </c>
      <c r="AB135" s="54">
        <v>0</v>
      </c>
      <c r="AC135" s="54">
        <v>0</v>
      </c>
      <c r="AD135" s="54">
        <v>0</v>
      </c>
      <c r="AE135" s="54">
        <v>0</v>
      </c>
      <c r="AF135" s="128"/>
      <c r="AG135" s="128"/>
      <c r="AH135" s="54">
        <v>4.084756000000006E-2</v>
      </c>
      <c r="AI135" s="54">
        <v>-4.4000000000000002E-7</v>
      </c>
      <c r="AJ135" s="54">
        <v>0</v>
      </c>
      <c r="AK135" s="54">
        <v>-4.4000000000000002E-7</v>
      </c>
      <c r="AL135" s="54">
        <v>4.0848000000000051E-2</v>
      </c>
      <c r="AM135" s="128"/>
      <c r="AN135" s="128"/>
      <c r="AO135" s="54">
        <v>0</v>
      </c>
      <c r="AP135" s="54">
        <v>0</v>
      </c>
      <c r="AQ135" s="54">
        <v>0</v>
      </c>
      <c r="AR135" s="54">
        <v>0</v>
      </c>
      <c r="AS135" s="54">
        <v>0</v>
      </c>
      <c r="AT135" s="128"/>
    </row>
    <row r="136" spans="1:46">
      <c r="B136" s="236" t="s">
        <v>59</v>
      </c>
      <c r="C136" s="577" t="s">
        <v>351</v>
      </c>
      <c r="D136" s="577" t="s">
        <v>76</v>
      </c>
      <c r="E136" s="577" t="s">
        <v>90</v>
      </c>
      <c r="F136" s="54">
        <v>220.92310767274253</v>
      </c>
      <c r="G136" s="54">
        <v>161.68844496686697</v>
      </c>
      <c r="H136" s="54">
        <v>161.68844496686697</v>
      </c>
      <c r="I136" s="54">
        <v>171.07711319845058</v>
      </c>
      <c r="J136" s="54">
        <v>49.845994474291992</v>
      </c>
      <c r="K136" s="128"/>
      <c r="L136" s="128"/>
      <c r="M136" s="54">
        <v>69.750223062661661</v>
      </c>
      <c r="N136" s="54">
        <v>39.617947631397499</v>
      </c>
      <c r="O136" s="54">
        <v>39.617947631397499</v>
      </c>
      <c r="P136" s="54">
        <v>0</v>
      </c>
      <c r="Q136" s="54">
        <v>0</v>
      </c>
      <c r="R136" s="128"/>
      <c r="S136" s="128"/>
      <c r="T136" s="54">
        <v>227.19136943000001</v>
      </c>
      <c r="U136" s="54">
        <v>169.42178010000001</v>
      </c>
      <c r="V136" s="54">
        <v>167.51972534000001</v>
      </c>
      <c r="W136" s="54">
        <v>185.30227692</v>
      </c>
      <c r="X136" s="54">
        <v>41.88909250999999</v>
      </c>
      <c r="Y136" s="128"/>
      <c r="Z136" s="128"/>
      <c r="AA136" s="54">
        <v>92.322783980000025</v>
      </c>
      <c r="AB136" s="54">
        <v>58.977139799999996</v>
      </c>
      <c r="AC136" s="54">
        <v>57.885759539999988</v>
      </c>
      <c r="AD136" s="54">
        <v>62.825389630000004</v>
      </c>
      <c r="AE136" s="54">
        <v>29.497394350000015</v>
      </c>
      <c r="AF136" s="128"/>
      <c r="AG136" s="128"/>
      <c r="AH136" s="54">
        <v>221.86317221999991</v>
      </c>
      <c r="AI136" s="54">
        <v>167.03092658000003</v>
      </c>
      <c r="AJ136" s="54">
        <v>164.90455478000001</v>
      </c>
      <c r="AK136" s="54">
        <v>176.28329851000001</v>
      </c>
      <c r="AL136" s="54">
        <v>45.579873709999987</v>
      </c>
      <c r="AM136" s="128"/>
      <c r="AN136" s="128"/>
      <c r="AO136" s="54">
        <v>34.854181460000007</v>
      </c>
      <c r="AP136" s="54">
        <v>10.33166692</v>
      </c>
      <c r="AQ136" s="54">
        <v>9.1479572999999981</v>
      </c>
      <c r="AR136" s="54">
        <v>11.722784030000001</v>
      </c>
      <c r="AS136" s="54">
        <v>23.131397430000003</v>
      </c>
      <c r="AT136" s="128"/>
    </row>
    <row r="137" spans="1:46">
      <c r="B137" s="236" t="s">
        <v>34</v>
      </c>
      <c r="C137" s="577" t="s">
        <v>351</v>
      </c>
      <c r="D137" s="577" t="s">
        <v>76</v>
      </c>
      <c r="E137" s="577" t="s">
        <v>91</v>
      </c>
      <c r="F137" s="54">
        <v>312.16019498853939</v>
      </c>
      <c r="G137" s="54">
        <v>267.85503890211896</v>
      </c>
      <c r="H137" s="54">
        <v>267.85503890211896</v>
      </c>
      <c r="I137" s="54">
        <v>282.05304991102236</v>
      </c>
      <c r="J137" s="54">
        <v>30.107145077517046</v>
      </c>
      <c r="K137" s="128"/>
      <c r="L137" s="128"/>
      <c r="M137" s="54">
        <v>76.130857749000256</v>
      </c>
      <c r="N137" s="54">
        <v>56.56346479503032</v>
      </c>
      <c r="O137" s="54">
        <v>56.56346479503032</v>
      </c>
      <c r="P137" s="54">
        <v>0</v>
      </c>
      <c r="Q137" s="54">
        <v>0</v>
      </c>
      <c r="R137" s="128"/>
      <c r="S137" s="128"/>
      <c r="T137" s="54">
        <v>295.62321853000003</v>
      </c>
      <c r="U137" s="54">
        <v>236.95158187000001</v>
      </c>
      <c r="V137" s="54">
        <v>234.86301423000003</v>
      </c>
      <c r="W137" s="54">
        <v>260.80433310000012</v>
      </c>
      <c r="X137" s="54">
        <v>34.818885429999995</v>
      </c>
      <c r="Y137" s="128"/>
      <c r="Z137" s="128"/>
      <c r="AA137" s="54">
        <v>58.077422760000061</v>
      </c>
      <c r="AB137" s="54">
        <v>36.132634809999999</v>
      </c>
      <c r="AC137" s="54">
        <v>34.644949150000009</v>
      </c>
      <c r="AD137" s="54">
        <v>41.444301619999997</v>
      </c>
      <c r="AE137" s="54">
        <v>16.63312114</v>
      </c>
      <c r="AF137" s="128"/>
      <c r="AG137" s="128"/>
      <c r="AH137" s="54">
        <v>372.63813136000033</v>
      </c>
      <c r="AI137" s="54">
        <v>307.77849210000005</v>
      </c>
      <c r="AJ137" s="54">
        <v>305.77848017000008</v>
      </c>
      <c r="AK137" s="54">
        <v>340.37299488999997</v>
      </c>
      <c r="AL137" s="54">
        <v>32.265136470000002</v>
      </c>
      <c r="AM137" s="128"/>
      <c r="AN137" s="128"/>
      <c r="AO137" s="54">
        <v>59.847239860000016</v>
      </c>
      <c r="AP137" s="54">
        <v>39.136257039999997</v>
      </c>
      <c r="AQ137" s="54">
        <v>38.637965559999998</v>
      </c>
      <c r="AR137" s="54">
        <v>43.071014149999996</v>
      </c>
      <c r="AS137" s="54">
        <v>16.776225709999995</v>
      </c>
      <c r="AT137" s="128"/>
    </row>
    <row r="138" spans="1:46" outlineLevel="1">
      <c r="B138" s="236" t="s">
        <v>399</v>
      </c>
      <c r="C138" s="577" t="s">
        <v>351</v>
      </c>
      <c r="D138" s="577" t="s">
        <v>76</v>
      </c>
      <c r="E138" s="577" t="s">
        <v>407</v>
      </c>
      <c r="F138" s="54">
        <v>94.863174443268235</v>
      </c>
      <c r="G138" s="54">
        <v>81.775342632764705</v>
      </c>
      <c r="H138" s="54">
        <v>81.775342632764705</v>
      </c>
      <c r="I138" s="54">
        <v>84.98768409605384</v>
      </c>
      <c r="J138" s="54">
        <v>9.8754903472144004</v>
      </c>
      <c r="K138" s="128"/>
      <c r="L138" s="128"/>
      <c r="M138" s="54">
        <v>21.963529265136806</v>
      </c>
      <c r="N138" s="54">
        <v>15.732472237795744</v>
      </c>
      <c r="O138" s="54">
        <v>15.732472237795744</v>
      </c>
      <c r="P138" s="54">
        <v>0</v>
      </c>
      <c r="Q138" s="54">
        <v>0</v>
      </c>
      <c r="R138" s="128"/>
      <c r="S138" s="128"/>
      <c r="T138" s="54">
        <v>68.377486330000011</v>
      </c>
      <c r="U138" s="54">
        <v>48.524643480000009</v>
      </c>
      <c r="V138" s="54">
        <v>48.524643480000009</v>
      </c>
      <c r="W138" s="54">
        <v>56.612559700000006</v>
      </c>
      <c r="X138" s="54">
        <v>11.764926629999998</v>
      </c>
      <c r="Y138" s="128"/>
      <c r="Z138" s="128"/>
      <c r="AA138" s="54">
        <v>24.992428639999989</v>
      </c>
      <c r="AB138" s="54">
        <v>17.583607309999998</v>
      </c>
      <c r="AC138" s="54">
        <v>17.583607309999998</v>
      </c>
      <c r="AD138" s="54">
        <v>19.623416020000001</v>
      </c>
      <c r="AE138" s="54">
        <v>5.3690126199999995</v>
      </c>
      <c r="AF138" s="128"/>
      <c r="AG138" s="128"/>
      <c r="AH138" s="54">
        <v>115.29752742000002</v>
      </c>
      <c r="AI138" s="54">
        <v>91.11346638000002</v>
      </c>
      <c r="AJ138" s="54">
        <v>91.11346638000002</v>
      </c>
      <c r="AK138" s="54">
        <v>104.35491577000003</v>
      </c>
      <c r="AL138" s="54">
        <v>10.942611650000002</v>
      </c>
      <c r="AM138" s="128"/>
      <c r="AN138" s="128"/>
      <c r="AO138" s="54">
        <v>21.284864499999983</v>
      </c>
      <c r="AP138" s="54">
        <v>14.680144660000003</v>
      </c>
      <c r="AQ138" s="54">
        <v>14.680144660000003</v>
      </c>
      <c r="AR138" s="54">
        <v>16.348419840000002</v>
      </c>
      <c r="AS138" s="54">
        <v>4.936444660000002</v>
      </c>
      <c r="AT138" s="128"/>
    </row>
    <row r="139" spans="1:46" outlineLevel="1">
      <c r="B139" s="236" t="s">
        <v>400</v>
      </c>
      <c r="C139" s="577" t="s">
        <v>351</v>
      </c>
      <c r="D139" s="577" t="s">
        <v>76</v>
      </c>
      <c r="E139" s="577" t="s">
        <v>1179</v>
      </c>
      <c r="F139" s="54">
        <v>58.569468505451198</v>
      </c>
      <c r="G139" s="54">
        <v>50.535085326352991</v>
      </c>
      <c r="H139" s="54">
        <v>50.535085326352991</v>
      </c>
      <c r="I139" s="54">
        <v>51.114516890732126</v>
      </c>
      <c r="J139" s="54">
        <v>7.4549516147190698</v>
      </c>
      <c r="K139" s="128"/>
      <c r="L139" s="128"/>
      <c r="M139" s="54">
        <v>10.970063682347977</v>
      </c>
      <c r="N139" s="54">
        <v>7.715328516263865</v>
      </c>
      <c r="O139" s="54">
        <v>7.715328516263865</v>
      </c>
      <c r="P139" s="54">
        <v>0</v>
      </c>
      <c r="Q139" s="54">
        <v>0</v>
      </c>
      <c r="R139" s="128"/>
      <c r="S139" s="128"/>
      <c r="T139" s="54">
        <v>48.166849129999996</v>
      </c>
      <c r="U139" s="54">
        <v>37.937437869999997</v>
      </c>
      <c r="V139" s="54">
        <v>37.937437869999997</v>
      </c>
      <c r="W139" s="54">
        <v>41.132273199999993</v>
      </c>
      <c r="X139" s="54">
        <v>7.034575929999999</v>
      </c>
      <c r="Y139" s="128"/>
      <c r="Z139" s="128"/>
      <c r="AA139" s="54">
        <v>7.2585703100000005</v>
      </c>
      <c r="AB139" s="54">
        <v>3.5476075299999996</v>
      </c>
      <c r="AC139" s="54">
        <v>3.5476075299999996</v>
      </c>
      <c r="AD139" s="54">
        <v>4.1336432299999997</v>
      </c>
      <c r="AE139" s="54">
        <v>3.12492708</v>
      </c>
      <c r="AF139" s="128"/>
      <c r="AG139" s="128"/>
      <c r="AH139" s="54">
        <v>53.998625290000007</v>
      </c>
      <c r="AI139" s="54">
        <v>41.935063730000003</v>
      </c>
      <c r="AJ139" s="54">
        <v>41.935063730000003</v>
      </c>
      <c r="AK139" s="54">
        <v>48.02374322</v>
      </c>
      <c r="AL139" s="54">
        <v>5.9748820699999996</v>
      </c>
      <c r="AM139" s="128"/>
      <c r="AN139" s="128"/>
      <c r="AO139" s="54">
        <v>3.4242236599999987</v>
      </c>
      <c r="AP139" s="54">
        <v>5.4667250000000021E-2</v>
      </c>
      <c r="AQ139" s="54">
        <v>5.4667250000000021E-2</v>
      </c>
      <c r="AR139" s="54">
        <v>0.10676825000000001</v>
      </c>
      <c r="AS139" s="54">
        <v>3.3174554100000004</v>
      </c>
      <c r="AT139" s="128"/>
    </row>
    <row r="140" spans="1:46" outlineLevel="1">
      <c r="B140" s="236" t="s">
        <v>401</v>
      </c>
      <c r="C140" s="577" t="s">
        <v>351</v>
      </c>
      <c r="D140" s="577" t="s">
        <v>76</v>
      </c>
      <c r="E140" s="577" t="s">
        <v>408</v>
      </c>
      <c r="F140" s="54">
        <v>43.800578240076035</v>
      </c>
      <c r="G140" s="54">
        <v>37.28042910579687</v>
      </c>
      <c r="H140" s="54">
        <v>37.28042910579687</v>
      </c>
      <c r="I140" s="54">
        <v>41.673883718377738</v>
      </c>
      <c r="J140" s="54">
        <v>2.1266945216982962</v>
      </c>
      <c r="K140" s="128"/>
      <c r="L140" s="128"/>
      <c r="M140" s="54">
        <v>11.981545687482402</v>
      </c>
      <c r="N140" s="54">
        <v>9.6529977841063683</v>
      </c>
      <c r="O140" s="54">
        <v>9.6529977841063683</v>
      </c>
      <c r="P140" s="54">
        <v>0</v>
      </c>
      <c r="Q140" s="54">
        <v>0</v>
      </c>
      <c r="R140" s="128"/>
      <c r="S140" s="128"/>
      <c r="T140" s="54">
        <v>67.238357320000006</v>
      </c>
      <c r="U140" s="54">
        <v>61.028530839999995</v>
      </c>
      <c r="V140" s="54">
        <v>61.028530839999995</v>
      </c>
      <c r="W140" s="54">
        <v>64.782479260000002</v>
      </c>
      <c r="X140" s="54">
        <v>2.4558780599999999</v>
      </c>
      <c r="Y140" s="128"/>
      <c r="Z140" s="128"/>
      <c r="AA140" s="54">
        <v>5.5566561199999995</v>
      </c>
      <c r="AB140" s="54">
        <v>3.7920606699999992</v>
      </c>
      <c r="AC140" s="54">
        <v>3.7920606699999992</v>
      </c>
      <c r="AD140" s="54">
        <v>4.1965446599999998</v>
      </c>
      <c r="AE140" s="54">
        <v>1.3601114599999997</v>
      </c>
      <c r="AF140" s="128"/>
      <c r="AG140" s="128"/>
      <c r="AH140" s="54">
        <v>32.314295880000003</v>
      </c>
      <c r="AI140" s="54">
        <v>27.934635700000008</v>
      </c>
      <c r="AJ140" s="54">
        <v>27.934635700000008</v>
      </c>
      <c r="AK140" s="54">
        <v>29.975917750000004</v>
      </c>
      <c r="AL140" s="54">
        <v>2.3383781300000006</v>
      </c>
      <c r="AM140" s="128"/>
      <c r="AN140" s="128"/>
      <c r="AO140" s="54">
        <v>13.240454139999999</v>
      </c>
      <c r="AP140" s="54">
        <v>10.723081669999999</v>
      </c>
      <c r="AQ140" s="54">
        <v>10.723081669999999</v>
      </c>
      <c r="AR140" s="54">
        <v>12.0566554</v>
      </c>
      <c r="AS140" s="54">
        <v>1.1837987399999998</v>
      </c>
      <c r="AT140" s="128"/>
    </row>
    <row r="141" spans="1:46" outlineLevel="1">
      <c r="B141" s="236" t="s">
        <v>93</v>
      </c>
      <c r="C141" s="577" t="s">
        <v>351</v>
      </c>
      <c r="D141" s="577" t="s">
        <v>76</v>
      </c>
      <c r="E141" s="577" t="s">
        <v>93</v>
      </c>
      <c r="F141" s="54">
        <v>48.518824967639567</v>
      </c>
      <c r="G141" s="54">
        <v>41.554028322679443</v>
      </c>
      <c r="H141" s="54">
        <v>41.554028322679443</v>
      </c>
      <c r="I141" s="54">
        <v>44.651401365608059</v>
      </c>
      <c r="J141" s="54">
        <v>3.8674236020315007</v>
      </c>
      <c r="K141" s="128"/>
      <c r="L141" s="128"/>
      <c r="M141" s="54">
        <v>15.05279387483715</v>
      </c>
      <c r="N141" s="54">
        <v>11.681896068649612</v>
      </c>
      <c r="O141" s="54">
        <v>11.681896068649612</v>
      </c>
      <c r="P141" s="54">
        <v>0</v>
      </c>
      <c r="Q141" s="54">
        <v>0</v>
      </c>
      <c r="R141" s="128"/>
      <c r="S141" s="128"/>
      <c r="T141" s="54">
        <v>26.252367810000003</v>
      </c>
      <c r="U141" s="54">
        <v>20.789356229999999</v>
      </c>
      <c r="V141" s="54">
        <v>20.789356229999999</v>
      </c>
      <c r="W141" s="54">
        <v>22.822705049999996</v>
      </c>
      <c r="X141" s="54">
        <v>3.4296627600000003</v>
      </c>
      <c r="Y141" s="128"/>
      <c r="Z141" s="128"/>
      <c r="AA141" s="54">
        <v>2.1623959999997375E-2</v>
      </c>
      <c r="AB141" s="54">
        <v>-2.649658850000002</v>
      </c>
      <c r="AC141" s="54">
        <v>-2.649658850000002</v>
      </c>
      <c r="AD141" s="54">
        <v>-1.2999206800000045</v>
      </c>
      <c r="AE141" s="54">
        <v>1.3215446399999997</v>
      </c>
      <c r="AF141" s="128"/>
      <c r="AG141" s="128"/>
      <c r="AH141" s="54">
        <v>89.392064230000003</v>
      </c>
      <c r="AI141" s="54">
        <v>82.321751969999994</v>
      </c>
      <c r="AJ141" s="54">
        <v>82.321751969999994</v>
      </c>
      <c r="AK141" s="54">
        <v>87.455087209999988</v>
      </c>
      <c r="AL141" s="54">
        <v>1.9369770200000005</v>
      </c>
      <c r="AM141" s="128"/>
      <c r="AN141" s="128"/>
      <c r="AO141" s="54">
        <v>7.0235036300000004</v>
      </c>
      <c r="AP141" s="54">
        <v>5.814509000000001</v>
      </c>
      <c r="AQ141" s="54">
        <v>5.814509000000001</v>
      </c>
      <c r="AR141" s="54">
        <v>6.0643018799999986</v>
      </c>
      <c r="AS141" s="54">
        <v>0.95920175000000008</v>
      </c>
      <c r="AT141" s="128"/>
    </row>
    <row r="142" spans="1:46" outlineLevel="1">
      <c r="B142" s="236" t="s">
        <v>238</v>
      </c>
      <c r="C142" s="577" t="s">
        <v>351</v>
      </c>
      <c r="D142" s="577" t="s">
        <v>76</v>
      </c>
      <c r="E142" s="577" t="s">
        <v>94</v>
      </c>
      <c r="F142" s="54">
        <v>73.118467904456864</v>
      </c>
      <c r="G142" s="54">
        <v>63.420510459188243</v>
      </c>
      <c r="H142" s="54">
        <v>63.420510459188243</v>
      </c>
      <c r="I142" s="54">
        <v>66.335920784914009</v>
      </c>
      <c r="J142" s="54">
        <v>6.7825471195428602</v>
      </c>
      <c r="K142" s="128"/>
      <c r="L142" s="128"/>
      <c r="M142" s="54">
        <v>17.439577123340054</v>
      </c>
      <c r="N142" s="54">
        <v>13.057432355107991</v>
      </c>
      <c r="O142" s="54">
        <v>13.057432355107991</v>
      </c>
      <c r="P142" s="54">
        <v>0</v>
      </c>
      <c r="Q142" s="54">
        <v>0</v>
      </c>
      <c r="R142" s="128"/>
      <c r="S142" s="128"/>
      <c r="T142" s="54">
        <v>85.60739793999997</v>
      </c>
      <c r="U142" s="54">
        <v>68.671613449999981</v>
      </c>
      <c r="V142" s="54">
        <v>66.583045809999987</v>
      </c>
      <c r="W142" s="54">
        <v>75.45431588999999</v>
      </c>
      <c r="X142" s="54">
        <v>10.15308205</v>
      </c>
      <c r="Y142" s="128"/>
      <c r="Z142" s="128"/>
      <c r="AA142" s="54">
        <v>20.248143729999992</v>
      </c>
      <c r="AB142" s="54">
        <v>13.859018149999997</v>
      </c>
      <c r="AC142" s="54">
        <v>12.371332489999999</v>
      </c>
      <c r="AD142" s="54">
        <v>14.790618389999997</v>
      </c>
      <c r="AE142" s="54">
        <v>5.4575253399999983</v>
      </c>
      <c r="AF142" s="128"/>
      <c r="AG142" s="128"/>
      <c r="AH142" s="54">
        <v>81.313719540000037</v>
      </c>
      <c r="AI142" s="54">
        <v>64.473574320000012</v>
      </c>
      <c r="AJ142" s="54">
        <v>62.473562390000012</v>
      </c>
      <c r="AK142" s="54">
        <v>70.563330940000014</v>
      </c>
      <c r="AL142" s="54">
        <v>10.750388599999997</v>
      </c>
      <c r="AM142" s="128"/>
      <c r="AN142" s="128"/>
      <c r="AO142" s="54">
        <v>14.874193930000001</v>
      </c>
      <c r="AP142" s="54">
        <v>7.8638544600000015</v>
      </c>
      <c r="AQ142" s="54">
        <v>7.3655629800000018</v>
      </c>
      <c r="AR142" s="54">
        <v>8.4948687800000009</v>
      </c>
      <c r="AS142" s="54">
        <v>6.3793251500000006</v>
      </c>
      <c r="AT142" s="128"/>
    </row>
    <row r="143" spans="1:46" outlineLevel="1">
      <c r="B143" s="236" t="s">
        <v>34</v>
      </c>
      <c r="C143" s="577" t="s">
        <v>351</v>
      </c>
      <c r="D143" s="577" t="s">
        <v>76</v>
      </c>
      <c r="E143" s="577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  <c r="AC143" s="128"/>
      <c r="AD143" s="128"/>
      <c r="AE143" s="128"/>
      <c r="AF143" s="128"/>
      <c r="AG143" s="128"/>
      <c r="AH143" s="128"/>
      <c r="AI143" s="128"/>
      <c r="AJ143" s="128"/>
      <c r="AK143" s="128"/>
      <c r="AL143" s="128"/>
      <c r="AM143" s="128"/>
      <c r="AN143" s="128"/>
      <c r="AO143" s="128"/>
      <c r="AP143" s="128"/>
      <c r="AQ143" s="128"/>
      <c r="AR143" s="128"/>
      <c r="AS143" s="128"/>
      <c r="AT143" s="128"/>
    </row>
    <row r="144" spans="1:46">
      <c r="A144" s="281"/>
      <c r="B144" s="282" t="s">
        <v>243</v>
      </c>
      <c r="C144" s="577" t="s">
        <v>351</v>
      </c>
      <c r="D144" s="577" t="s">
        <v>253</v>
      </c>
      <c r="E144" s="577" t="s">
        <v>74</v>
      </c>
      <c r="F144" s="54">
        <v>0</v>
      </c>
      <c r="G144" s="54">
        <v>0</v>
      </c>
      <c r="H144" s="54">
        <v>0</v>
      </c>
      <c r="I144" s="54">
        <v>0</v>
      </c>
      <c r="J144" s="54">
        <v>0</v>
      </c>
      <c r="K144" s="128"/>
      <c r="L144" s="128"/>
      <c r="M144" s="54">
        <v>0</v>
      </c>
      <c r="N144" s="54">
        <v>0</v>
      </c>
      <c r="O144" s="54">
        <v>0</v>
      </c>
      <c r="P144" s="54">
        <v>0</v>
      </c>
      <c r="Q144" s="54">
        <v>0</v>
      </c>
      <c r="R144" s="128"/>
      <c r="S144" s="128"/>
      <c r="T144" s="54">
        <v>22.673650470000002</v>
      </c>
      <c r="U144" s="54">
        <v>21.785758070000004</v>
      </c>
      <c r="V144" s="54">
        <v>0</v>
      </c>
      <c r="W144" s="54">
        <v>21.785758070000004</v>
      </c>
      <c r="X144" s="54">
        <v>0.88789239999999992</v>
      </c>
      <c r="Y144" s="128"/>
      <c r="Z144" s="128"/>
      <c r="AA144" s="54">
        <v>15.387980860000008</v>
      </c>
      <c r="AB144" s="54">
        <v>14.614397860000006</v>
      </c>
      <c r="AC144" s="54">
        <v>0</v>
      </c>
      <c r="AD144" s="54">
        <v>14.614397860000006</v>
      </c>
      <c r="AE144" s="54">
        <v>0.77358300000000002</v>
      </c>
      <c r="AF144" s="128"/>
      <c r="AG144" s="128"/>
      <c r="AH144" s="54">
        <v>26.048832329999989</v>
      </c>
      <c r="AI144" s="54">
        <v>28.481799329999987</v>
      </c>
      <c r="AJ144" s="54">
        <v>0</v>
      </c>
      <c r="AK144" s="54">
        <v>28.481799329999987</v>
      </c>
      <c r="AL144" s="54">
        <v>-2.4329670000000001</v>
      </c>
      <c r="AM144" s="128"/>
      <c r="AN144" s="128"/>
      <c r="AO144" s="54">
        <v>7.2782900700000006</v>
      </c>
      <c r="AP144" s="54">
        <v>4.5326370699999998</v>
      </c>
      <c r="AQ144" s="54">
        <v>0</v>
      </c>
      <c r="AR144" s="54">
        <v>4.5326370699999998</v>
      </c>
      <c r="AS144" s="54">
        <v>2.7456529999999999</v>
      </c>
      <c r="AT144" s="128"/>
    </row>
    <row r="145" spans="1:47">
      <c r="A145" s="281" t="s">
        <v>230</v>
      </c>
      <c r="B145" s="282" t="s">
        <v>270</v>
      </c>
      <c r="C145" s="577" t="s">
        <v>269</v>
      </c>
      <c r="D145" s="577" t="s">
        <v>72</v>
      </c>
      <c r="E145" s="577" t="s">
        <v>73</v>
      </c>
      <c r="F145" s="54">
        <v>0</v>
      </c>
      <c r="G145" s="54">
        <v>0</v>
      </c>
      <c r="H145" s="54">
        <v>0</v>
      </c>
      <c r="I145" s="54">
        <v>0</v>
      </c>
      <c r="J145" s="54">
        <v>0</v>
      </c>
      <c r="K145" s="128"/>
      <c r="L145" s="128"/>
      <c r="M145" s="54">
        <v>0</v>
      </c>
      <c r="N145" s="54">
        <v>0</v>
      </c>
      <c r="O145" s="54">
        <v>0</v>
      </c>
      <c r="P145" s="54">
        <v>0</v>
      </c>
      <c r="Q145" s="54">
        <v>0</v>
      </c>
      <c r="R145" s="128"/>
      <c r="S145" s="128"/>
      <c r="T145" s="54">
        <v>16.733294000000001</v>
      </c>
      <c r="U145" s="54">
        <v>16.733294000000001</v>
      </c>
      <c r="V145" s="54">
        <v>0</v>
      </c>
      <c r="W145" s="54">
        <v>16.733294000000001</v>
      </c>
      <c r="X145" s="54">
        <v>0</v>
      </c>
      <c r="Y145" s="128"/>
      <c r="Z145" s="128"/>
      <c r="AA145" s="54">
        <v>10.468268999999999</v>
      </c>
      <c r="AB145" s="54">
        <v>10.468268999999999</v>
      </c>
      <c r="AC145" s="54">
        <v>0</v>
      </c>
      <c r="AD145" s="54">
        <v>10.468268999999999</v>
      </c>
      <c r="AE145" s="54">
        <v>0</v>
      </c>
      <c r="AF145" s="128"/>
      <c r="AG145" s="128"/>
      <c r="AH145" s="54">
        <v>15.070208999999998</v>
      </c>
      <c r="AI145" s="54">
        <v>15.070208999999998</v>
      </c>
      <c r="AJ145" s="54">
        <v>0</v>
      </c>
      <c r="AK145" s="54">
        <v>15.070208999999998</v>
      </c>
      <c r="AL145" s="54">
        <v>0</v>
      </c>
      <c r="AM145" s="128"/>
      <c r="AN145" s="128"/>
      <c r="AO145" s="54">
        <v>9.1532130000000009</v>
      </c>
      <c r="AP145" s="54">
        <v>9.1532130000000009</v>
      </c>
      <c r="AQ145" s="54">
        <v>0</v>
      </c>
      <c r="AR145" s="54">
        <v>9.1532130000000009</v>
      </c>
      <c r="AS145" s="54">
        <v>0</v>
      </c>
      <c r="AT145" s="128"/>
    </row>
    <row r="146" spans="1:47">
      <c r="A146" s="281"/>
      <c r="B146" s="282"/>
      <c r="C146" s="577" t="s">
        <v>332</v>
      </c>
      <c r="D146" s="577" t="s">
        <v>72</v>
      </c>
      <c r="E146" s="577" t="s">
        <v>73</v>
      </c>
      <c r="F146" s="54">
        <v>3286.3575052670199</v>
      </c>
      <c r="G146" s="54">
        <v>2757.9084048649502</v>
      </c>
      <c r="H146" s="54">
        <v>2715.9682492787833</v>
      </c>
      <c r="I146" s="54">
        <v>2883.757798363602</v>
      </c>
      <c r="J146" s="54">
        <v>402.59970690341822</v>
      </c>
      <c r="K146" s="128"/>
      <c r="L146" s="128"/>
      <c r="M146" s="54">
        <v>622.38844855188609</v>
      </c>
      <c r="N146" s="54">
        <v>358.07229925598938</v>
      </c>
      <c r="O146" s="54">
        <v>329.38159899369862</v>
      </c>
      <c r="P146" s="54">
        <v>0</v>
      </c>
      <c r="Q146" s="54">
        <v>0</v>
      </c>
      <c r="R146" s="128"/>
      <c r="S146" s="128"/>
      <c r="T146" s="54">
        <v>2838.1264741999998</v>
      </c>
      <c r="U146" s="54">
        <v>2251.6003525499996</v>
      </c>
      <c r="V146" s="54">
        <v>2198.5584934299991</v>
      </c>
      <c r="W146" s="54">
        <v>2432.1943738500004</v>
      </c>
      <c r="X146" s="54">
        <v>405.9321003500001</v>
      </c>
      <c r="Y146" s="128"/>
      <c r="Z146" s="128"/>
      <c r="AA146" s="54">
        <v>635.99271055999986</v>
      </c>
      <c r="AB146" s="54">
        <v>355.15543041999962</v>
      </c>
      <c r="AC146" s="54">
        <v>321.99004804999964</v>
      </c>
      <c r="AD146" s="54">
        <v>386.56546272999998</v>
      </c>
      <c r="AE146" s="54">
        <v>249.42724783000003</v>
      </c>
      <c r="AF146" s="128"/>
      <c r="AG146" s="128"/>
      <c r="AH146" s="54">
        <v>3087.3818150699922</v>
      </c>
      <c r="AI146" s="54">
        <v>2537.7194145299991</v>
      </c>
      <c r="AJ146" s="54">
        <v>2477.3549892799992</v>
      </c>
      <c r="AK146" s="54">
        <v>2690.0173920199995</v>
      </c>
      <c r="AL146" s="54">
        <v>397.36442305000048</v>
      </c>
      <c r="AM146" s="128"/>
      <c r="AN146" s="128"/>
      <c r="AO146" s="54">
        <v>580.76551838999876</v>
      </c>
      <c r="AP146" s="54">
        <v>301.84621591999962</v>
      </c>
      <c r="AQ146" s="54">
        <v>277.5697731599995</v>
      </c>
      <c r="AR146" s="54">
        <v>320.36638682999927</v>
      </c>
      <c r="AS146" s="54">
        <v>260.39913156000023</v>
      </c>
      <c r="AT146" s="128"/>
    </row>
    <row r="147" spans="1:47">
      <c r="B147" s="236"/>
      <c r="C147" s="577"/>
      <c r="D147" s="577"/>
      <c r="E147" s="577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  <c r="AC147" s="128"/>
      <c r="AD147" s="128"/>
      <c r="AE147" s="128"/>
      <c r="AF147" s="128"/>
      <c r="AG147" s="128"/>
      <c r="AH147" s="128"/>
      <c r="AI147" s="128"/>
      <c r="AJ147" s="128"/>
      <c r="AK147" s="128"/>
      <c r="AL147" s="128"/>
      <c r="AM147" s="128"/>
      <c r="AN147" s="128"/>
      <c r="AO147" s="128"/>
      <c r="AP147" s="128"/>
      <c r="AQ147" s="128"/>
      <c r="AR147" s="128"/>
      <c r="AS147" s="128"/>
      <c r="AT147" s="128"/>
    </row>
    <row r="148" spans="1:47">
      <c r="A148" s="237" t="s">
        <v>242</v>
      </c>
      <c r="B148" s="236" t="s">
        <v>13</v>
      </c>
      <c r="C148" s="577" t="s">
        <v>352</v>
      </c>
      <c r="D148" s="577" t="s">
        <v>72</v>
      </c>
      <c r="E148" s="577" t="s">
        <v>73</v>
      </c>
      <c r="F148" s="54">
        <v>3214.8323803221583</v>
      </c>
      <c r="G148" s="54">
        <v>2743.8727606266116</v>
      </c>
      <c r="H148" s="54">
        <v>2701.9326050404447</v>
      </c>
      <c r="I148" s="54">
        <v>2830.9694762756126</v>
      </c>
      <c r="J148" s="54">
        <v>383.86290404654602</v>
      </c>
      <c r="K148" s="128"/>
      <c r="L148" s="128"/>
      <c r="M148" s="54">
        <v>611.78929141146159</v>
      </c>
      <c r="N148" s="54">
        <v>352.57331063417263</v>
      </c>
      <c r="O148" s="54">
        <v>323.88261037188187</v>
      </c>
      <c r="P148" s="54">
        <v>0</v>
      </c>
      <c r="Q148" s="54">
        <v>0</v>
      </c>
      <c r="R148" s="128"/>
      <c r="S148" s="128"/>
      <c r="T148" s="54">
        <v>2775.7027098900003</v>
      </c>
      <c r="U148" s="54">
        <v>2208.0994718899992</v>
      </c>
      <c r="V148" s="54">
        <v>2171.8158581899988</v>
      </c>
      <c r="W148" s="54">
        <v>2388.6934931899996</v>
      </c>
      <c r="X148" s="54">
        <v>387.00921670000014</v>
      </c>
      <c r="Y148" s="128"/>
      <c r="Z148" s="128"/>
      <c r="AA148" s="54">
        <v>610.30415162999998</v>
      </c>
      <c r="AB148" s="54">
        <v>340.13101535999976</v>
      </c>
      <c r="AC148" s="54">
        <v>317.43390196999985</v>
      </c>
      <c r="AD148" s="54">
        <v>371.54104767000007</v>
      </c>
      <c r="AE148" s="54">
        <v>238.76310396000002</v>
      </c>
      <c r="AF148" s="128"/>
      <c r="AG148" s="128"/>
      <c r="AH148" s="54">
        <v>3041.030767769993</v>
      </c>
      <c r="AI148" s="54">
        <v>2507.8663371499993</v>
      </c>
      <c r="AJ148" s="54">
        <v>2462.5721208999994</v>
      </c>
      <c r="AK148" s="54">
        <v>2660.1643146400002</v>
      </c>
      <c r="AL148" s="54">
        <v>380.86645313000037</v>
      </c>
      <c r="AM148" s="128"/>
      <c r="AN148" s="128"/>
      <c r="AO148" s="54">
        <v>537.28391050999892</v>
      </c>
      <c r="AP148" s="54">
        <v>284.92954942999944</v>
      </c>
      <c r="AQ148" s="54">
        <v>269.80631967999949</v>
      </c>
      <c r="AR148" s="54">
        <v>303.4497203399992</v>
      </c>
      <c r="AS148" s="54">
        <v>233.8341901700002</v>
      </c>
      <c r="AT148" s="128"/>
      <c r="AU148" s="56" t="e">
        <f>+#REF!-#REF!-#REF!-#REF!</f>
        <v>#REF!</v>
      </c>
    </row>
    <row r="149" spans="1:47" collapsed="1">
      <c r="A149" s="281" t="s">
        <v>242</v>
      </c>
      <c r="B149" s="282" t="s">
        <v>164</v>
      </c>
      <c r="C149" s="577" t="s">
        <v>352</v>
      </c>
      <c r="D149" s="577" t="s">
        <v>72</v>
      </c>
      <c r="E149" s="577" t="s">
        <v>260</v>
      </c>
      <c r="F149" s="54">
        <v>41.940155586166902</v>
      </c>
      <c r="G149" s="54">
        <v>41.940155586166902</v>
      </c>
      <c r="H149" s="54">
        <v>0</v>
      </c>
      <c r="I149" s="54">
        <v>41.940155586166902</v>
      </c>
      <c r="J149" s="54">
        <v>0</v>
      </c>
      <c r="K149" s="128"/>
      <c r="L149" s="128"/>
      <c r="M149" s="54">
        <v>28.6907002622908</v>
      </c>
      <c r="N149" s="54">
        <v>28.6907002622908</v>
      </c>
      <c r="O149" s="54">
        <v>0</v>
      </c>
      <c r="P149" s="54">
        <v>0</v>
      </c>
      <c r="Q149" s="54">
        <v>0</v>
      </c>
      <c r="R149" s="128"/>
      <c r="S149" s="128"/>
      <c r="T149" s="54">
        <v>29.92871392</v>
      </c>
      <c r="U149" s="54">
        <v>30.962680980000002</v>
      </c>
      <c r="V149" s="54">
        <v>0</v>
      </c>
      <c r="W149" s="54">
        <v>30.962680980000002</v>
      </c>
      <c r="X149" s="54">
        <v>-1.0339670600000002</v>
      </c>
      <c r="Y149" s="128"/>
      <c r="Z149" s="128"/>
      <c r="AA149" s="54">
        <v>15.884690340000002</v>
      </c>
      <c r="AB149" s="54">
        <v>16.468512050000001</v>
      </c>
      <c r="AC149" s="54">
        <v>0</v>
      </c>
      <c r="AD149" s="54">
        <v>16.468512050000001</v>
      </c>
      <c r="AE149" s="54">
        <v>-0.58382171000000005</v>
      </c>
      <c r="AF149" s="128"/>
      <c r="AG149" s="128"/>
      <c r="AH149" s="54">
        <v>30.039983909999993</v>
      </c>
      <c r="AI149" s="54">
        <v>30.253364969999996</v>
      </c>
      <c r="AJ149" s="54">
        <v>0</v>
      </c>
      <c r="AK149" s="54">
        <v>30.253364969999996</v>
      </c>
      <c r="AL149" s="54">
        <v>-0.21338105999999993</v>
      </c>
      <c r="AM149" s="128"/>
      <c r="AN149" s="128"/>
      <c r="AO149" s="54">
        <v>10.274141170000002</v>
      </c>
      <c r="AP149" s="54">
        <v>10.704977860000001</v>
      </c>
      <c r="AQ149" s="54">
        <v>0</v>
      </c>
      <c r="AR149" s="54">
        <v>10.704977860000001</v>
      </c>
      <c r="AS149" s="54">
        <v>-0.43083668999999997</v>
      </c>
      <c r="AT149" s="128"/>
    </row>
    <row r="150" spans="1:47">
      <c r="A150" s="281" t="s">
        <v>242</v>
      </c>
      <c r="B150" s="282" t="s">
        <v>265</v>
      </c>
      <c r="C150" s="577" t="s">
        <v>352</v>
      </c>
      <c r="D150" s="577" t="s">
        <v>72</v>
      </c>
      <c r="E150" s="577" t="s">
        <v>261</v>
      </c>
      <c r="F150" s="54">
        <v>0</v>
      </c>
      <c r="G150" s="54">
        <v>0</v>
      </c>
      <c r="H150" s="54">
        <v>0</v>
      </c>
      <c r="I150" s="54">
        <v>0</v>
      </c>
      <c r="J150" s="54">
        <v>0</v>
      </c>
      <c r="K150" s="128"/>
      <c r="L150" s="128"/>
      <c r="M150" s="54">
        <v>0</v>
      </c>
      <c r="N150" s="54">
        <v>0</v>
      </c>
      <c r="O150" s="54">
        <v>0</v>
      </c>
      <c r="P150" s="54">
        <v>0</v>
      </c>
      <c r="Q150" s="54">
        <v>0</v>
      </c>
      <c r="R150" s="128"/>
      <c r="S150" s="128"/>
      <c r="T150" s="54">
        <v>-10.515254990000001</v>
      </c>
      <c r="U150" s="54">
        <v>-10.515254990000001</v>
      </c>
      <c r="V150" s="54">
        <v>0</v>
      </c>
      <c r="W150" s="54">
        <v>-10.515254990000001</v>
      </c>
      <c r="X150" s="54">
        <v>0</v>
      </c>
      <c r="Y150" s="128"/>
      <c r="Z150" s="128"/>
      <c r="AA150" s="54">
        <v>-9.4089797900000001</v>
      </c>
      <c r="AB150" s="54">
        <v>-9.4089797900000001</v>
      </c>
      <c r="AC150" s="54">
        <v>0</v>
      </c>
      <c r="AD150" s="54">
        <v>-9.4089797900000001</v>
      </c>
      <c r="AE150" s="54">
        <v>0</v>
      </c>
      <c r="AF150" s="128"/>
      <c r="AG150" s="128"/>
      <c r="AH150" s="54">
        <v>-10.325478410000001</v>
      </c>
      <c r="AI150" s="54">
        <v>-10.325478410000001</v>
      </c>
      <c r="AJ150" s="54">
        <v>0</v>
      </c>
      <c r="AK150" s="54">
        <v>-10.325478410000001</v>
      </c>
      <c r="AL150" s="54">
        <v>0</v>
      </c>
      <c r="AM150" s="128"/>
      <c r="AN150" s="128"/>
      <c r="AO150" s="54">
        <v>0.45045160000000001</v>
      </c>
      <c r="AP150" s="54">
        <v>0.45045160000000001</v>
      </c>
      <c r="AQ150" s="54">
        <v>0</v>
      </c>
      <c r="AR150" s="54">
        <v>0.45045160000000001</v>
      </c>
      <c r="AS150" s="54">
        <v>0</v>
      </c>
      <c r="AT150" s="128"/>
    </row>
    <row r="151" spans="1:47">
      <c r="A151" s="237" t="s">
        <v>242</v>
      </c>
      <c r="B151" s="236" t="s">
        <v>243</v>
      </c>
      <c r="C151" s="577" t="s">
        <v>352</v>
      </c>
      <c r="D151" s="577" t="s">
        <v>72</v>
      </c>
      <c r="E151" s="577" t="s">
        <v>74</v>
      </c>
      <c r="F151" s="54">
        <v>3172.8922247359915</v>
      </c>
      <c r="G151" s="54">
        <v>2701.9326050404447</v>
      </c>
      <c r="H151" s="54">
        <v>2701.9326050404447</v>
      </c>
      <c r="I151" s="54">
        <v>2789.0293206894457</v>
      </c>
      <c r="J151" s="54">
        <v>383.86290404654602</v>
      </c>
      <c r="K151" s="128"/>
      <c r="L151" s="128"/>
      <c r="M151" s="54">
        <v>583.09859114917072</v>
      </c>
      <c r="N151" s="54">
        <v>323.88261037188187</v>
      </c>
      <c r="O151" s="54">
        <v>323.88261037188187</v>
      </c>
      <c r="P151" s="54">
        <v>0</v>
      </c>
      <c r="Q151" s="54">
        <v>0</v>
      </c>
      <c r="R151" s="128"/>
      <c r="S151" s="128"/>
      <c r="T151" s="54">
        <v>2756.2892509600001</v>
      </c>
      <c r="U151" s="54">
        <v>2187.6520458999989</v>
      </c>
      <c r="V151" s="54">
        <v>2171.8158581899988</v>
      </c>
      <c r="W151" s="54">
        <v>2368.2460671999997</v>
      </c>
      <c r="X151" s="54">
        <v>388.04318376000015</v>
      </c>
      <c r="Y151" s="128"/>
      <c r="Z151" s="128"/>
      <c r="AA151" s="54">
        <v>603.82844108000006</v>
      </c>
      <c r="AB151" s="54">
        <v>333.0714830999998</v>
      </c>
      <c r="AC151" s="54">
        <v>317.43390196999985</v>
      </c>
      <c r="AD151" s="54">
        <v>364.4815154100001</v>
      </c>
      <c r="AE151" s="54">
        <v>239.34692567000002</v>
      </c>
      <c r="AF151" s="128"/>
      <c r="AG151" s="128"/>
      <c r="AH151" s="54">
        <v>3021.3162622699924</v>
      </c>
      <c r="AI151" s="54">
        <v>2487.9384505899989</v>
      </c>
      <c r="AJ151" s="54">
        <v>2462.5721208999994</v>
      </c>
      <c r="AK151" s="54">
        <v>2640.2364280799998</v>
      </c>
      <c r="AL151" s="54">
        <v>381.07983419000044</v>
      </c>
      <c r="AM151" s="128"/>
      <c r="AN151" s="128"/>
      <c r="AO151" s="54">
        <v>526.55931773999885</v>
      </c>
      <c r="AP151" s="54">
        <v>273.7741199699995</v>
      </c>
      <c r="AQ151" s="54">
        <v>269.80631967999949</v>
      </c>
      <c r="AR151" s="54">
        <v>292.29429087999927</v>
      </c>
      <c r="AS151" s="54">
        <v>234.26502686000018</v>
      </c>
      <c r="AT151" s="128"/>
    </row>
    <row r="152" spans="1:47">
      <c r="A152" s="237" t="s">
        <v>242</v>
      </c>
      <c r="B152" s="236" t="s">
        <v>58</v>
      </c>
      <c r="C152" s="577" t="s">
        <v>352</v>
      </c>
      <c r="D152" s="577" t="s">
        <v>76</v>
      </c>
      <c r="E152" s="577" t="s">
        <v>16</v>
      </c>
      <c r="F152" s="54">
        <v>1587.4148942607098</v>
      </c>
      <c r="G152" s="54">
        <v>1363.466701075306</v>
      </c>
      <c r="H152" s="54">
        <v>1363.466701075306</v>
      </c>
      <c r="I152" s="54">
        <v>1403.1456204867602</v>
      </c>
      <c r="J152" s="54">
        <v>184.26927377394958</v>
      </c>
      <c r="K152" s="128"/>
      <c r="L152" s="128"/>
      <c r="M152" s="54">
        <v>244.18439370704485</v>
      </c>
      <c r="N152" s="54">
        <v>118.32363474893677</v>
      </c>
      <c r="O152" s="54">
        <v>118.32363474893677</v>
      </c>
      <c r="P152" s="54">
        <v>0</v>
      </c>
      <c r="Q152" s="54">
        <v>0</v>
      </c>
      <c r="R152" s="128"/>
      <c r="S152" s="128"/>
      <c r="T152" s="54">
        <v>1228.9529225200008</v>
      </c>
      <c r="U152" s="54">
        <v>946.41423232000011</v>
      </c>
      <c r="V152" s="54">
        <v>945.09377401000017</v>
      </c>
      <c r="W152" s="54">
        <v>1045.4760493800002</v>
      </c>
      <c r="X152" s="54">
        <v>183.47687314000007</v>
      </c>
      <c r="Y152" s="128"/>
      <c r="Z152" s="128"/>
      <c r="AA152" s="54">
        <v>243.69497158000016</v>
      </c>
      <c r="AB152" s="54">
        <v>113.51504870999997</v>
      </c>
      <c r="AC152" s="54">
        <v>112.89213692999996</v>
      </c>
      <c r="AD152" s="54">
        <v>129.16932067999988</v>
      </c>
      <c r="AE152" s="54">
        <v>114.5256509</v>
      </c>
      <c r="AF152" s="128"/>
      <c r="AG152" s="128"/>
      <c r="AH152" s="54">
        <v>1548.3972834100009</v>
      </c>
      <c r="AI152" s="54">
        <v>1296.3145608400014</v>
      </c>
      <c r="AJ152" s="54">
        <v>1288.5601793700012</v>
      </c>
      <c r="AK152" s="54">
        <v>1363.0448670200012</v>
      </c>
      <c r="AL152" s="54">
        <v>185.35241639000009</v>
      </c>
      <c r="AM152" s="128"/>
      <c r="AN152" s="128"/>
      <c r="AO152" s="54">
        <v>238.9227388599999</v>
      </c>
      <c r="AP152" s="54">
        <v>114.81668431000004</v>
      </c>
      <c r="AQ152" s="54">
        <v>113.58212992000004</v>
      </c>
      <c r="AR152" s="54">
        <v>122.93335467000006</v>
      </c>
      <c r="AS152" s="54">
        <v>115.9893841900001</v>
      </c>
      <c r="AT152" s="128"/>
    </row>
    <row r="153" spans="1:47" outlineLevel="1">
      <c r="A153" s="237" t="s">
        <v>242</v>
      </c>
      <c r="B153" s="236" t="s">
        <v>17</v>
      </c>
      <c r="C153" s="577" t="s">
        <v>352</v>
      </c>
      <c r="D153" s="577" t="s">
        <v>76</v>
      </c>
      <c r="E153" s="577" t="s">
        <v>17</v>
      </c>
      <c r="F153" s="54">
        <v>258.63259632432016</v>
      </c>
      <c r="G153" s="54">
        <v>214.26673513248582</v>
      </c>
      <c r="H153" s="54">
        <v>214.26673513248582</v>
      </c>
      <c r="I153" s="54">
        <v>219.74694622094745</v>
      </c>
      <c r="J153" s="54">
        <v>38.885650103372697</v>
      </c>
      <c r="K153" s="128"/>
      <c r="L153" s="128"/>
      <c r="M153" s="54">
        <v>48.822075504643138</v>
      </c>
      <c r="N153" s="54">
        <v>25.523017514600767</v>
      </c>
      <c r="O153" s="54">
        <v>25.523017514600767</v>
      </c>
      <c r="P153" s="54">
        <v>0</v>
      </c>
      <c r="Q153" s="54">
        <v>0</v>
      </c>
      <c r="R153" s="128"/>
      <c r="S153" s="128"/>
      <c r="T153" s="54">
        <v>0</v>
      </c>
      <c r="U153" s="54">
        <v>0</v>
      </c>
      <c r="V153" s="54">
        <v>0</v>
      </c>
      <c r="W153" s="54">
        <v>0</v>
      </c>
      <c r="X153" s="54">
        <v>0</v>
      </c>
      <c r="Y153" s="128"/>
      <c r="Z153" s="128"/>
      <c r="AA153" s="54">
        <v>0</v>
      </c>
      <c r="AB153" s="54">
        <v>0</v>
      </c>
      <c r="AC153" s="54">
        <v>0</v>
      </c>
      <c r="AD153" s="54">
        <v>0</v>
      </c>
      <c r="AE153" s="54">
        <v>0</v>
      </c>
      <c r="AF153" s="128"/>
      <c r="AG153" s="128"/>
      <c r="AH153" s="54">
        <v>0</v>
      </c>
      <c r="AI153" s="54">
        <v>0</v>
      </c>
      <c r="AJ153" s="54">
        <v>0</v>
      </c>
      <c r="AK153" s="54">
        <v>0</v>
      </c>
      <c r="AL153" s="54">
        <v>0</v>
      </c>
      <c r="AM153" s="128"/>
      <c r="AN153" s="128"/>
      <c r="AO153" s="54">
        <v>0</v>
      </c>
      <c r="AP153" s="54">
        <v>0</v>
      </c>
      <c r="AQ153" s="54">
        <v>0</v>
      </c>
      <c r="AR153" s="54">
        <v>0</v>
      </c>
      <c r="AS153" s="54">
        <v>0</v>
      </c>
      <c r="AT153" s="128"/>
    </row>
    <row r="154" spans="1:47" outlineLevel="1">
      <c r="A154" s="237" t="s">
        <v>242</v>
      </c>
      <c r="B154" s="236" t="s">
        <v>18</v>
      </c>
      <c r="C154" s="577" t="s">
        <v>352</v>
      </c>
      <c r="D154" s="577" t="s">
        <v>76</v>
      </c>
      <c r="E154" s="577" t="s">
        <v>18</v>
      </c>
      <c r="F154" s="54">
        <v>3.9612828384029468</v>
      </c>
      <c r="G154" s="54">
        <v>3.0768070077884921</v>
      </c>
      <c r="H154" s="54">
        <v>3.0768070077884921</v>
      </c>
      <c r="I154" s="54">
        <v>3.4225731968759732</v>
      </c>
      <c r="J154" s="54">
        <v>0.53870964152697653</v>
      </c>
      <c r="K154" s="128"/>
      <c r="L154" s="128"/>
      <c r="M154" s="54">
        <v>7.2225668875399762</v>
      </c>
      <c r="N154" s="54">
        <v>3.1489700525215261</v>
      </c>
      <c r="O154" s="54">
        <v>3.1489700525215261</v>
      </c>
      <c r="P154" s="54">
        <v>0</v>
      </c>
      <c r="Q154" s="54">
        <v>0</v>
      </c>
      <c r="R154" s="128"/>
      <c r="S154" s="128"/>
      <c r="T154" s="54">
        <v>0</v>
      </c>
      <c r="U154" s="54">
        <v>0</v>
      </c>
      <c r="V154" s="54">
        <v>0</v>
      </c>
      <c r="W154" s="54">
        <v>0</v>
      </c>
      <c r="X154" s="54">
        <v>0</v>
      </c>
      <c r="Y154" s="128"/>
      <c r="Z154" s="128"/>
      <c r="AA154" s="54">
        <v>0</v>
      </c>
      <c r="AB154" s="54">
        <v>0</v>
      </c>
      <c r="AC154" s="54">
        <v>0</v>
      </c>
      <c r="AD154" s="54">
        <v>0</v>
      </c>
      <c r="AE154" s="54">
        <v>0</v>
      </c>
      <c r="AF154" s="128"/>
      <c r="AG154" s="128"/>
      <c r="AH154" s="54">
        <v>0</v>
      </c>
      <c r="AI154" s="54">
        <v>0</v>
      </c>
      <c r="AJ154" s="54">
        <v>0</v>
      </c>
      <c r="AK154" s="54">
        <v>0</v>
      </c>
      <c r="AL154" s="54">
        <v>0</v>
      </c>
      <c r="AM154" s="128"/>
      <c r="AN154" s="128"/>
      <c r="AO154" s="54">
        <v>0</v>
      </c>
      <c r="AP154" s="54">
        <v>0</v>
      </c>
      <c r="AQ154" s="54">
        <v>0</v>
      </c>
      <c r="AR154" s="54">
        <v>0</v>
      </c>
      <c r="AS154" s="54">
        <v>0</v>
      </c>
      <c r="AT154" s="128"/>
    </row>
    <row r="155" spans="1:47" outlineLevel="1">
      <c r="A155" s="237" t="s">
        <v>242</v>
      </c>
      <c r="B155" s="236" t="s">
        <v>19</v>
      </c>
      <c r="C155" s="577" t="s">
        <v>352</v>
      </c>
      <c r="D155" s="577" t="s">
        <v>76</v>
      </c>
      <c r="E155" s="577" t="s">
        <v>19</v>
      </c>
      <c r="F155" s="54">
        <v>221.48283093338975</v>
      </c>
      <c r="G155" s="54">
        <v>166.02687434123496</v>
      </c>
      <c r="H155" s="54">
        <v>166.02687434123496</v>
      </c>
      <c r="I155" s="54">
        <v>179.14751405314121</v>
      </c>
      <c r="J155" s="54">
        <v>42.335316880248527</v>
      </c>
      <c r="K155" s="128"/>
      <c r="L155" s="128"/>
      <c r="M155" s="54">
        <v>51.834067531657325</v>
      </c>
      <c r="N155" s="54">
        <v>22.796365493904069</v>
      </c>
      <c r="O155" s="54">
        <v>22.796365493904069</v>
      </c>
      <c r="P155" s="54">
        <v>0</v>
      </c>
      <c r="Q155" s="54">
        <v>0</v>
      </c>
      <c r="R155" s="128"/>
      <c r="S155" s="128"/>
      <c r="T155" s="54">
        <v>0</v>
      </c>
      <c r="U155" s="54">
        <v>0</v>
      </c>
      <c r="V155" s="54">
        <v>0</v>
      </c>
      <c r="W155" s="54">
        <v>0</v>
      </c>
      <c r="X155" s="54">
        <v>0</v>
      </c>
      <c r="Y155" s="128"/>
      <c r="Z155" s="128"/>
      <c r="AA155" s="54">
        <v>0</v>
      </c>
      <c r="AB155" s="54">
        <v>0</v>
      </c>
      <c r="AC155" s="54">
        <v>0</v>
      </c>
      <c r="AD155" s="54">
        <v>0</v>
      </c>
      <c r="AE155" s="54">
        <v>0</v>
      </c>
      <c r="AF155" s="128"/>
      <c r="AG155" s="128"/>
      <c r="AH155" s="54">
        <v>0</v>
      </c>
      <c r="AI155" s="54">
        <v>0</v>
      </c>
      <c r="AJ155" s="54">
        <v>0</v>
      </c>
      <c r="AK155" s="54">
        <v>0</v>
      </c>
      <c r="AL155" s="54">
        <v>0</v>
      </c>
      <c r="AM155" s="128"/>
      <c r="AN155" s="128"/>
      <c r="AO155" s="54">
        <v>0</v>
      </c>
      <c r="AP155" s="54">
        <v>0</v>
      </c>
      <c r="AQ155" s="54">
        <v>0</v>
      </c>
      <c r="AR155" s="54">
        <v>0</v>
      </c>
      <c r="AS155" s="54">
        <v>0</v>
      </c>
      <c r="AT155" s="128"/>
    </row>
    <row r="156" spans="1:47" outlineLevel="1">
      <c r="A156" s="237" t="s">
        <v>242</v>
      </c>
      <c r="B156" s="236" t="s">
        <v>77</v>
      </c>
      <c r="C156" s="577" t="s">
        <v>352</v>
      </c>
      <c r="D156" s="577" t="s">
        <v>76</v>
      </c>
      <c r="E156" s="577" t="s">
        <v>77</v>
      </c>
      <c r="F156" s="54">
        <v>593.32341437038144</v>
      </c>
      <c r="G156" s="54">
        <v>558.56553635942294</v>
      </c>
      <c r="H156" s="54">
        <v>558.56553635942294</v>
      </c>
      <c r="I156" s="54">
        <v>563.35888784482245</v>
      </c>
      <c r="J156" s="54">
        <v>29.964526525558945</v>
      </c>
      <c r="K156" s="128"/>
      <c r="L156" s="128"/>
      <c r="M156" s="54">
        <v>37.918633621322655</v>
      </c>
      <c r="N156" s="54">
        <v>19.729951224926907</v>
      </c>
      <c r="O156" s="54">
        <v>19.729951224926907</v>
      </c>
      <c r="P156" s="54">
        <v>0</v>
      </c>
      <c r="Q156" s="54">
        <v>0</v>
      </c>
      <c r="R156" s="128"/>
      <c r="S156" s="128"/>
      <c r="T156" s="54">
        <v>0</v>
      </c>
      <c r="U156" s="54">
        <v>0</v>
      </c>
      <c r="V156" s="54">
        <v>0</v>
      </c>
      <c r="W156" s="54">
        <v>0</v>
      </c>
      <c r="X156" s="54">
        <v>0</v>
      </c>
      <c r="Y156" s="128"/>
      <c r="Z156" s="128"/>
      <c r="AA156" s="54">
        <v>0</v>
      </c>
      <c r="AB156" s="54">
        <v>0</v>
      </c>
      <c r="AC156" s="54">
        <v>0</v>
      </c>
      <c r="AD156" s="54">
        <v>0</v>
      </c>
      <c r="AE156" s="54">
        <v>0</v>
      </c>
      <c r="AF156" s="128"/>
      <c r="AG156" s="128"/>
      <c r="AH156" s="54">
        <v>0</v>
      </c>
      <c r="AI156" s="54">
        <v>0</v>
      </c>
      <c r="AJ156" s="54">
        <v>0</v>
      </c>
      <c r="AK156" s="54">
        <v>0</v>
      </c>
      <c r="AL156" s="54">
        <v>0</v>
      </c>
      <c r="AM156" s="128"/>
      <c r="AN156" s="128"/>
      <c r="AO156" s="54">
        <v>0</v>
      </c>
      <c r="AP156" s="54">
        <v>0</v>
      </c>
      <c r="AQ156" s="54">
        <v>0</v>
      </c>
      <c r="AR156" s="54">
        <v>0</v>
      </c>
      <c r="AS156" s="54">
        <v>0</v>
      </c>
      <c r="AT156" s="128"/>
    </row>
    <row r="157" spans="1:47" outlineLevel="1">
      <c r="A157" s="237" t="s">
        <v>242</v>
      </c>
      <c r="B157" s="236" t="s">
        <v>78</v>
      </c>
      <c r="C157" s="577" t="s">
        <v>352</v>
      </c>
      <c r="D157" s="577" t="s">
        <v>76</v>
      </c>
      <c r="E157" s="577" t="s">
        <v>78</v>
      </c>
      <c r="F157" s="54">
        <v>124.23643856071926</v>
      </c>
      <c r="G157" s="54">
        <v>105.9798062377986</v>
      </c>
      <c r="H157" s="54">
        <v>105.9798062377986</v>
      </c>
      <c r="I157" s="54">
        <v>108.76806489658551</v>
      </c>
      <c r="J157" s="54">
        <v>15.468373664133745</v>
      </c>
      <c r="K157" s="128"/>
      <c r="L157" s="128"/>
      <c r="M157" s="54">
        <v>19.644739422264276</v>
      </c>
      <c r="N157" s="54">
        <v>8.3959175865525779</v>
      </c>
      <c r="O157" s="54">
        <v>8.3959175865525779</v>
      </c>
      <c r="P157" s="54">
        <v>0</v>
      </c>
      <c r="Q157" s="54">
        <v>0</v>
      </c>
      <c r="R157" s="128"/>
      <c r="S157" s="128"/>
      <c r="T157" s="54">
        <v>0</v>
      </c>
      <c r="U157" s="54">
        <v>0</v>
      </c>
      <c r="V157" s="54">
        <v>0</v>
      </c>
      <c r="W157" s="54">
        <v>0</v>
      </c>
      <c r="X157" s="54">
        <v>0</v>
      </c>
      <c r="Y157" s="128"/>
      <c r="Z157" s="128"/>
      <c r="AA157" s="54">
        <v>0</v>
      </c>
      <c r="AB157" s="54">
        <v>0</v>
      </c>
      <c r="AC157" s="54">
        <v>0</v>
      </c>
      <c r="AD157" s="54">
        <v>0</v>
      </c>
      <c r="AE157" s="54">
        <v>0</v>
      </c>
      <c r="AF157" s="128"/>
      <c r="AG157" s="128"/>
      <c r="AH157" s="54">
        <v>0</v>
      </c>
      <c r="AI157" s="54">
        <v>0</v>
      </c>
      <c r="AJ157" s="54">
        <v>0</v>
      </c>
      <c r="AK157" s="54">
        <v>0</v>
      </c>
      <c r="AL157" s="54">
        <v>0</v>
      </c>
      <c r="AM157" s="128"/>
      <c r="AN157" s="128"/>
      <c r="AO157" s="54">
        <v>0</v>
      </c>
      <c r="AP157" s="54">
        <v>0</v>
      </c>
      <c r="AQ157" s="54">
        <v>0</v>
      </c>
      <c r="AR157" s="54">
        <v>0</v>
      </c>
      <c r="AS157" s="54">
        <v>0</v>
      </c>
      <c r="AT157" s="128"/>
    </row>
    <row r="158" spans="1:47" outlineLevel="1">
      <c r="A158" s="237" t="s">
        <v>242</v>
      </c>
      <c r="B158" s="236" t="s">
        <v>393</v>
      </c>
      <c r="C158" s="577" t="s">
        <v>352</v>
      </c>
      <c r="D158" s="577" t="s">
        <v>76</v>
      </c>
      <c r="E158" s="577" t="s">
        <v>393</v>
      </c>
      <c r="F158" s="54">
        <v>49.216832564940013</v>
      </c>
      <c r="G158" s="54">
        <v>41.45582031067223</v>
      </c>
      <c r="H158" s="54">
        <v>41.45582031067223</v>
      </c>
      <c r="I158" s="54">
        <v>42.864599682833614</v>
      </c>
      <c r="J158" s="54">
        <v>6.3522328821063994</v>
      </c>
      <c r="K158" s="128"/>
      <c r="L158" s="128"/>
      <c r="M158" s="54">
        <v>8.5341336567872297</v>
      </c>
      <c r="N158" s="54">
        <v>5.4457067370615651</v>
      </c>
      <c r="O158" s="54">
        <v>5.4457067370615651</v>
      </c>
      <c r="P158" s="54">
        <v>0</v>
      </c>
      <c r="Q158" s="54">
        <v>0</v>
      </c>
      <c r="R158" s="128"/>
      <c r="S158" s="128"/>
      <c r="T158" s="54">
        <v>0</v>
      </c>
      <c r="U158" s="54">
        <v>0</v>
      </c>
      <c r="V158" s="54">
        <v>0</v>
      </c>
      <c r="W158" s="54">
        <v>0</v>
      </c>
      <c r="X158" s="54">
        <v>0</v>
      </c>
      <c r="Y158" s="128"/>
      <c r="Z158" s="128"/>
      <c r="AA158" s="54">
        <v>0</v>
      </c>
      <c r="AB158" s="54">
        <v>0</v>
      </c>
      <c r="AC158" s="54">
        <v>0</v>
      </c>
      <c r="AD158" s="54">
        <v>0</v>
      </c>
      <c r="AE158" s="54">
        <v>0</v>
      </c>
      <c r="AF158" s="128"/>
      <c r="AG158" s="128"/>
      <c r="AH158" s="54">
        <v>0</v>
      </c>
      <c r="AI158" s="54">
        <v>0</v>
      </c>
      <c r="AJ158" s="54">
        <v>0</v>
      </c>
      <c r="AK158" s="54">
        <v>0</v>
      </c>
      <c r="AL158" s="54">
        <v>0</v>
      </c>
      <c r="AM158" s="128"/>
      <c r="AN158" s="128"/>
      <c r="AO158" s="54">
        <v>0</v>
      </c>
      <c r="AP158" s="54">
        <v>0</v>
      </c>
      <c r="AQ158" s="54">
        <v>0</v>
      </c>
      <c r="AR158" s="54">
        <v>0</v>
      </c>
      <c r="AS158" s="54">
        <v>0</v>
      </c>
      <c r="AT158" s="128"/>
    </row>
    <row r="159" spans="1:47" outlineLevel="1">
      <c r="A159" s="237" t="s">
        <v>242</v>
      </c>
      <c r="B159" s="236" t="s">
        <v>80</v>
      </c>
      <c r="C159" s="577" t="s">
        <v>352</v>
      </c>
      <c r="D159" s="577" t="s">
        <v>76</v>
      </c>
      <c r="E159" s="577" t="s">
        <v>80</v>
      </c>
      <c r="F159" s="54">
        <v>23.542499136950184</v>
      </c>
      <c r="G159" s="54">
        <v>4.9523649797568385</v>
      </c>
      <c r="H159" s="54">
        <v>4.9523649797568385</v>
      </c>
      <c r="I159" s="54">
        <v>6.8637442851955495</v>
      </c>
      <c r="J159" s="54">
        <v>16.678754851754629</v>
      </c>
      <c r="K159" s="128"/>
      <c r="L159" s="128"/>
      <c r="M159" s="54">
        <v>10.504980870764435</v>
      </c>
      <c r="N159" s="54">
        <v>-1.6758173414034674</v>
      </c>
      <c r="O159" s="54">
        <v>-1.6758173414034674</v>
      </c>
      <c r="P159" s="54">
        <v>0</v>
      </c>
      <c r="Q159" s="54">
        <v>0</v>
      </c>
      <c r="R159" s="128"/>
      <c r="S159" s="128"/>
      <c r="T159" s="54">
        <v>0</v>
      </c>
      <c r="U159" s="54">
        <v>0</v>
      </c>
      <c r="V159" s="54">
        <v>0</v>
      </c>
      <c r="W159" s="54">
        <v>0</v>
      </c>
      <c r="X159" s="54">
        <v>0</v>
      </c>
      <c r="Y159" s="128"/>
      <c r="Z159" s="128"/>
      <c r="AA159" s="54">
        <v>0</v>
      </c>
      <c r="AB159" s="54">
        <v>0</v>
      </c>
      <c r="AC159" s="54">
        <v>0</v>
      </c>
      <c r="AD159" s="54">
        <v>0</v>
      </c>
      <c r="AE159" s="54">
        <v>0</v>
      </c>
      <c r="AF159" s="128"/>
      <c r="AG159" s="128"/>
      <c r="AH159" s="54">
        <v>0</v>
      </c>
      <c r="AI159" s="54">
        <v>0</v>
      </c>
      <c r="AJ159" s="54">
        <v>0</v>
      </c>
      <c r="AK159" s="54">
        <v>0</v>
      </c>
      <c r="AL159" s="54">
        <v>0</v>
      </c>
      <c r="AM159" s="128"/>
      <c r="AN159" s="128"/>
      <c r="AO159" s="54">
        <v>0</v>
      </c>
      <c r="AP159" s="54">
        <v>0</v>
      </c>
      <c r="AQ159" s="54">
        <v>0</v>
      </c>
      <c r="AR159" s="54">
        <v>0</v>
      </c>
      <c r="AS159" s="54">
        <v>0</v>
      </c>
      <c r="AT159" s="128"/>
    </row>
    <row r="160" spans="1:47" outlineLevel="1">
      <c r="A160" s="237" t="s">
        <v>242</v>
      </c>
      <c r="B160" s="236" t="s">
        <v>104</v>
      </c>
      <c r="C160" s="577" t="s">
        <v>352</v>
      </c>
      <c r="D160" s="577" t="s">
        <v>76</v>
      </c>
      <c r="E160" s="577" t="s">
        <v>79</v>
      </c>
      <c r="F160" s="54">
        <v>95.78791021693732</v>
      </c>
      <c r="G160" s="54">
        <v>81.155746867981506</v>
      </c>
      <c r="H160" s="54">
        <v>81.155746867981506</v>
      </c>
      <c r="I160" s="54">
        <v>85.516624648348284</v>
      </c>
      <c r="J160" s="54">
        <v>10.271285568589036</v>
      </c>
      <c r="K160" s="128"/>
      <c r="L160" s="128"/>
      <c r="M160" s="54">
        <v>17.102769764968219</v>
      </c>
      <c r="N160" s="54">
        <v>8.1956193168421443</v>
      </c>
      <c r="O160" s="54">
        <v>8.1956193168421443</v>
      </c>
      <c r="P160" s="54">
        <v>0</v>
      </c>
      <c r="Q160" s="54">
        <v>0</v>
      </c>
      <c r="R160" s="128"/>
      <c r="S160" s="128"/>
      <c r="T160" s="54">
        <v>107.9115115</v>
      </c>
      <c r="U160" s="54">
        <v>79.983684240000002</v>
      </c>
      <c r="V160" s="54">
        <v>79.983684240000002</v>
      </c>
      <c r="W160" s="54">
        <v>92.381437170000012</v>
      </c>
      <c r="X160" s="54">
        <v>15.53007433</v>
      </c>
      <c r="Y160" s="128"/>
      <c r="Z160" s="128"/>
      <c r="AA160" s="54">
        <v>19.82113511</v>
      </c>
      <c r="AB160" s="54">
        <v>11.027246129999998</v>
      </c>
      <c r="AC160" s="54">
        <v>11.027246129999998</v>
      </c>
      <c r="AD160" s="54">
        <v>11.43617471</v>
      </c>
      <c r="AE160" s="54">
        <v>8.3849604000000006</v>
      </c>
      <c r="AF160" s="128"/>
      <c r="AG160" s="128"/>
      <c r="AH160" s="54">
        <v>63.991665240000003</v>
      </c>
      <c r="AI160" s="54">
        <v>48.903975819999992</v>
      </c>
      <c r="AJ160" s="54">
        <v>48.903975819999992</v>
      </c>
      <c r="AK160" s="54">
        <v>50.382561049999993</v>
      </c>
      <c r="AL160" s="54">
        <v>13.609104189999998</v>
      </c>
      <c r="AM160" s="128"/>
      <c r="AN160" s="128"/>
      <c r="AO160" s="54">
        <v>13.658417999999999</v>
      </c>
      <c r="AP160" s="54">
        <v>5.7981992499999997</v>
      </c>
      <c r="AQ160" s="54">
        <v>5.7981992499999997</v>
      </c>
      <c r="AR160" s="54">
        <v>6.2816343000000012</v>
      </c>
      <c r="AS160" s="54">
        <v>7.3767836999999989</v>
      </c>
      <c r="AT160" s="128"/>
    </row>
    <row r="161" spans="1:46" outlineLevel="1">
      <c r="A161" s="237" t="s">
        <v>242</v>
      </c>
      <c r="B161" s="236" t="s">
        <v>105</v>
      </c>
      <c r="C161" s="577" t="s">
        <v>352</v>
      </c>
      <c r="D161" s="577" t="s">
        <v>76</v>
      </c>
      <c r="E161" s="577" t="s">
        <v>81</v>
      </c>
      <c r="F161" s="54">
        <v>217.23108931467181</v>
      </c>
      <c r="G161" s="54">
        <v>187.98700983816701</v>
      </c>
      <c r="H161" s="54">
        <v>187.98700983816701</v>
      </c>
      <c r="I161" s="54">
        <v>193.45666565801284</v>
      </c>
      <c r="J161" s="54">
        <v>23.774423656658989</v>
      </c>
      <c r="K161" s="128"/>
      <c r="L161" s="128"/>
      <c r="M161" s="54">
        <v>42.600426447097483</v>
      </c>
      <c r="N161" s="54">
        <v>26.763904163930643</v>
      </c>
      <c r="O161" s="54">
        <v>26.763904163930643</v>
      </c>
      <c r="P161" s="54">
        <v>0</v>
      </c>
      <c r="Q161" s="54">
        <v>0</v>
      </c>
      <c r="R161" s="128"/>
      <c r="S161" s="128"/>
      <c r="T161" s="54">
        <v>150.42279282000001</v>
      </c>
      <c r="U161" s="54">
        <v>117.66435407000003</v>
      </c>
      <c r="V161" s="54">
        <v>117.66435407000003</v>
      </c>
      <c r="W161" s="54">
        <v>123.8889271</v>
      </c>
      <c r="X161" s="54">
        <v>26.533865720000001</v>
      </c>
      <c r="Y161" s="128"/>
      <c r="Z161" s="128"/>
      <c r="AA161" s="54">
        <v>58.199875009999943</v>
      </c>
      <c r="AB161" s="54">
        <v>41.444722499999997</v>
      </c>
      <c r="AC161" s="54">
        <v>41.444722499999997</v>
      </c>
      <c r="AD161" s="54">
        <v>43.935741269999973</v>
      </c>
      <c r="AE161" s="54">
        <v>14.264133739999998</v>
      </c>
      <c r="AF161" s="128"/>
      <c r="AG161" s="128"/>
      <c r="AH161" s="54">
        <v>190.61495815000012</v>
      </c>
      <c r="AI161" s="54">
        <v>161.48290995999992</v>
      </c>
      <c r="AJ161" s="54">
        <v>161.48290995999992</v>
      </c>
      <c r="AK161" s="54">
        <v>167.82793827999998</v>
      </c>
      <c r="AL161" s="54">
        <v>22.787019870000002</v>
      </c>
      <c r="AM161" s="128"/>
      <c r="AN161" s="128"/>
      <c r="AO161" s="54">
        <v>67.305825560000031</v>
      </c>
      <c r="AP161" s="54">
        <v>53.213958319999989</v>
      </c>
      <c r="AQ161" s="54">
        <v>53.213958319999989</v>
      </c>
      <c r="AR161" s="54">
        <v>54.64861707</v>
      </c>
      <c r="AS161" s="54">
        <v>12.657208490000002</v>
      </c>
      <c r="AT161" s="128"/>
    </row>
    <row r="162" spans="1:46">
      <c r="A162" s="237" t="s">
        <v>242</v>
      </c>
      <c r="B162" s="236" t="s">
        <v>26</v>
      </c>
      <c r="C162" s="577" t="s">
        <v>352</v>
      </c>
      <c r="D162" s="577" t="s">
        <v>76</v>
      </c>
      <c r="E162" s="577" t="s">
        <v>82</v>
      </c>
      <c r="F162" s="54">
        <v>1055.6303034461484</v>
      </c>
      <c r="G162" s="54">
        <v>912.15869572830093</v>
      </c>
      <c r="H162" s="54">
        <v>912.15869572830093</v>
      </c>
      <c r="I162" s="54">
        <v>935.98981272536139</v>
      </c>
      <c r="J162" s="54">
        <v>119.64049072078734</v>
      </c>
      <c r="K162" s="128"/>
      <c r="L162" s="128"/>
      <c r="M162" s="54">
        <v>194.13478814262416</v>
      </c>
      <c r="N162" s="54">
        <v>110.47923470867718</v>
      </c>
      <c r="O162" s="54">
        <v>110.47923470867718</v>
      </c>
      <c r="P162" s="54">
        <v>0</v>
      </c>
      <c r="Q162" s="54">
        <v>0</v>
      </c>
      <c r="R162" s="128"/>
      <c r="S162" s="128"/>
      <c r="T162" s="54">
        <v>997.63180645999955</v>
      </c>
      <c r="U162" s="54">
        <v>828.86240998999972</v>
      </c>
      <c r="V162" s="54">
        <v>827.70641550999972</v>
      </c>
      <c r="W162" s="54">
        <v>870.66136617999996</v>
      </c>
      <c r="X162" s="54">
        <v>126.97044027999992</v>
      </c>
      <c r="Y162" s="128"/>
      <c r="Z162" s="128"/>
      <c r="AA162" s="54">
        <v>198.53636025000048</v>
      </c>
      <c r="AB162" s="54">
        <v>114.02334027000003</v>
      </c>
      <c r="AC162" s="54">
        <v>113.03084360000003</v>
      </c>
      <c r="AD162" s="54">
        <v>120.61918397000014</v>
      </c>
      <c r="AE162" s="54">
        <v>77.91717627999995</v>
      </c>
      <c r="AF162" s="128"/>
      <c r="AG162" s="128"/>
      <c r="AH162" s="54">
        <v>874.50734900999987</v>
      </c>
      <c r="AI162" s="54">
        <v>710.47117780000019</v>
      </c>
      <c r="AJ162" s="54">
        <v>708.22370475000025</v>
      </c>
      <c r="AK162" s="54">
        <v>754.19197439000015</v>
      </c>
      <c r="AL162" s="54">
        <v>120.31537462000011</v>
      </c>
      <c r="AM162" s="128"/>
      <c r="AN162" s="128"/>
      <c r="AO162" s="54">
        <v>191.35295786000017</v>
      </c>
      <c r="AP162" s="54">
        <v>110.65296499999998</v>
      </c>
      <c r="AQ162" s="54">
        <v>110.39981952999999</v>
      </c>
      <c r="AR162" s="54">
        <v>115.73059133000011</v>
      </c>
      <c r="AS162" s="54">
        <v>75.622366530000079</v>
      </c>
      <c r="AT162" s="128"/>
    </row>
    <row r="163" spans="1:46" outlineLevel="1">
      <c r="A163" s="237" t="s">
        <v>242</v>
      </c>
      <c r="B163" s="236" t="s">
        <v>235</v>
      </c>
      <c r="C163" s="577" t="s">
        <v>352</v>
      </c>
      <c r="D163" s="577" t="s">
        <v>76</v>
      </c>
      <c r="E163" s="577" t="s">
        <v>83</v>
      </c>
      <c r="F163" s="54">
        <v>253.26741553367387</v>
      </c>
      <c r="G163" s="54">
        <v>220.08894449841142</v>
      </c>
      <c r="H163" s="54">
        <v>220.08894449841142</v>
      </c>
      <c r="I163" s="54">
        <v>227.32945359737275</v>
      </c>
      <c r="J163" s="54">
        <v>25.937961936301129</v>
      </c>
      <c r="K163" s="128"/>
      <c r="L163" s="128"/>
      <c r="M163" s="54">
        <v>49.71755263577095</v>
      </c>
      <c r="N163" s="54">
        <v>30.499948586503244</v>
      </c>
      <c r="O163" s="54">
        <v>30.499948586503244</v>
      </c>
      <c r="P163" s="54">
        <v>0</v>
      </c>
      <c r="Q163" s="54">
        <v>0</v>
      </c>
      <c r="R163" s="128"/>
      <c r="S163" s="128"/>
      <c r="T163" s="54">
        <v>323.98421926000003</v>
      </c>
      <c r="U163" s="54">
        <v>279.80540629000006</v>
      </c>
      <c r="V163" s="54">
        <v>279.67105838000003</v>
      </c>
      <c r="W163" s="54">
        <v>297.27714437999998</v>
      </c>
      <c r="X163" s="54">
        <v>26.70707488</v>
      </c>
      <c r="Y163" s="128"/>
      <c r="Z163" s="128"/>
      <c r="AA163" s="54">
        <v>39.442693269999985</v>
      </c>
      <c r="AB163" s="54">
        <v>19.432055779999988</v>
      </c>
      <c r="AC163" s="54">
        <v>19.426414429999991</v>
      </c>
      <c r="AD163" s="54">
        <v>20.447851029999992</v>
      </c>
      <c r="AE163" s="54">
        <v>18.994842239999997</v>
      </c>
      <c r="AF163" s="128"/>
      <c r="AG163" s="128"/>
      <c r="AH163" s="54">
        <v>218.93719628999989</v>
      </c>
      <c r="AI163" s="54">
        <v>170.62004569999996</v>
      </c>
      <c r="AJ163" s="54">
        <v>170.52107737999998</v>
      </c>
      <c r="AK163" s="54">
        <v>190.84251122999996</v>
      </c>
      <c r="AL163" s="54">
        <v>28.094685060000007</v>
      </c>
      <c r="AM163" s="128"/>
      <c r="AN163" s="128"/>
      <c r="AO163" s="54">
        <v>40.753622580000012</v>
      </c>
      <c r="AP163" s="54">
        <v>19.775045419999994</v>
      </c>
      <c r="AQ163" s="54">
        <v>19.653219329999995</v>
      </c>
      <c r="AR163" s="54">
        <v>20.917882910000003</v>
      </c>
      <c r="AS163" s="54">
        <v>19.835739669999999</v>
      </c>
      <c r="AT163" s="128"/>
    </row>
    <row r="164" spans="1:46" outlineLevel="1">
      <c r="A164" s="237" t="s">
        <v>242</v>
      </c>
      <c r="B164" s="236" t="s">
        <v>106</v>
      </c>
      <c r="C164" s="577" t="s">
        <v>352</v>
      </c>
      <c r="D164" s="577" t="s">
        <v>76</v>
      </c>
      <c r="E164" s="577" t="s">
        <v>84</v>
      </c>
      <c r="F164" s="54">
        <v>150.48591259843769</v>
      </c>
      <c r="G164" s="54">
        <v>131.38364777801129</v>
      </c>
      <c r="H164" s="54">
        <v>131.38364777801129</v>
      </c>
      <c r="I164" s="54">
        <v>133.40287514762429</v>
      </c>
      <c r="J164" s="54">
        <v>17.083037450813425</v>
      </c>
      <c r="K164" s="128"/>
      <c r="L164" s="128"/>
      <c r="M164" s="54">
        <v>20.853088398725621</v>
      </c>
      <c r="N164" s="54">
        <v>8.4416093141792867</v>
      </c>
      <c r="O164" s="54">
        <v>8.4416093141792867</v>
      </c>
      <c r="P164" s="54">
        <v>0</v>
      </c>
      <c r="Q164" s="54">
        <v>0</v>
      </c>
      <c r="R164" s="128"/>
      <c r="S164" s="128"/>
      <c r="T164" s="54">
        <v>92.899591440000009</v>
      </c>
      <c r="U164" s="54">
        <v>72.325340350000005</v>
      </c>
      <c r="V164" s="54">
        <v>71.303693780000003</v>
      </c>
      <c r="W164" s="54">
        <v>75.060032370000016</v>
      </c>
      <c r="X164" s="54">
        <v>17.83955907</v>
      </c>
      <c r="Y164" s="128"/>
      <c r="Z164" s="128"/>
      <c r="AA164" s="54">
        <v>19.984764640000002</v>
      </c>
      <c r="AB164" s="54">
        <v>7.6592295799999999</v>
      </c>
      <c r="AC164" s="54">
        <v>6.6755385</v>
      </c>
      <c r="AD164" s="54">
        <v>8.0738650199999995</v>
      </c>
      <c r="AE164" s="54">
        <v>11.910899619999999</v>
      </c>
      <c r="AF164" s="128"/>
      <c r="AG164" s="128"/>
      <c r="AH164" s="54">
        <v>117.23755815000001</v>
      </c>
      <c r="AI164" s="54">
        <v>98.077610919999998</v>
      </c>
      <c r="AJ164" s="54">
        <v>95.934503910000004</v>
      </c>
      <c r="AK164" s="54">
        <v>100.58244037999999</v>
      </c>
      <c r="AL164" s="54">
        <v>16.655117769999997</v>
      </c>
      <c r="AM164" s="128"/>
      <c r="AN164" s="128"/>
      <c r="AO164" s="54">
        <v>22.082096589999992</v>
      </c>
      <c r="AP164" s="54">
        <v>8.6920955699999993</v>
      </c>
      <c r="AQ164" s="54">
        <v>8.5643746699999994</v>
      </c>
      <c r="AR164" s="54">
        <v>9.8131312699999977</v>
      </c>
      <c r="AS164" s="54">
        <v>12.268965320000001</v>
      </c>
      <c r="AT164" s="128"/>
    </row>
    <row r="165" spans="1:46" outlineLevel="1">
      <c r="A165" s="237" t="s">
        <v>242</v>
      </c>
      <c r="B165" s="236" t="s">
        <v>87</v>
      </c>
      <c r="C165" s="577" t="s">
        <v>352</v>
      </c>
      <c r="D165" s="577" t="s">
        <v>76</v>
      </c>
      <c r="E165" s="577" t="s">
        <v>87</v>
      </c>
      <c r="F165" s="54">
        <v>138.74440968146132</v>
      </c>
      <c r="G165" s="54">
        <v>119.29167307077358</v>
      </c>
      <c r="H165" s="54">
        <v>119.29167307077358</v>
      </c>
      <c r="I165" s="54">
        <v>122.0522512143005</v>
      </c>
      <c r="J165" s="54">
        <v>16.692158467160841</v>
      </c>
      <c r="K165" s="128"/>
      <c r="L165" s="128"/>
      <c r="M165" s="54">
        <v>23.950961550896238</v>
      </c>
      <c r="N165" s="54">
        <v>13.750782216642687</v>
      </c>
      <c r="O165" s="54">
        <v>13.750782216642687</v>
      </c>
      <c r="P165" s="54">
        <v>0</v>
      </c>
      <c r="Q165" s="54">
        <v>0</v>
      </c>
      <c r="R165" s="128"/>
      <c r="S165" s="128"/>
      <c r="T165" s="54">
        <v>136.50407745000001</v>
      </c>
      <c r="U165" s="54">
        <v>114.01638745999999</v>
      </c>
      <c r="V165" s="54">
        <v>114.01638745999999</v>
      </c>
      <c r="W165" s="54">
        <v>118.89108229000001</v>
      </c>
      <c r="X165" s="54">
        <v>17.612995160000001</v>
      </c>
      <c r="Y165" s="128"/>
      <c r="Z165" s="128"/>
      <c r="AA165" s="54">
        <v>20.929875130000003</v>
      </c>
      <c r="AB165" s="54">
        <v>8.8549865299999997</v>
      </c>
      <c r="AC165" s="54">
        <v>8.8549865299999997</v>
      </c>
      <c r="AD165" s="54">
        <v>9.4107758100000005</v>
      </c>
      <c r="AE165" s="54">
        <v>11.51909932</v>
      </c>
      <c r="AF165" s="128"/>
      <c r="AG165" s="128"/>
      <c r="AH165" s="54">
        <v>132.33029956000001</v>
      </c>
      <c r="AI165" s="54">
        <v>110.35710870000004</v>
      </c>
      <c r="AJ165" s="54">
        <v>110.35710870000004</v>
      </c>
      <c r="AK165" s="54">
        <v>114.71618853000005</v>
      </c>
      <c r="AL165" s="54">
        <v>17.614111030000004</v>
      </c>
      <c r="AM165" s="128"/>
      <c r="AN165" s="128"/>
      <c r="AO165" s="54">
        <v>20.462334820000002</v>
      </c>
      <c r="AP165" s="54">
        <v>9.7210564600000016</v>
      </c>
      <c r="AQ165" s="54">
        <v>9.7210564600000016</v>
      </c>
      <c r="AR165" s="54">
        <v>10.191184030000001</v>
      </c>
      <c r="AS165" s="54">
        <v>10.271150790000004</v>
      </c>
      <c r="AT165" s="128"/>
    </row>
    <row r="166" spans="1:46" outlineLevel="1">
      <c r="A166" s="237" t="s">
        <v>242</v>
      </c>
      <c r="B166" s="236" t="s">
        <v>107</v>
      </c>
      <c r="C166" s="577" t="s">
        <v>352</v>
      </c>
      <c r="D166" s="577" t="s">
        <v>76</v>
      </c>
      <c r="E166" s="577" t="s">
        <v>86</v>
      </c>
      <c r="F166" s="54">
        <v>104.2734201138376</v>
      </c>
      <c r="G166" s="54">
        <v>91.821707383727698</v>
      </c>
      <c r="H166" s="54">
        <v>91.821707383727698</v>
      </c>
      <c r="I166" s="54">
        <v>93.445934554173576</v>
      </c>
      <c r="J166" s="54">
        <v>10.82748555966403</v>
      </c>
      <c r="K166" s="128"/>
      <c r="L166" s="128"/>
      <c r="M166" s="54">
        <v>16.085833690583264</v>
      </c>
      <c r="N166" s="54">
        <v>8.149973195892052</v>
      </c>
      <c r="O166" s="54">
        <v>8.149973195892052</v>
      </c>
      <c r="P166" s="54">
        <v>0</v>
      </c>
      <c r="Q166" s="54">
        <v>0</v>
      </c>
      <c r="R166" s="128"/>
      <c r="S166" s="128"/>
      <c r="T166" s="54">
        <v>82.439564399999995</v>
      </c>
      <c r="U166" s="54">
        <v>67.362565329999995</v>
      </c>
      <c r="V166" s="54">
        <v>67.362565329999995</v>
      </c>
      <c r="W166" s="54">
        <v>70.193357030000001</v>
      </c>
      <c r="X166" s="54">
        <v>12.246207369999999</v>
      </c>
      <c r="Y166" s="128"/>
      <c r="Z166" s="128"/>
      <c r="AA166" s="54">
        <v>21.681963689999993</v>
      </c>
      <c r="AB166" s="54">
        <v>13.62987289</v>
      </c>
      <c r="AC166" s="54">
        <v>13.62987289</v>
      </c>
      <c r="AD166" s="54">
        <v>14.724744410000001</v>
      </c>
      <c r="AE166" s="54">
        <v>6.9572192800000003</v>
      </c>
      <c r="AF166" s="128"/>
      <c r="AG166" s="128"/>
      <c r="AH166" s="54">
        <v>55.162214249999977</v>
      </c>
      <c r="AI166" s="54">
        <v>41.500863129999985</v>
      </c>
      <c r="AJ166" s="54">
        <v>41.500863129999985</v>
      </c>
      <c r="AK166" s="54">
        <v>43.912119539999992</v>
      </c>
      <c r="AL166" s="54">
        <v>11.250094710000003</v>
      </c>
      <c r="AM166" s="128"/>
      <c r="AN166" s="128"/>
      <c r="AO166" s="54">
        <v>19.708646290000011</v>
      </c>
      <c r="AP166" s="54">
        <v>12.635527920000001</v>
      </c>
      <c r="AQ166" s="54">
        <v>12.635527920000001</v>
      </c>
      <c r="AR166" s="54">
        <v>13.041394569999998</v>
      </c>
      <c r="AS166" s="54">
        <v>6.6672517200000012</v>
      </c>
      <c r="AT166" s="128"/>
    </row>
    <row r="167" spans="1:46" outlineLevel="1">
      <c r="A167" s="237" t="s">
        <v>242</v>
      </c>
      <c r="B167" s="236" t="s">
        <v>236</v>
      </c>
      <c r="C167" s="577" t="s">
        <v>352</v>
      </c>
      <c r="D167" s="577" t="s">
        <v>76</v>
      </c>
      <c r="E167" s="577" t="s">
        <v>88</v>
      </c>
      <c r="F167" s="54">
        <v>70.751685963523641</v>
      </c>
      <c r="G167" s="54">
        <v>57.864783128288522</v>
      </c>
      <c r="H167" s="54">
        <v>57.864783128288522</v>
      </c>
      <c r="I167" s="54">
        <v>58.871749418361716</v>
      </c>
      <c r="J167" s="54">
        <v>11.879936545161929</v>
      </c>
      <c r="K167" s="128"/>
      <c r="L167" s="128"/>
      <c r="M167" s="54">
        <v>17.352297268754082</v>
      </c>
      <c r="N167" s="54">
        <v>8.5944501164382441</v>
      </c>
      <c r="O167" s="54">
        <v>8.5944501164382441</v>
      </c>
      <c r="P167" s="54">
        <v>0</v>
      </c>
      <c r="Q167" s="54">
        <v>0</v>
      </c>
      <c r="R167" s="128"/>
      <c r="S167" s="128"/>
      <c r="T167" s="54">
        <v>67.364918729999985</v>
      </c>
      <c r="U167" s="54">
        <v>52.483677639999982</v>
      </c>
      <c r="V167" s="54">
        <v>52.483677639999982</v>
      </c>
      <c r="W167" s="54">
        <v>54.367539799999989</v>
      </c>
      <c r="X167" s="54">
        <v>12.99737893</v>
      </c>
      <c r="Y167" s="128"/>
      <c r="Z167" s="128"/>
      <c r="AA167" s="54">
        <v>19.690453650000009</v>
      </c>
      <c r="AB167" s="54">
        <v>11.770230110000002</v>
      </c>
      <c r="AC167" s="54">
        <v>11.770230110000002</v>
      </c>
      <c r="AD167" s="54">
        <v>12.234084940000004</v>
      </c>
      <c r="AE167" s="54">
        <v>7.4563687099999996</v>
      </c>
      <c r="AF167" s="128"/>
      <c r="AG167" s="128"/>
      <c r="AH167" s="54">
        <v>55.36013209</v>
      </c>
      <c r="AI167" s="54">
        <v>43.178039840000004</v>
      </c>
      <c r="AJ167" s="54">
        <v>43.178039840000004</v>
      </c>
      <c r="AK167" s="54">
        <v>44.424573700000003</v>
      </c>
      <c r="AL167" s="54">
        <v>10.935558389999997</v>
      </c>
      <c r="AM167" s="128"/>
      <c r="AN167" s="128"/>
      <c r="AO167" s="54">
        <v>18.878638479999989</v>
      </c>
      <c r="AP167" s="54">
        <v>11.624436490000003</v>
      </c>
      <c r="AQ167" s="54">
        <v>11.624436490000003</v>
      </c>
      <c r="AR167" s="54">
        <v>11.778321590000003</v>
      </c>
      <c r="AS167" s="54">
        <v>7.1003168900000029</v>
      </c>
      <c r="AT167" s="128"/>
    </row>
    <row r="168" spans="1:46" outlineLevel="1">
      <c r="A168" s="237" t="s">
        <v>242</v>
      </c>
      <c r="B168" s="236" t="s">
        <v>237</v>
      </c>
      <c r="C168" s="577" t="s">
        <v>352</v>
      </c>
      <c r="D168" s="577" t="s">
        <v>76</v>
      </c>
      <c r="E168" s="577" t="s">
        <v>198</v>
      </c>
      <c r="F168" s="54">
        <v>185.39291324865022</v>
      </c>
      <c r="G168" s="54">
        <v>154.84372886420482</v>
      </c>
      <c r="H168" s="54">
        <v>154.84372886420482</v>
      </c>
      <c r="I168" s="54">
        <v>160.27357662795052</v>
      </c>
      <c r="J168" s="54">
        <v>25.119336620699698</v>
      </c>
      <c r="K168" s="128"/>
      <c r="L168" s="128"/>
      <c r="M168" s="54">
        <v>40.126699994697979</v>
      </c>
      <c r="N168" s="54">
        <v>23.944762301999706</v>
      </c>
      <c r="O168" s="54">
        <v>23.944762301999706</v>
      </c>
      <c r="P168" s="54">
        <v>0</v>
      </c>
      <c r="Q168" s="54">
        <v>0</v>
      </c>
      <c r="R168" s="128"/>
      <c r="S168" s="128"/>
      <c r="T168" s="54">
        <v>197.94012593999994</v>
      </c>
      <c r="U168" s="54">
        <v>167.18996577999999</v>
      </c>
      <c r="V168" s="54">
        <v>167.18996577999999</v>
      </c>
      <c r="W168" s="54">
        <v>173.23937879000002</v>
      </c>
      <c r="X168" s="54">
        <v>24.700747150000005</v>
      </c>
      <c r="Y168" s="128"/>
      <c r="Z168" s="128"/>
      <c r="AA168" s="54">
        <v>44.828637190000009</v>
      </c>
      <c r="AB168" s="54">
        <v>28.840189340000006</v>
      </c>
      <c r="AC168" s="54">
        <v>28.837025100000002</v>
      </c>
      <c r="AD168" s="54">
        <v>29.963262750000005</v>
      </c>
      <c r="AE168" s="54">
        <v>14.865374440000002</v>
      </c>
      <c r="AF168" s="128"/>
      <c r="AG168" s="128"/>
      <c r="AH168" s="54">
        <v>204.37450309999971</v>
      </c>
      <c r="AI168" s="54">
        <v>171.37799722999992</v>
      </c>
      <c r="AJ168" s="54">
        <v>171.37259950999993</v>
      </c>
      <c r="AK168" s="54">
        <v>181.49374620999981</v>
      </c>
      <c r="AL168" s="54">
        <v>22.880756890000026</v>
      </c>
      <c r="AM168" s="128"/>
      <c r="AN168" s="128"/>
      <c r="AO168" s="54">
        <v>33.880965320000001</v>
      </c>
      <c r="AP168" s="54">
        <v>19.685170290000006</v>
      </c>
      <c r="AQ168" s="54">
        <v>19.681571810000012</v>
      </c>
      <c r="AR168" s="54">
        <v>20.498292860000017</v>
      </c>
      <c r="AS168" s="54">
        <v>13.382672459999998</v>
      </c>
      <c r="AT168" s="128"/>
    </row>
    <row r="169" spans="1:46" outlineLevel="1">
      <c r="A169" s="237" t="s">
        <v>242</v>
      </c>
      <c r="B169" s="236" t="s">
        <v>163</v>
      </c>
      <c r="C169" s="577" t="s">
        <v>352</v>
      </c>
      <c r="D169" s="577" t="s">
        <v>76</v>
      </c>
      <c r="E169" s="577" t="s">
        <v>89</v>
      </c>
      <c r="F169" s="54">
        <v>152.71454035282491</v>
      </c>
      <c r="G169" s="54">
        <v>136.86415970701501</v>
      </c>
      <c r="H169" s="54">
        <v>136.86415970701501</v>
      </c>
      <c r="I169" s="54">
        <v>140.61392086770911</v>
      </c>
      <c r="J169" s="54">
        <v>12.10061948511583</v>
      </c>
      <c r="K169" s="128"/>
      <c r="L169" s="128"/>
      <c r="M169" s="54">
        <v>26.048327884894789</v>
      </c>
      <c r="N169" s="54">
        <v>17.097696837124001</v>
      </c>
      <c r="O169" s="54">
        <v>17.097696837124001</v>
      </c>
      <c r="P169" s="54">
        <v>0</v>
      </c>
      <c r="Q169" s="54">
        <v>0</v>
      </c>
      <c r="R169" s="128"/>
      <c r="S169" s="128"/>
      <c r="T169" s="54">
        <v>94.894620239999995</v>
      </c>
      <c r="U169" s="54">
        <v>75.679067140000015</v>
      </c>
      <c r="V169" s="54">
        <v>75.679067140000015</v>
      </c>
      <c r="W169" s="54">
        <v>81.632831520000011</v>
      </c>
      <c r="X169" s="54">
        <v>13.261788720000002</v>
      </c>
      <c r="Y169" s="128"/>
      <c r="Z169" s="128"/>
      <c r="AA169" s="54">
        <v>31.977972680000022</v>
      </c>
      <c r="AB169" s="54">
        <v>23.836776040000004</v>
      </c>
      <c r="AC169" s="54">
        <v>23.836776040000004</v>
      </c>
      <c r="AD169" s="54">
        <v>25.764600010000009</v>
      </c>
      <c r="AE169" s="54">
        <v>6.2133726699999974</v>
      </c>
      <c r="AF169" s="128"/>
      <c r="AG169" s="128"/>
      <c r="AH169" s="54">
        <v>91.064597570000075</v>
      </c>
      <c r="AI169" s="54">
        <v>75.359512280000004</v>
      </c>
      <c r="AJ169" s="54">
        <v>75.359512280000004</v>
      </c>
      <c r="AK169" s="54">
        <v>78.220394800000008</v>
      </c>
      <c r="AL169" s="54">
        <v>12.844202769999997</v>
      </c>
      <c r="AM169" s="128"/>
      <c r="AN169" s="128"/>
      <c r="AO169" s="54">
        <v>35.586653779999999</v>
      </c>
      <c r="AP169" s="54">
        <v>28.519632850000008</v>
      </c>
      <c r="AQ169" s="54">
        <v>28.519632850000008</v>
      </c>
      <c r="AR169" s="54">
        <v>29.490384100000007</v>
      </c>
      <c r="AS169" s="54">
        <v>6.0962696800000016</v>
      </c>
      <c r="AT169" s="128"/>
    </row>
    <row r="170" spans="1:46" outlineLevel="1">
      <c r="A170" s="237" t="s">
        <v>242</v>
      </c>
      <c r="B170" s="236" t="s">
        <v>404</v>
      </c>
      <c r="C170" s="577" t="s">
        <v>352</v>
      </c>
      <c r="D170" s="577" t="s">
        <v>76</v>
      </c>
      <c r="E170" s="577" t="s">
        <v>395</v>
      </c>
      <c r="F170" s="54">
        <v>0</v>
      </c>
      <c r="G170" s="54">
        <v>0</v>
      </c>
      <c r="H170" s="54">
        <v>0</v>
      </c>
      <c r="I170" s="54">
        <v>0</v>
      </c>
      <c r="J170" s="54">
        <v>0</v>
      </c>
      <c r="K170" s="128"/>
      <c r="L170" s="128"/>
      <c r="M170" s="54">
        <v>0</v>
      </c>
      <c r="N170" s="54">
        <v>0</v>
      </c>
      <c r="O170" s="54">
        <v>0</v>
      </c>
      <c r="P170" s="54">
        <v>0</v>
      </c>
      <c r="Q170" s="54">
        <v>0</v>
      </c>
      <c r="R170" s="128"/>
      <c r="S170" s="128"/>
      <c r="T170" s="54">
        <v>1.604689</v>
      </c>
      <c r="U170" s="54">
        <v>0</v>
      </c>
      <c r="V170" s="54">
        <v>0</v>
      </c>
      <c r="W170" s="54">
        <v>0</v>
      </c>
      <c r="X170" s="54">
        <v>1.604689</v>
      </c>
      <c r="Y170" s="128"/>
      <c r="Z170" s="128"/>
      <c r="AA170" s="54">
        <v>0</v>
      </c>
      <c r="AB170" s="54">
        <v>0</v>
      </c>
      <c r="AC170" s="54">
        <v>0</v>
      </c>
      <c r="AD170" s="54">
        <v>0</v>
      </c>
      <c r="AE170" s="54">
        <v>0</v>
      </c>
      <c r="AF170" s="128"/>
      <c r="AG170" s="128"/>
      <c r="AH170" s="54">
        <v>4.0848000000000051E-2</v>
      </c>
      <c r="AI170" s="54">
        <v>0</v>
      </c>
      <c r="AJ170" s="54">
        <v>0</v>
      </c>
      <c r="AK170" s="54">
        <v>0</v>
      </c>
      <c r="AL170" s="54">
        <v>4.0848000000000051E-2</v>
      </c>
      <c r="AM170" s="128"/>
      <c r="AN170" s="128"/>
      <c r="AO170" s="54">
        <v>0</v>
      </c>
      <c r="AP170" s="54">
        <v>0</v>
      </c>
      <c r="AQ170" s="54">
        <v>0</v>
      </c>
      <c r="AR170" s="54">
        <v>0</v>
      </c>
      <c r="AS170" s="54">
        <v>0</v>
      </c>
      <c r="AT170" s="128"/>
    </row>
    <row r="171" spans="1:46">
      <c r="A171" s="237" t="s">
        <v>242</v>
      </c>
      <c r="B171" s="236" t="s">
        <v>59</v>
      </c>
      <c r="C171" s="577" t="s">
        <v>352</v>
      </c>
      <c r="D171" s="577" t="s">
        <v>76</v>
      </c>
      <c r="E171" s="577" t="s">
        <v>90</v>
      </c>
      <c r="F171" s="54">
        <v>219.76523244436748</v>
      </c>
      <c r="G171" s="54">
        <v>160.53056973849192</v>
      </c>
      <c r="H171" s="54">
        <v>160.53056973849192</v>
      </c>
      <c r="I171" s="54">
        <v>169.91923797007553</v>
      </c>
      <c r="J171" s="54">
        <v>49.845994474291992</v>
      </c>
      <c r="K171" s="128"/>
      <c r="L171" s="128"/>
      <c r="M171" s="54">
        <v>69.58824611475049</v>
      </c>
      <c r="N171" s="54">
        <v>39.455970683486328</v>
      </c>
      <c r="O171" s="54">
        <v>39.455970683486328</v>
      </c>
      <c r="P171" s="54">
        <v>0</v>
      </c>
      <c r="Q171" s="54">
        <v>0</v>
      </c>
      <c r="R171" s="128"/>
      <c r="S171" s="128"/>
      <c r="T171" s="54">
        <v>226.16138405999999</v>
      </c>
      <c r="U171" s="54">
        <v>168.39179473000002</v>
      </c>
      <c r="V171" s="54">
        <v>166.48973996999999</v>
      </c>
      <c r="W171" s="54">
        <v>184.27229155000001</v>
      </c>
      <c r="X171" s="54">
        <v>41.88909250999999</v>
      </c>
      <c r="Y171" s="128"/>
      <c r="Z171" s="128"/>
      <c r="AA171" s="54">
        <v>92.165077930000024</v>
      </c>
      <c r="AB171" s="54">
        <v>58.819433749999995</v>
      </c>
      <c r="AC171" s="54">
        <v>57.728053490000001</v>
      </c>
      <c r="AD171" s="54">
        <v>62.667683580000002</v>
      </c>
      <c r="AE171" s="54">
        <v>29.497394350000015</v>
      </c>
      <c r="AF171" s="128"/>
      <c r="AG171" s="128"/>
      <c r="AH171" s="54">
        <v>220.47273929999992</v>
      </c>
      <c r="AI171" s="54">
        <v>165.64049366</v>
      </c>
      <c r="AJ171" s="54">
        <v>163.51412186000002</v>
      </c>
      <c r="AK171" s="54">
        <v>174.89286559000001</v>
      </c>
      <c r="AL171" s="54">
        <v>45.579873709999987</v>
      </c>
      <c r="AM171" s="128"/>
      <c r="AN171" s="128"/>
      <c r="AO171" s="54">
        <v>34.260569420000003</v>
      </c>
      <c r="AP171" s="54">
        <v>9.7380548799999982</v>
      </c>
      <c r="AQ171" s="54">
        <v>8.5543452599999998</v>
      </c>
      <c r="AR171" s="54">
        <v>11.129171990000001</v>
      </c>
      <c r="AS171" s="54">
        <v>23.131397430000003</v>
      </c>
      <c r="AT171" s="128"/>
    </row>
    <row r="172" spans="1:46">
      <c r="A172" s="237" t="s">
        <v>242</v>
      </c>
      <c r="B172" s="236" t="s">
        <v>34</v>
      </c>
      <c r="C172" s="577" t="s">
        <v>352</v>
      </c>
      <c r="D172" s="577" t="s">
        <v>76</v>
      </c>
      <c r="E172" s="577" t="s">
        <v>91</v>
      </c>
      <c r="F172" s="54">
        <v>310.08179458476684</v>
      </c>
      <c r="G172" s="54">
        <v>265.77663849834647</v>
      </c>
      <c r="H172" s="54">
        <v>265.77663849834647</v>
      </c>
      <c r="I172" s="54">
        <v>279.97464950724986</v>
      </c>
      <c r="J172" s="54">
        <v>30.107145077517046</v>
      </c>
      <c r="K172" s="128"/>
      <c r="L172" s="128"/>
      <c r="M172" s="54">
        <v>75.191163184751574</v>
      </c>
      <c r="N172" s="54">
        <v>55.623770230781631</v>
      </c>
      <c r="O172" s="54">
        <v>55.623770230781631</v>
      </c>
      <c r="P172" s="54">
        <v>0</v>
      </c>
      <c r="Q172" s="54">
        <v>0</v>
      </c>
      <c r="R172" s="128"/>
      <c r="S172" s="128"/>
      <c r="T172" s="54">
        <v>293.28613300000001</v>
      </c>
      <c r="U172" s="54">
        <v>234.61449634000002</v>
      </c>
      <c r="V172" s="54">
        <v>232.52592870000001</v>
      </c>
      <c r="W172" s="54">
        <v>258.46724757000004</v>
      </c>
      <c r="X172" s="54">
        <v>34.818885429999995</v>
      </c>
      <c r="Y172" s="128"/>
      <c r="Z172" s="128"/>
      <c r="AA172" s="54">
        <v>57.215341580000057</v>
      </c>
      <c r="AB172" s="54">
        <v>35.270553630000009</v>
      </c>
      <c r="AC172" s="54">
        <v>33.782867950000011</v>
      </c>
      <c r="AD172" s="54">
        <v>40.582220440000007</v>
      </c>
      <c r="AE172" s="54">
        <v>16.63312114</v>
      </c>
      <c r="AF172" s="128"/>
      <c r="AG172" s="128"/>
      <c r="AH172" s="54">
        <v>369.13376611000035</v>
      </c>
      <c r="AI172" s="54">
        <v>304.27412685000007</v>
      </c>
      <c r="AJ172" s="54">
        <v>302.2741149200001</v>
      </c>
      <c r="AK172" s="54">
        <v>336.86862963999999</v>
      </c>
      <c r="AL172" s="54">
        <v>32.265136470000002</v>
      </c>
      <c r="AM172" s="128"/>
      <c r="AN172" s="128"/>
      <c r="AO172" s="54">
        <v>58.479299260000019</v>
      </c>
      <c r="AP172" s="54">
        <v>37.76831644</v>
      </c>
      <c r="AQ172" s="54">
        <v>37.270024969999994</v>
      </c>
      <c r="AR172" s="54">
        <v>41.703073549999999</v>
      </c>
      <c r="AS172" s="54">
        <v>16.776225709999995</v>
      </c>
      <c r="AT172" s="128"/>
    </row>
    <row r="173" spans="1:46" outlineLevel="1">
      <c r="A173" s="237" t="s">
        <v>242</v>
      </c>
      <c r="B173" s="236" t="s">
        <v>407</v>
      </c>
      <c r="C173" s="577" t="s">
        <v>352</v>
      </c>
      <c r="D173" s="577" t="s">
        <v>76</v>
      </c>
      <c r="E173" s="577" t="s">
        <v>407</v>
      </c>
      <c r="F173" s="54">
        <v>94.59739659580022</v>
      </c>
      <c r="G173" s="54">
        <v>81.509564785296703</v>
      </c>
      <c r="H173" s="54">
        <v>81.509564785296703</v>
      </c>
      <c r="I173" s="54">
        <v>84.721906248585825</v>
      </c>
      <c r="J173" s="54">
        <v>9.8754903472144004</v>
      </c>
      <c r="K173" s="128"/>
      <c r="L173" s="128"/>
      <c r="M173" s="54">
        <v>21.853414716998081</v>
      </c>
      <c r="N173" s="54">
        <v>15.622357689657019</v>
      </c>
      <c r="O173" s="54">
        <v>15.622357689657019</v>
      </c>
      <c r="P173" s="54">
        <v>0</v>
      </c>
      <c r="Q173" s="54">
        <v>0</v>
      </c>
      <c r="R173" s="128"/>
      <c r="S173" s="128"/>
      <c r="T173" s="54">
        <v>67.963927940000005</v>
      </c>
      <c r="U173" s="54">
        <v>48.111085090000003</v>
      </c>
      <c r="V173" s="54">
        <v>48.111085090000003</v>
      </c>
      <c r="W173" s="54">
        <v>56.199001310000007</v>
      </c>
      <c r="X173" s="54">
        <v>11.764926629999998</v>
      </c>
      <c r="Y173" s="128"/>
      <c r="Z173" s="128"/>
      <c r="AA173" s="54">
        <v>24.97996088999999</v>
      </c>
      <c r="AB173" s="54">
        <v>17.571139559999999</v>
      </c>
      <c r="AC173" s="54">
        <v>17.571139559999999</v>
      </c>
      <c r="AD173" s="54">
        <v>19.610948270000002</v>
      </c>
      <c r="AE173" s="54">
        <v>5.3690126199999995</v>
      </c>
      <c r="AF173" s="128"/>
      <c r="AG173" s="128"/>
      <c r="AH173" s="54">
        <v>115.08087024000002</v>
      </c>
      <c r="AI173" s="54">
        <v>90.896809200000007</v>
      </c>
      <c r="AJ173" s="54">
        <v>90.896809200000007</v>
      </c>
      <c r="AK173" s="54">
        <v>104.13825859000001</v>
      </c>
      <c r="AL173" s="54">
        <v>10.942611650000002</v>
      </c>
      <c r="AM173" s="128"/>
      <c r="AN173" s="128"/>
      <c r="AO173" s="54">
        <v>21.228642349999987</v>
      </c>
      <c r="AP173" s="54">
        <v>14.623922510000003</v>
      </c>
      <c r="AQ173" s="54">
        <v>14.623922510000003</v>
      </c>
      <c r="AR173" s="54">
        <v>16.292197690000005</v>
      </c>
      <c r="AS173" s="54">
        <v>4.936444660000002</v>
      </c>
      <c r="AT173" s="128"/>
    </row>
    <row r="174" spans="1:46" outlineLevel="1">
      <c r="A174" s="237" t="s">
        <v>242</v>
      </c>
      <c r="B174" s="236" t="s">
        <v>92</v>
      </c>
      <c r="C174" s="577" t="s">
        <v>352</v>
      </c>
      <c r="D174" s="577" t="s">
        <v>76</v>
      </c>
      <c r="E174" s="577" t="s">
        <v>1179</v>
      </c>
      <c r="F174" s="54">
        <v>58.443858484271708</v>
      </c>
      <c r="G174" s="54">
        <v>50.409475305173501</v>
      </c>
      <c r="H174" s="54">
        <v>50.409475305173501</v>
      </c>
      <c r="I174" s="54">
        <v>50.988906869552636</v>
      </c>
      <c r="J174" s="54">
        <v>7.4549516147190698</v>
      </c>
      <c r="K174" s="128"/>
      <c r="L174" s="128"/>
      <c r="M174" s="54">
        <v>10.946793412005265</v>
      </c>
      <c r="N174" s="54">
        <v>7.6920582459211548</v>
      </c>
      <c r="O174" s="54">
        <v>7.6920582459211548</v>
      </c>
      <c r="P174" s="54">
        <v>0</v>
      </c>
      <c r="Q174" s="54">
        <v>0</v>
      </c>
      <c r="R174" s="128"/>
      <c r="S174" s="128"/>
      <c r="T174" s="54">
        <v>47.67019664</v>
      </c>
      <c r="U174" s="54">
        <v>37.440785379999994</v>
      </c>
      <c r="V174" s="54">
        <v>37.440785379999994</v>
      </c>
      <c r="W174" s="54">
        <v>40.635620709999991</v>
      </c>
      <c r="X174" s="54">
        <v>7.034575929999999</v>
      </c>
      <c r="Y174" s="128"/>
      <c r="Z174" s="128"/>
      <c r="AA174" s="54">
        <v>7.2582763600000009</v>
      </c>
      <c r="AB174" s="54">
        <v>3.5473135799999991</v>
      </c>
      <c r="AC174" s="54">
        <v>3.5473135799999991</v>
      </c>
      <c r="AD174" s="54">
        <v>4.13334928</v>
      </c>
      <c r="AE174" s="54">
        <v>3.12492708</v>
      </c>
      <c r="AF174" s="128"/>
      <c r="AG174" s="128"/>
      <c r="AH174" s="54">
        <v>53.677352140000011</v>
      </c>
      <c r="AI174" s="54">
        <v>41.613790580000007</v>
      </c>
      <c r="AJ174" s="54">
        <v>41.613790580000007</v>
      </c>
      <c r="AK174" s="54">
        <v>47.702470070000004</v>
      </c>
      <c r="AL174" s="54">
        <v>5.9748820699999996</v>
      </c>
      <c r="AM174" s="128"/>
      <c r="AN174" s="128"/>
      <c r="AO174" s="54">
        <v>3.3335980199999988</v>
      </c>
      <c r="AP174" s="54">
        <v>-3.5958389999999986E-2</v>
      </c>
      <c r="AQ174" s="54">
        <v>-3.5958389999999986E-2</v>
      </c>
      <c r="AR174" s="54">
        <v>1.6142610000000009E-2</v>
      </c>
      <c r="AS174" s="54">
        <v>3.3174554100000004</v>
      </c>
      <c r="AT174" s="128"/>
    </row>
    <row r="175" spans="1:46" outlineLevel="1">
      <c r="A175" s="237" t="s">
        <v>242</v>
      </c>
      <c r="B175" s="236" t="s">
        <v>408</v>
      </c>
      <c r="C175" s="577" t="s">
        <v>352</v>
      </c>
      <c r="D175" s="577" t="s">
        <v>76</v>
      </c>
      <c r="E175" s="577" t="s">
        <v>408</v>
      </c>
      <c r="F175" s="54">
        <v>43.565761639153244</v>
      </c>
      <c r="G175" s="54">
        <v>37.045612504874072</v>
      </c>
      <c r="H175" s="54">
        <v>37.045612504874072</v>
      </c>
      <c r="I175" s="54">
        <v>41.439067117454947</v>
      </c>
      <c r="J175" s="54">
        <v>2.1266945216982962</v>
      </c>
      <c r="K175" s="128"/>
      <c r="L175" s="128"/>
      <c r="M175" s="54">
        <v>11.821182676580413</v>
      </c>
      <c r="N175" s="54">
        <v>9.4926347732043812</v>
      </c>
      <c r="O175" s="54">
        <v>9.4926347732043812</v>
      </c>
      <c r="P175" s="54">
        <v>0</v>
      </c>
      <c r="Q175" s="54">
        <v>0</v>
      </c>
      <c r="R175" s="128"/>
      <c r="S175" s="128"/>
      <c r="T175" s="54">
        <v>67.076082320000012</v>
      </c>
      <c r="U175" s="54">
        <v>60.866255840000001</v>
      </c>
      <c r="V175" s="54">
        <v>60.866255840000001</v>
      </c>
      <c r="W175" s="54">
        <v>64.620204260000008</v>
      </c>
      <c r="X175" s="54">
        <v>2.4558780599999999</v>
      </c>
      <c r="Y175" s="128"/>
      <c r="Z175" s="128"/>
      <c r="AA175" s="54">
        <v>5.4959151199999994</v>
      </c>
      <c r="AB175" s="54">
        <v>3.7313196699999995</v>
      </c>
      <c r="AC175" s="54">
        <v>3.7313196699999995</v>
      </c>
      <c r="AD175" s="54">
        <v>4.1358036599999997</v>
      </c>
      <c r="AE175" s="54">
        <v>1.3601114599999997</v>
      </c>
      <c r="AF175" s="128"/>
      <c r="AG175" s="128"/>
      <c r="AH175" s="54">
        <v>31.739886880000014</v>
      </c>
      <c r="AI175" s="54">
        <v>27.360226700000009</v>
      </c>
      <c r="AJ175" s="54">
        <v>27.360226700000009</v>
      </c>
      <c r="AK175" s="54">
        <v>29.401508750000005</v>
      </c>
      <c r="AL175" s="54">
        <v>2.3383781300000006</v>
      </c>
      <c r="AM175" s="128"/>
      <c r="AN175" s="128"/>
      <c r="AO175" s="54">
        <v>13.053632420000001</v>
      </c>
      <c r="AP175" s="54">
        <v>10.536259950000002</v>
      </c>
      <c r="AQ175" s="54">
        <v>10.536259950000002</v>
      </c>
      <c r="AR175" s="54">
        <v>11.869833680000003</v>
      </c>
      <c r="AS175" s="54">
        <v>1.1837987399999998</v>
      </c>
      <c r="AT175" s="128"/>
    </row>
    <row r="176" spans="1:46" outlineLevel="1">
      <c r="A176" s="237" t="s">
        <v>242</v>
      </c>
      <c r="B176" s="236" t="s">
        <v>93</v>
      </c>
      <c r="C176" s="577" t="s">
        <v>352</v>
      </c>
      <c r="D176" s="577" t="s">
        <v>76</v>
      </c>
      <c r="E176" s="577" t="s">
        <v>93</v>
      </c>
      <c r="F176" s="54">
        <v>47.358872896059871</v>
      </c>
      <c r="G176" s="54">
        <v>40.39407625109974</v>
      </c>
      <c r="H176" s="54">
        <v>40.39407625109974</v>
      </c>
      <c r="I176" s="54">
        <v>43.491449294028364</v>
      </c>
      <c r="J176" s="54">
        <v>3.8674236020315007</v>
      </c>
      <c r="K176" s="128"/>
      <c r="L176" s="128"/>
      <c r="M176" s="54">
        <v>14.497823797533089</v>
      </c>
      <c r="N176" s="54">
        <v>11.126925991345551</v>
      </c>
      <c r="O176" s="54">
        <v>11.126925991345551</v>
      </c>
      <c r="P176" s="54">
        <v>0</v>
      </c>
      <c r="Q176" s="54">
        <v>0</v>
      </c>
      <c r="R176" s="128"/>
      <c r="S176" s="128"/>
      <c r="T176" s="54">
        <v>25.260086100000002</v>
      </c>
      <c r="U176" s="54">
        <v>19.797074519999999</v>
      </c>
      <c r="V176" s="54">
        <v>19.797074519999999</v>
      </c>
      <c r="W176" s="54">
        <v>21.830423339999999</v>
      </c>
      <c r="X176" s="54">
        <v>3.4296627600000003</v>
      </c>
      <c r="Y176" s="128"/>
      <c r="Z176" s="128"/>
      <c r="AA176" s="54">
        <v>-0.61476961000000563</v>
      </c>
      <c r="AB176" s="54">
        <v>-3.2860524200000016</v>
      </c>
      <c r="AC176" s="54">
        <v>-3.2860524200000016</v>
      </c>
      <c r="AD176" s="54">
        <v>-1.9363142500000046</v>
      </c>
      <c r="AE176" s="54">
        <v>1.3215446399999997</v>
      </c>
      <c r="AF176" s="128"/>
      <c r="AG176" s="128"/>
      <c r="AH176" s="54">
        <v>87.435807889999992</v>
      </c>
      <c r="AI176" s="54">
        <v>80.365495630000012</v>
      </c>
      <c r="AJ176" s="54">
        <v>80.365495630000012</v>
      </c>
      <c r="AK176" s="54">
        <v>85.498830870000006</v>
      </c>
      <c r="AL176" s="54">
        <v>1.9369770200000005</v>
      </c>
      <c r="AM176" s="128"/>
      <c r="AN176" s="128"/>
      <c r="AO176" s="54">
        <v>6.3126221899999999</v>
      </c>
      <c r="AP176" s="54">
        <v>5.1036275600000014</v>
      </c>
      <c r="AQ176" s="54">
        <v>5.1036275600000014</v>
      </c>
      <c r="AR176" s="54">
        <v>5.3534204399999998</v>
      </c>
      <c r="AS176" s="54">
        <v>0.95920175000000008</v>
      </c>
      <c r="AT176" s="128"/>
    </row>
    <row r="177" spans="1:46" outlineLevel="1">
      <c r="A177" s="237" t="s">
        <v>242</v>
      </c>
      <c r="B177" s="236" t="s">
        <v>238</v>
      </c>
      <c r="C177" s="577" t="s">
        <v>352</v>
      </c>
      <c r="D177" s="577" t="s">
        <v>76</v>
      </c>
      <c r="E177" s="577" t="s">
        <v>94</v>
      </c>
      <c r="F177" s="54">
        <v>72.826220326145815</v>
      </c>
      <c r="G177" s="54">
        <v>63.128262880877202</v>
      </c>
      <c r="H177" s="54">
        <v>63.128262880877202</v>
      </c>
      <c r="I177" s="54">
        <v>66.043673206602961</v>
      </c>
      <c r="J177" s="54">
        <v>6.7825471195428602</v>
      </c>
      <c r="K177" s="128"/>
      <c r="L177" s="128"/>
      <c r="M177" s="54">
        <v>17.348599257760196</v>
      </c>
      <c r="N177" s="54">
        <v>12.966454489528132</v>
      </c>
      <c r="O177" s="54">
        <v>12.966454489528132</v>
      </c>
      <c r="P177" s="54">
        <v>0</v>
      </c>
      <c r="Q177" s="54">
        <v>0</v>
      </c>
      <c r="R177" s="128"/>
      <c r="S177" s="128"/>
      <c r="T177" s="54">
        <v>85.335079999999977</v>
      </c>
      <c r="U177" s="54">
        <v>68.399295509999973</v>
      </c>
      <c r="V177" s="54">
        <v>66.31072786999998</v>
      </c>
      <c r="W177" s="54">
        <v>75.181997949999982</v>
      </c>
      <c r="X177" s="54">
        <v>10.15308205</v>
      </c>
      <c r="Y177" s="128"/>
      <c r="Z177" s="128"/>
      <c r="AA177" s="54">
        <v>20.095958819999993</v>
      </c>
      <c r="AB177" s="54">
        <v>13.706833239999996</v>
      </c>
      <c r="AC177" s="54">
        <v>12.219147559999998</v>
      </c>
      <c r="AD177" s="54">
        <v>14.638433479999996</v>
      </c>
      <c r="AE177" s="54">
        <v>5.4575253399999983</v>
      </c>
      <c r="AF177" s="128"/>
      <c r="AG177" s="128"/>
      <c r="AH177" s="54">
        <v>80.877949960000038</v>
      </c>
      <c r="AI177" s="54">
        <v>64.037804740000013</v>
      </c>
      <c r="AJ177" s="54">
        <v>62.037792810000006</v>
      </c>
      <c r="AK177" s="54">
        <v>70.127561360000016</v>
      </c>
      <c r="AL177" s="54">
        <v>10.750388599999997</v>
      </c>
      <c r="AM177" s="128"/>
      <c r="AN177" s="128"/>
      <c r="AO177" s="54">
        <v>14.550804279999999</v>
      </c>
      <c r="AP177" s="54">
        <v>7.5404648100000013</v>
      </c>
      <c r="AQ177" s="54">
        <v>7.0421733400000015</v>
      </c>
      <c r="AR177" s="54">
        <v>8.1714791300000016</v>
      </c>
      <c r="AS177" s="54">
        <v>6.3793251500000006</v>
      </c>
      <c r="AT177" s="128"/>
    </row>
    <row r="178" spans="1:46" outlineLevel="1">
      <c r="A178" s="237" t="s">
        <v>242</v>
      </c>
      <c r="B178" s="236" t="s">
        <v>419</v>
      </c>
      <c r="C178" s="577" t="s">
        <v>352</v>
      </c>
      <c r="D178" s="577" t="s">
        <v>76</v>
      </c>
      <c r="E178" s="577" t="s">
        <v>398</v>
      </c>
      <c r="F178" s="54">
        <v>-6.7100349189333404</v>
      </c>
      <c r="G178" s="54">
        <v>-6.7100349189333404</v>
      </c>
      <c r="H178" s="54">
        <v>-6.7100349189333404</v>
      </c>
      <c r="I178" s="54">
        <v>-6.7100349189333404</v>
      </c>
      <c r="J178" s="54">
        <v>0</v>
      </c>
      <c r="K178" s="128"/>
      <c r="L178" s="128"/>
      <c r="M178" s="54">
        <v>0</v>
      </c>
      <c r="N178" s="54">
        <v>0</v>
      </c>
      <c r="O178" s="54">
        <v>0</v>
      </c>
      <c r="P178" s="54">
        <v>0</v>
      </c>
      <c r="Q178" s="54">
        <v>0</v>
      </c>
      <c r="R178" s="128"/>
      <c r="S178" s="128"/>
      <c r="T178" s="54">
        <v>-1.9239999999999965E-2</v>
      </c>
      <c r="U178" s="54">
        <v>0</v>
      </c>
      <c r="V178" s="54">
        <v>0</v>
      </c>
      <c r="W178" s="54">
        <v>0</v>
      </c>
      <c r="X178" s="54">
        <v>-1.9239999999999965E-2</v>
      </c>
      <c r="Y178" s="128"/>
      <c r="Z178" s="128"/>
      <c r="AA178" s="54">
        <v>0</v>
      </c>
      <c r="AB178" s="54">
        <v>0</v>
      </c>
      <c r="AC178" s="54">
        <v>0</v>
      </c>
      <c r="AD178" s="54">
        <v>0</v>
      </c>
      <c r="AE178" s="54">
        <v>0</v>
      </c>
      <c r="AF178" s="128"/>
      <c r="AG178" s="128"/>
      <c r="AH178" s="54">
        <v>0.32189899999999994</v>
      </c>
      <c r="AI178" s="54">
        <v>0</v>
      </c>
      <c r="AJ178" s="54">
        <v>0</v>
      </c>
      <c r="AK178" s="54">
        <v>0</v>
      </c>
      <c r="AL178" s="54">
        <v>0.32189899999999994</v>
      </c>
      <c r="AM178" s="128"/>
      <c r="AN178" s="128"/>
      <c r="AO178" s="54">
        <v>0</v>
      </c>
      <c r="AP178" s="54">
        <v>0</v>
      </c>
      <c r="AQ178" s="54">
        <v>0</v>
      </c>
      <c r="AR178" s="54">
        <v>0</v>
      </c>
      <c r="AS178" s="54">
        <v>0</v>
      </c>
      <c r="AT178" s="128"/>
    </row>
    <row r="179" spans="1:46">
      <c r="A179" s="281" t="s">
        <v>259</v>
      </c>
      <c r="B179" s="282" t="s">
        <v>243</v>
      </c>
      <c r="C179" s="577" t="s">
        <v>352</v>
      </c>
      <c r="D179" s="577" t="s">
        <v>253</v>
      </c>
      <c r="E179" s="577" t="s">
        <v>74</v>
      </c>
      <c r="F179" s="54">
        <v>0</v>
      </c>
      <c r="G179" s="54">
        <v>0</v>
      </c>
      <c r="H179" s="54">
        <v>0</v>
      </c>
      <c r="I179" s="54">
        <v>0</v>
      </c>
      <c r="J179" s="54">
        <v>0</v>
      </c>
      <c r="K179" s="128"/>
      <c r="L179" s="128"/>
      <c r="M179" s="54">
        <v>0</v>
      </c>
      <c r="N179" s="54">
        <v>0</v>
      </c>
      <c r="O179" s="54">
        <v>0</v>
      </c>
      <c r="P179" s="54">
        <v>0</v>
      </c>
      <c r="Q179" s="54">
        <v>0</v>
      </c>
      <c r="R179" s="128"/>
      <c r="S179" s="128"/>
      <c r="T179" s="54">
        <v>10.25700492</v>
      </c>
      <c r="U179" s="54">
        <v>9.3691125199999998</v>
      </c>
      <c r="V179" s="54">
        <v>0</v>
      </c>
      <c r="W179" s="54">
        <v>9.3691125199999998</v>
      </c>
      <c r="X179" s="54">
        <v>0.88789239999999992</v>
      </c>
      <c r="Y179" s="128"/>
      <c r="Z179" s="128"/>
      <c r="AA179" s="54">
        <v>12.21668974</v>
      </c>
      <c r="AB179" s="54">
        <v>11.443106739999999</v>
      </c>
      <c r="AC179" s="54">
        <v>0</v>
      </c>
      <c r="AD179" s="54">
        <v>11.443106739999999</v>
      </c>
      <c r="AE179" s="54">
        <v>0.77358300000000002</v>
      </c>
      <c r="AF179" s="128"/>
      <c r="AG179" s="128"/>
      <c r="AH179" s="54">
        <v>8.8051244400000002</v>
      </c>
      <c r="AI179" s="54">
        <v>11.23809144</v>
      </c>
      <c r="AJ179" s="54">
        <v>0</v>
      </c>
      <c r="AK179" s="54">
        <v>11.23809144</v>
      </c>
      <c r="AL179" s="54">
        <v>-2.4329670000000001</v>
      </c>
      <c r="AM179" s="128"/>
      <c r="AN179" s="128"/>
      <c r="AO179" s="54">
        <v>3.5437523399999997</v>
      </c>
      <c r="AP179" s="54">
        <v>0.79809933999999982</v>
      </c>
      <c r="AQ179" s="54">
        <v>0</v>
      </c>
      <c r="AR179" s="54">
        <v>0.79809933999999982</v>
      </c>
      <c r="AS179" s="54">
        <v>2.7456529999999999</v>
      </c>
      <c r="AT179" s="128"/>
    </row>
    <row r="180" spans="1:46">
      <c r="A180" s="281"/>
      <c r="B180" s="282"/>
      <c r="C180" s="577"/>
      <c r="D180" s="577"/>
      <c r="E180" s="577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  <c r="AC180" s="128"/>
      <c r="AD180" s="128"/>
      <c r="AE180" s="128"/>
      <c r="AF180" s="128"/>
      <c r="AG180" s="128"/>
      <c r="AH180" s="128"/>
      <c r="AI180" s="128"/>
      <c r="AJ180" s="128"/>
      <c r="AK180" s="128"/>
      <c r="AL180" s="128"/>
      <c r="AM180" s="128"/>
      <c r="AN180" s="128"/>
      <c r="AO180" s="128"/>
      <c r="AP180" s="128"/>
      <c r="AQ180" s="128"/>
      <c r="AR180" s="128"/>
      <c r="AS180" s="128"/>
      <c r="AT180" s="128"/>
    </row>
    <row r="181" spans="1:46">
      <c r="B181" s="236" t="s">
        <v>194</v>
      </c>
      <c r="C181" s="577" t="s">
        <v>97</v>
      </c>
      <c r="D181" s="577" t="s">
        <v>72</v>
      </c>
      <c r="E181" s="577" t="s">
        <v>73</v>
      </c>
      <c r="F181" s="54">
        <v>5164.3958207438618</v>
      </c>
      <c r="G181" s="54">
        <v>2743.8727606266116</v>
      </c>
      <c r="H181" s="54">
        <v>2701.9326050404447</v>
      </c>
      <c r="I181" s="54">
        <v>3524.3997456924449</v>
      </c>
      <c r="J181" s="54">
        <v>1639.9960750514178</v>
      </c>
      <c r="K181" s="128"/>
      <c r="L181" s="128"/>
      <c r="M181" s="54">
        <v>1401.3319436738134</v>
      </c>
      <c r="N181" s="54">
        <v>352.57331063417263</v>
      </c>
      <c r="O181" s="54">
        <v>323.88261037188187</v>
      </c>
      <c r="P181" s="54">
        <v>0</v>
      </c>
      <c r="Q181" s="54">
        <v>0</v>
      </c>
      <c r="R181" s="128"/>
      <c r="S181" s="128"/>
      <c r="T181" s="54">
        <v>4602.7387907600041</v>
      </c>
      <c r="U181" s="54">
        <v>2230.6599689199988</v>
      </c>
      <c r="V181" s="54">
        <v>2177.6151774199989</v>
      </c>
      <c r="W181" s="54">
        <v>3090.4178996199998</v>
      </c>
      <c r="X181" s="54">
        <v>1512.3208911400015</v>
      </c>
      <c r="Y181" s="128"/>
      <c r="Z181" s="128"/>
      <c r="AA181" s="54">
        <v>1457.237851459997</v>
      </c>
      <c r="AB181" s="54">
        <v>350.5365837399998</v>
      </c>
      <c r="AC181" s="54">
        <v>317.36597678999982</v>
      </c>
      <c r="AD181" s="54">
        <v>470.36801558000025</v>
      </c>
      <c r="AE181" s="54">
        <v>986.86983588000044</v>
      </c>
      <c r="AF181" s="128"/>
      <c r="AG181" s="128"/>
      <c r="AH181" s="54">
        <v>4656.5269747900056</v>
      </c>
      <c r="AI181" s="54">
        <v>2523.0239992099991</v>
      </c>
      <c r="AJ181" s="54">
        <v>2462.6517371199993</v>
      </c>
      <c r="AK181" s="54">
        <v>3152.1918163599989</v>
      </c>
      <c r="AL181" s="54">
        <v>1504.3351584300015</v>
      </c>
      <c r="AM181" s="128"/>
      <c r="AN181" s="128"/>
      <c r="AO181" s="54">
        <v>1337.3107299900021</v>
      </c>
      <c r="AP181" s="54">
        <v>294.36760678999946</v>
      </c>
      <c r="AQ181" s="54">
        <v>270.08377870999954</v>
      </c>
      <c r="AR181" s="54">
        <v>352.17812823999958</v>
      </c>
      <c r="AS181" s="54">
        <v>985.13260174999925</v>
      </c>
      <c r="AT181" s="128"/>
    </row>
    <row r="182" spans="1:46">
      <c r="C182" s="577"/>
      <c r="D182" s="577"/>
      <c r="E182" s="577" t="s">
        <v>262</v>
      </c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  <c r="AC182" s="128"/>
      <c r="AD182" s="128"/>
      <c r="AE182" s="128"/>
      <c r="AF182" s="128"/>
      <c r="AG182" s="128"/>
      <c r="AH182" s="128"/>
      <c r="AI182" s="128"/>
      <c r="AJ182" s="128"/>
      <c r="AK182" s="128"/>
      <c r="AL182" s="128"/>
      <c r="AM182" s="128"/>
      <c r="AN182" s="128"/>
      <c r="AO182" s="128"/>
      <c r="AP182" s="128"/>
      <c r="AQ182" s="128"/>
      <c r="AR182" s="128"/>
      <c r="AS182" s="128"/>
      <c r="AT182" s="128"/>
    </row>
    <row r="183" spans="1:46">
      <c r="C183" s="577"/>
      <c r="D183" s="577"/>
      <c r="E183" s="577" t="s">
        <v>263</v>
      </c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  <c r="AC183" s="128"/>
      <c r="AD183" s="128"/>
      <c r="AE183" s="128"/>
      <c r="AF183" s="128"/>
      <c r="AG183" s="128"/>
      <c r="AH183" s="128"/>
      <c r="AI183" s="128"/>
      <c r="AJ183" s="128"/>
      <c r="AK183" s="128"/>
      <c r="AL183" s="128"/>
      <c r="AM183" s="128"/>
      <c r="AN183" s="128"/>
      <c r="AO183" s="128"/>
      <c r="AP183" s="128"/>
      <c r="AQ183" s="128"/>
      <c r="AR183" s="128"/>
      <c r="AS183" s="128"/>
      <c r="AT183" s="128"/>
    </row>
    <row r="184" spans="1:46">
      <c r="C184" s="49"/>
    </row>
    <row r="185" spans="1:46">
      <c r="C185" s="49"/>
      <c r="M185" s="1" t="s">
        <v>165</v>
      </c>
    </row>
    <row r="186" spans="1:46">
      <c r="C186" s="49"/>
      <c r="M186" s="56">
        <f>M13</f>
        <v>214.3442265261003</v>
      </c>
    </row>
    <row r="187" spans="1:46">
      <c r="C187" s="49"/>
      <c r="M187" s="56" t="e">
        <f>#REF!</f>
        <v>#REF!</v>
      </c>
    </row>
    <row r="188" spans="1:46">
      <c r="C188" s="49"/>
      <c r="M188" s="56" t="e">
        <f>#REF!-M189</f>
        <v>#REF!</v>
      </c>
    </row>
    <row r="189" spans="1:46">
      <c r="C189" s="49"/>
      <c r="M189" s="56" t="e">
        <f>#REF!</f>
        <v>#REF!</v>
      </c>
    </row>
    <row r="190" spans="1:46">
      <c r="C190" s="49"/>
      <c r="M190" s="56" t="e">
        <f>#REF!-M191</f>
        <v>#REF!</v>
      </c>
    </row>
    <row r="191" spans="1:46">
      <c r="C191" s="49"/>
      <c r="M191" s="56" t="e">
        <f>#REF!</f>
        <v>#REF!</v>
      </c>
      <c r="N191" s="56"/>
    </row>
    <row r="192" spans="1:46">
      <c r="C192" s="49"/>
      <c r="M192" s="56">
        <f>M106</f>
        <v>0</v>
      </c>
    </row>
    <row r="193" spans="2:35">
      <c r="C193" s="49"/>
      <c r="M193" s="56">
        <f>M107</f>
        <v>5.4989886218165571</v>
      </c>
    </row>
    <row r="194" spans="2:35">
      <c r="C194" s="49"/>
      <c r="M194" s="56" t="e">
        <f>#REF!</f>
        <v>#REF!</v>
      </c>
    </row>
    <row r="195" spans="2:35">
      <c r="C195" s="49"/>
      <c r="M195" s="56">
        <f>M108</f>
        <v>0</v>
      </c>
    </row>
    <row r="196" spans="2:35">
      <c r="C196" s="49"/>
      <c r="M196" s="57" t="e">
        <f>SUM(M186:M195)</f>
        <v>#REF!</v>
      </c>
    </row>
    <row r="197" spans="2:35">
      <c r="C197" s="49"/>
    </row>
    <row r="198" spans="2:35">
      <c r="C198" s="49"/>
      <c r="L198" s="207"/>
      <c r="M198" s="58" t="e">
        <f>M186+M188+M190+M194+M195</f>
        <v>#REF!</v>
      </c>
      <c r="N198" s="58">
        <f>M113</f>
        <v>617.2882800332784</v>
      </c>
      <c r="O198" s="58" t="e">
        <f>N198-M198</f>
        <v>#REF!</v>
      </c>
      <c r="P198" s="58"/>
      <c r="Q198" s="58"/>
      <c r="R198" s="58"/>
      <c r="S198" s="207"/>
      <c r="W198" s="58"/>
      <c r="X198" s="58"/>
      <c r="Y198" s="58"/>
    </row>
    <row r="199" spans="2:35">
      <c r="C199" s="49"/>
      <c r="L199" s="207"/>
      <c r="M199" s="58" t="e">
        <f>M187+M189+M191</f>
        <v>#REF!</v>
      </c>
      <c r="N199" s="58" t="e">
        <f>#REF!</f>
        <v>#REF!</v>
      </c>
      <c r="O199" s="58" t="e">
        <f>N199-M199</f>
        <v>#REF!</v>
      </c>
      <c r="P199" s="58"/>
      <c r="Q199" s="58"/>
      <c r="R199" s="58"/>
      <c r="S199" s="207"/>
      <c r="W199" s="58"/>
      <c r="X199" s="58"/>
      <c r="Y199" s="58"/>
    </row>
    <row r="200" spans="2:35">
      <c r="B200" s="236"/>
      <c r="C200" s="49"/>
      <c r="M200" s="133" t="e">
        <f>M198+M192+M193</f>
        <v>#REF!</v>
      </c>
    </row>
    <row r="201" spans="2:35">
      <c r="B201" s="236"/>
    </row>
    <row r="202" spans="2:35">
      <c r="B202" s="236"/>
      <c r="AI202" s="56" t="e">
        <f>#REF!+#REF!+#REF!</f>
        <v>#REF!</v>
      </c>
    </row>
    <row r="203" spans="2:35">
      <c r="B203" s="236"/>
      <c r="AI203" s="56" t="e">
        <f>#REF!+#REF!+#REF!</f>
        <v>#REF!</v>
      </c>
    </row>
    <row r="204" spans="2:35">
      <c r="B204" s="236"/>
      <c r="AI204" s="56" t="e">
        <f>#REF!+#REF!+#REF!</f>
        <v>#REF!</v>
      </c>
    </row>
    <row r="205" spans="2:35">
      <c r="B205" s="236"/>
      <c r="AI205" s="56" t="e">
        <f>#REF!+#REF!+#REF!</f>
        <v>#REF!</v>
      </c>
    </row>
    <row r="206" spans="2:35">
      <c r="B206" s="236"/>
    </row>
    <row r="207" spans="2:35">
      <c r="B207" s="236"/>
    </row>
    <row r="208" spans="2:35">
      <c r="B208" s="236"/>
    </row>
    <row r="209" spans="2:2">
      <c r="B209" s="236"/>
    </row>
    <row r="210" spans="2:2">
      <c r="B210" s="236"/>
    </row>
    <row r="211" spans="2:2">
      <c r="B211" s="236"/>
    </row>
    <row r="212" spans="2:2">
      <c r="B212" s="236"/>
    </row>
    <row r="213" spans="2:2">
      <c r="B213" s="236"/>
    </row>
    <row r="214" spans="2:2">
      <c r="B214" s="236"/>
    </row>
    <row r="215" spans="2:2">
      <c r="B215" s="236"/>
    </row>
    <row r="216" spans="2:2">
      <c r="B216" s="236"/>
    </row>
    <row r="217" spans="2:2">
      <c r="B217" s="236"/>
    </row>
    <row r="218" spans="2:2">
      <c r="B218" s="236"/>
    </row>
    <row r="219" spans="2:2">
      <c r="B219" s="236"/>
    </row>
    <row r="220" spans="2:2">
      <c r="B220" s="236"/>
    </row>
    <row r="221" spans="2:2">
      <c r="B221" s="236"/>
    </row>
    <row r="222" spans="2:2">
      <c r="B222" s="236"/>
    </row>
    <row r="223" spans="2:2">
      <c r="B223" s="236"/>
    </row>
    <row r="224" spans="2:2">
      <c r="B224" s="236"/>
    </row>
    <row r="225" spans="2:2">
      <c r="B225" s="236"/>
    </row>
    <row r="226" spans="2:2">
      <c r="B226" s="236"/>
    </row>
    <row r="227" spans="2:2">
      <c r="B227" s="236"/>
    </row>
    <row r="228" spans="2:2">
      <c r="B228" s="236"/>
    </row>
    <row r="229" spans="2:2">
      <c r="B229" s="236"/>
    </row>
    <row r="230" spans="2:2">
      <c r="B230" s="236"/>
    </row>
    <row r="231" spans="2:2">
      <c r="B231" s="236"/>
    </row>
    <row r="232" spans="2:2">
      <c r="B232" s="236"/>
    </row>
    <row r="233" spans="2:2">
      <c r="B233" s="236"/>
    </row>
    <row r="234" spans="2:2">
      <c r="B234" s="236"/>
    </row>
    <row r="235" spans="2:2">
      <c r="B235" s="236"/>
    </row>
    <row r="236" spans="2:2">
      <c r="B236" s="236"/>
    </row>
    <row r="237" spans="2:2">
      <c r="B237" s="236"/>
    </row>
    <row r="238" spans="2:2">
      <c r="B238" s="236" t="s">
        <v>194</v>
      </c>
    </row>
    <row r="243" spans="2:46">
      <c r="C243" s="44" t="s">
        <v>55</v>
      </c>
      <c r="E243" s="136" t="s">
        <v>73</v>
      </c>
      <c r="F243" s="56" t="e">
        <f>+#REF!-#REF!</f>
        <v>#REF!</v>
      </c>
      <c r="G243" s="56" t="e">
        <f>+#REF!-#REF!</f>
        <v>#REF!</v>
      </c>
      <c r="H243" s="56"/>
      <c r="I243" s="56" t="e">
        <f>+#REF!-#REF!</f>
        <v>#REF!</v>
      </c>
      <c r="J243" s="56"/>
      <c r="K243" s="56"/>
      <c r="L243" s="171"/>
      <c r="M243" s="56" t="e">
        <f>+#REF!-#REF!</f>
        <v>#REF!</v>
      </c>
      <c r="N243" s="56" t="e">
        <f>+#REF!-#REF!</f>
        <v>#REF!</v>
      </c>
      <c r="O243" s="56" t="e">
        <f>+#REF!-#REF!</f>
        <v>#REF!</v>
      </c>
      <c r="P243" s="56"/>
      <c r="Q243" s="56"/>
      <c r="R243" s="56"/>
      <c r="S243" s="171"/>
      <c r="T243" s="56" t="e">
        <f>+#REF!-#REF!</f>
        <v>#REF!</v>
      </c>
      <c r="U243" s="56" t="e">
        <f>+#REF!-#REF!</f>
        <v>#REF!</v>
      </c>
      <c r="V243" s="56" t="e">
        <f>+#REF!-#REF!</f>
        <v>#REF!</v>
      </c>
      <c r="W243" s="56"/>
      <c r="X243" s="56"/>
      <c r="Y243" s="56"/>
      <c r="AA243" s="56" t="e">
        <f>+#REF!-#REF!</f>
        <v>#REF!</v>
      </c>
      <c r="AB243" s="56" t="e">
        <f>+#REF!-#REF!</f>
        <v>#REF!</v>
      </c>
      <c r="AC243" s="56" t="e">
        <f>+#REF!-#REF!</f>
        <v>#REF!</v>
      </c>
      <c r="AD243" s="56"/>
      <c r="AE243" s="56"/>
      <c r="AF243" s="56"/>
      <c r="AH243" s="56" t="e">
        <f>+#REF!-#REF!</f>
        <v>#REF!</v>
      </c>
      <c r="AI243" s="56" t="e">
        <f>+#REF!-#REF!</f>
        <v>#REF!</v>
      </c>
      <c r="AJ243" s="56" t="e">
        <f>+#REF!-#REF!</f>
        <v>#REF!</v>
      </c>
      <c r="AK243" s="56"/>
      <c r="AL243" s="56"/>
      <c r="AM243" s="56"/>
      <c r="AO243" s="56" t="e">
        <f>+#REF!-#REF!</f>
        <v>#REF!</v>
      </c>
      <c r="AP243" s="56" t="e">
        <f>+#REF!-#REF!</f>
        <v>#REF!</v>
      </c>
      <c r="AQ243" s="56" t="e">
        <f>+#REF!-#REF!</f>
        <v>#REF!</v>
      </c>
      <c r="AR243" s="56"/>
      <c r="AS243" s="56"/>
      <c r="AT243" s="56"/>
    </row>
    <row r="244" spans="2:46" outlineLevel="1">
      <c r="B244" s="236" t="s">
        <v>13</v>
      </c>
      <c r="C244" s="44" t="s">
        <v>55</v>
      </c>
      <c r="E244" s="134"/>
      <c r="F244" s="56"/>
      <c r="G244" s="56"/>
      <c r="H244" s="56"/>
      <c r="I244" s="56"/>
      <c r="J244" s="56"/>
      <c r="K244" s="56"/>
      <c r="L244" s="171"/>
      <c r="M244" s="56"/>
      <c r="N244" s="56"/>
      <c r="O244" s="56"/>
      <c r="P244" s="56"/>
      <c r="Q244" s="56"/>
      <c r="R244" s="56"/>
      <c r="S244" s="171"/>
      <c r="T244" s="56"/>
      <c r="U244" s="56"/>
      <c r="V244" s="56"/>
      <c r="W244" s="56"/>
      <c r="X244" s="56"/>
      <c r="Y244" s="56"/>
      <c r="AA244" s="56"/>
      <c r="AB244" s="56"/>
      <c r="AC244" s="56"/>
      <c r="AD244" s="56"/>
      <c r="AE244" s="56"/>
      <c r="AF244" s="56"/>
      <c r="AH244" s="56"/>
      <c r="AI244" s="56"/>
      <c r="AJ244" s="56"/>
      <c r="AK244" s="56"/>
      <c r="AL244" s="56"/>
      <c r="AM244" s="56"/>
      <c r="AO244" s="56"/>
      <c r="AP244" s="56"/>
      <c r="AQ244" s="56"/>
      <c r="AR244" s="56"/>
      <c r="AS244" s="56"/>
      <c r="AT244" s="56"/>
    </row>
    <row r="245" spans="2:46" outlineLevel="1">
      <c r="B245" s="236"/>
      <c r="C245" s="44" t="s">
        <v>55</v>
      </c>
      <c r="E245" s="134"/>
      <c r="F245" s="56"/>
      <c r="G245" s="56"/>
      <c r="H245" s="56"/>
      <c r="I245" s="56"/>
      <c r="J245" s="56"/>
      <c r="K245" s="56"/>
      <c r="L245" s="171"/>
      <c r="M245" s="56"/>
      <c r="N245" s="56"/>
      <c r="O245" s="56"/>
      <c r="P245" s="56"/>
      <c r="Q245" s="56"/>
      <c r="R245" s="56"/>
      <c r="S245" s="171"/>
      <c r="T245" s="56"/>
      <c r="U245" s="56"/>
      <c r="V245" s="56"/>
      <c r="W245" s="56"/>
      <c r="X245" s="56"/>
      <c r="Y245" s="56"/>
      <c r="AA245" s="56"/>
      <c r="AB245" s="56"/>
      <c r="AC245" s="56"/>
      <c r="AD245" s="56"/>
      <c r="AE245" s="56"/>
      <c r="AF245" s="56"/>
      <c r="AH245" s="56"/>
      <c r="AI245" s="56"/>
      <c r="AJ245" s="56"/>
      <c r="AK245" s="56"/>
      <c r="AL245" s="56"/>
      <c r="AM245" s="56"/>
      <c r="AO245" s="56"/>
      <c r="AP245" s="56"/>
      <c r="AQ245" s="56"/>
      <c r="AR245" s="56"/>
      <c r="AS245" s="56"/>
      <c r="AT245" s="56"/>
    </row>
    <row r="246" spans="2:46">
      <c r="B246" s="236" t="s">
        <v>234</v>
      </c>
      <c r="C246" s="44" t="s">
        <v>55</v>
      </c>
      <c r="E246" s="129" t="s">
        <v>16</v>
      </c>
      <c r="F246" s="56" t="e">
        <f>+#REF!-#REF!</f>
        <v>#REF!</v>
      </c>
      <c r="G246" s="56" t="e">
        <f>+#REF!-#REF!</f>
        <v>#REF!</v>
      </c>
      <c r="H246" s="56"/>
      <c r="I246" s="56" t="e">
        <f>+#REF!-#REF!</f>
        <v>#REF!</v>
      </c>
      <c r="J246" s="56"/>
      <c r="K246" s="56"/>
      <c r="L246" s="171"/>
      <c r="M246" s="56" t="e">
        <f>+#REF!-#REF!</f>
        <v>#REF!</v>
      </c>
      <c r="N246" s="56" t="e">
        <f>+#REF!-#REF!</f>
        <v>#REF!</v>
      </c>
      <c r="O246" s="56" t="e">
        <f>+#REF!-#REF!</f>
        <v>#REF!</v>
      </c>
      <c r="P246" s="56"/>
      <c r="Q246" s="56"/>
      <c r="R246" s="56"/>
      <c r="S246" s="171"/>
      <c r="T246" s="56" t="e">
        <f>+#REF!-#REF!</f>
        <v>#REF!</v>
      </c>
      <c r="U246" s="56" t="e">
        <f>+#REF!-#REF!</f>
        <v>#REF!</v>
      </c>
      <c r="V246" s="56" t="e">
        <f>+#REF!-#REF!</f>
        <v>#REF!</v>
      </c>
      <c r="W246" s="56"/>
      <c r="X246" s="56"/>
      <c r="Y246" s="56"/>
      <c r="AA246" s="56" t="e">
        <f>+#REF!-#REF!</f>
        <v>#REF!</v>
      </c>
      <c r="AB246" s="56" t="e">
        <f>+#REF!-#REF!</f>
        <v>#REF!</v>
      </c>
      <c r="AC246" s="56" t="e">
        <f>+#REF!-#REF!</f>
        <v>#REF!</v>
      </c>
      <c r="AD246" s="56"/>
      <c r="AE246" s="56"/>
      <c r="AF246" s="56"/>
      <c r="AH246" s="56" t="e">
        <f>+#REF!-#REF!</f>
        <v>#REF!</v>
      </c>
      <c r="AI246" s="56" t="e">
        <f>+#REF!-#REF!</f>
        <v>#REF!</v>
      </c>
      <c r="AJ246" s="56" t="e">
        <f>+#REF!-#REF!</f>
        <v>#REF!</v>
      </c>
      <c r="AK246" s="56"/>
      <c r="AL246" s="56"/>
      <c r="AM246" s="56"/>
      <c r="AO246" s="56" t="e">
        <f>+#REF!-#REF!</f>
        <v>#REF!</v>
      </c>
      <c r="AP246" s="56" t="e">
        <f>+#REF!-#REF!</f>
        <v>#REF!</v>
      </c>
      <c r="AQ246" s="56" t="e">
        <f>+#REF!-#REF!</f>
        <v>#REF!</v>
      </c>
      <c r="AR246" s="56"/>
      <c r="AS246" s="56"/>
      <c r="AT246" s="56"/>
    </row>
    <row r="247" spans="2:46" outlineLevel="1">
      <c r="B247" s="236" t="s">
        <v>58</v>
      </c>
      <c r="C247" s="44" t="s">
        <v>55</v>
      </c>
      <c r="E247" s="130"/>
      <c r="F247" s="56"/>
      <c r="G247" s="56"/>
      <c r="H247" s="56"/>
      <c r="I247" s="56"/>
      <c r="J247" s="56"/>
      <c r="K247" s="56"/>
      <c r="L247" s="171"/>
      <c r="M247" s="56"/>
      <c r="N247" s="56"/>
      <c r="O247" s="56"/>
      <c r="P247" s="56"/>
      <c r="Q247" s="56"/>
      <c r="R247" s="56"/>
      <c r="S247" s="171"/>
      <c r="T247" s="56"/>
      <c r="U247" s="56"/>
      <c r="V247" s="56"/>
      <c r="W247" s="56"/>
      <c r="X247" s="56"/>
      <c r="Y247" s="56"/>
      <c r="AA247" s="56"/>
      <c r="AB247" s="56"/>
      <c r="AC247" s="56"/>
      <c r="AD247" s="56"/>
      <c r="AE247" s="56"/>
      <c r="AF247" s="56"/>
      <c r="AH247" s="56"/>
      <c r="AI247" s="56"/>
      <c r="AJ247" s="56"/>
      <c r="AK247" s="56"/>
      <c r="AL247" s="56"/>
      <c r="AM247" s="56"/>
      <c r="AO247" s="56"/>
      <c r="AP247" s="56"/>
      <c r="AQ247" s="56"/>
      <c r="AR247" s="56"/>
      <c r="AS247" s="56"/>
      <c r="AT247" s="56"/>
    </row>
    <row r="248" spans="2:46" outlineLevel="1">
      <c r="B248" s="236" t="s">
        <v>17</v>
      </c>
      <c r="C248" s="44" t="s">
        <v>55</v>
      </c>
      <c r="E248" s="130"/>
      <c r="F248" s="56"/>
      <c r="G248" s="56"/>
      <c r="H248" s="56"/>
      <c r="I248" s="56"/>
      <c r="J248" s="56"/>
      <c r="K248" s="56"/>
      <c r="L248" s="171"/>
      <c r="M248" s="56"/>
      <c r="N248" s="56"/>
      <c r="O248" s="56"/>
      <c r="P248" s="56"/>
      <c r="Q248" s="56"/>
      <c r="R248" s="56"/>
      <c r="S248" s="171"/>
      <c r="T248" s="56"/>
      <c r="U248" s="56"/>
      <c r="V248" s="56"/>
      <c r="W248" s="56"/>
      <c r="X248" s="56"/>
      <c r="Y248" s="56"/>
      <c r="AA248" s="56"/>
      <c r="AB248" s="56"/>
      <c r="AC248" s="56"/>
      <c r="AD248" s="56"/>
      <c r="AE248" s="56"/>
      <c r="AF248" s="56"/>
      <c r="AH248" s="56"/>
      <c r="AI248" s="56"/>
      <c r="AJ248" s="56"/>
      <c r="AK248" s="56"/>
      <c r="AL248" s="56"/>
      <c r="AM248" s="56"/>
      <c r="AO248" s="56"/>
      <c r="AP248" s="56"/>
      <c r="AQ248" s="56"/>
      <c r="AR248" s="56"/>
      <c r="AS248" s="56"/>
      <c r="AT248" s="56"/>
    </row>
    <row r="249" spans="2:46" outlineLevel="1">
      <c r="B249" s="236" t="s">
        <v>17</v>
      </c>
      <c r="C249" s="44" t="s">
        <v>55</v>
      </c>
      <c r="E249" s="130"/>
      <c r="F249" s="56"/>
      <c r="G249" s="56"/>
      <c r="H249" s="56"/>
      <c r="I249" s="56"/>
      <c r="J249" s="56"/>
      <c r="K249" s="56"/>
      <c r="L249" s="171"/>
      <c r="M249" s="56"/>
      <c r="N249" s="56"/>
      <c r="O249" s="56"/>
      <c r="P249" s="56"/>
      <c r="Q249" s="56"/>
      <c r="R249" s="56"/>
      <c r="S249" s="171"/>
      <c r="T249" s="56"/>
      <c r="U249" s="56"/>
      <c r="V249" s="56"/>
      <c r="W249" s="56"/>
      <c r="X249" s="56"/>
      <c r="Y249" s="56"/>
      <c r="AA249" s="56"/>
      <c r="AB249" s="56"/>
      <c r="AC249" s="56"/>
      <c r="AD249" s="56"/>
      <c r="AE249" s="56"/>
      <c r="AF249" s="56"/>
      <c r="AH249" s="56"/>
      <c r="AI249" s="56"/>
      <c r="AJ249" s="56"/>
      <c r="AK249" s="56"/>
      <c r="AL249" s="56"/>
      <c r="AM249" s="56"/>
      <c r="AO249" s="56"/>
      <c r="AP249" s="56"/>
      <c r="AQ249" s="56"/>
      <c r="AR249" s="56"/>
      <c r="AS249" s="56"/>
      <c r="AT249" s="56"/>
    </row>
    <row r="250" spans="2:46" outlineLevel="1">
      <c r="B250" s="236" t="s">
        <v>18</v>
      </c>
      <c r="C250" s="44" t="s">
        <v>55</v>
      </c>
      <c r="E250" s="134"/>
      <c r="F250" s="56"/>
      <c r="G250" s="56"/>
      <c r="H250" s="56"/>
      <c r="I250" s="56"/>
      <c r="J250" s="56"/>
      <c r="K250" s="56"/>
      <c r="L250" s="171"/>
      <c r="M250" s="56"/>
      <c r="N250" s="56"/>
      <c r="O250" s="56"/>
      <c r="P250" s="56"/>
      <c r="Q250" s="56"/>
      <c r="R250" s="56"/>
      <c r="S250" s="171"/>
      <c r="T250" s="56"/>
      <c r="U250" s="56"/>
      <c r="V250" s="56"/>
      <c r="W250" s="56"/>
      <c r="X250" s="56"/>
      <c r="Y250" s="56"/>
      <c r="AA250" s="56"/>
      <c r="AB250" s="56"/>
      <c r="AC250" s="56"/>
      <c r="AD250" s="56"/>
      <c r="AE250" s="56"/>
      <c r="AF250" s="56"/>
      <c r="AH250" s="56"/>
      <c r="AI250" s="56"/>
      <c r="AJ250" s="56"/>
      <c r="AK250" s="56"/>
      <c r="AL250" s="56"/>
      <c r="AM250" s="56"/>
      <c r="AO250" s="56"/>
      <c r="AP250" s="56"/>
      <c r="AQ250" s="56"/>
      <c r="AR250" s="56"/>
      <c r="AS250" s="56"/>
      <c r="AT250" s="56"/>
    </row>
    <row r="251" spans="2:46" outlineLevel="1">
      <c r="B251" s="236" t="s">
        <v>18</v>
      </c>
      <c r="C251" s="44" t="s">
        <v>55</v>
      </c>
      <c r="E251" s="136"/>
      <c r="F251" s="56"/>
      <c r="G251" s="56"/>
      <c r="H251" s="56"/>
      <c r="I251" s="56"/>
      <c r="J251" s="56"/>
      <c r="K251" s="56"/>
      <c r="L251" s="171"/>
      <c r="M251" s="56"/>
      <c r="N251" s="56"/>
      <c r="O251" s="56"/>
      <c r="P251" s="56"/>
      <c r="Q251" s="56"/>
      <c r="R251" s="56"/>
      <c r="S251" s="171"/>
      <c r="T251" s="56"/>
      <c r="U251" s="56"/>
      <c r="V251" s="56"/>
      <c r="W251" s="56"/>
      <c r="X251" s="56"/>
      <c r="Y251" s="56"/>
      <c r="AA251" s="56"/>
      <c r="AB251" s="56"/>
      <c r="AC251" s="56"/>
      <c r="AD251" s="56"/>
      <c r="AE251" s="56"/>
      <c r="AF251" s="56"/>
      <c r="AH251" s="56"/>
      <c r="AI251" s="56"/>
      <c r="AJ251" s="56"/>
      <c r="AK251" s="56"/>
      <c r="AL251" s="56"/>
      <c r="AM251" s="56"/>
      <c r="AO251" s="56"/>
      <c r="AP251" s="56"/>
      <c r="AQ251" s="56"/>
      <c r="AR251" s="56"/>
      <c r="AS251" s="56"/>
      <c r="AT251" s="56"/>
    </row>
    <row r="252" spans="2:46" outlineLevel="1">
      <c r="B252" s="236" t="s">
        <v>19</v>
      </c>
      <c r="C252" s="44" t="s">
        <v>55</v>
      </c>
      <c r="E252" s="134"/>
      <c r="F252" s="56"/>
      <c r="G252" s="56"/>
      <c r="H252" s="56"/>
      <c r="I252" s="56"/>
      <c r="J252" s="56"/>
      <c r="K252" s="56"/>
      <c r="L252" s="171"/>
      <c r="M252" s="56"/>
      <c r="N252" s="56"/>
      <c r="O252" s="56"/>
      <c r="P252" s="56"/>
      <c r="Q252" s="56"/>
      <c r="R252" s="56"/>
      <c r="S252" s="171"/>
      <c r="T252" s="56"/>
      <c r="U252" s="56"/>
      <c r="V252" s="56"/>
      <c r="W252" s="56"/>
      <c r="X252" s="56"/>
      <c r="Y252" s="56"/>
      <c r="AA252" s="56"/>
      <c r="AB252" s="56"/>
      <c r="AC252" s="56"/>
      <c r="AD252" s="56"/>
      <c r="AE252" s="56"/>
      <c r="AF252" s="56"/>
      <c r="AH252" s="56"/>
      <c r="AI252" s="56"/>
      <c r="AJ252" s="56"/>
      <c r="AK252" s="56"/>
      <c r="AL252" s="56"/>
      <c r="AM252" s="56"/>
      <c r="AO252" s="56"/>
      <c r="AP252" s="56"/>
      <c r="AQ252" s="56"/>
      <c r="AR252" s="56"/>
      <c r="AS252" s="56"/>
      <c r="AT252" s="56"/>
    </row>
    <row r="253" spans="2:46" outlineLevel="1">
      <c r="B253" s="236" t="s">
        <v>19</v>
      </c>
      <c r="C253" s="44" t="s">
        <v>55</v>
      </c>
      <c r="E253" s="130"/>
      <c r="F253" s="56"/>
      <c r="G253" s="56"/>
      <c r="H253" s="56"/>
      <c r="I253" s="56"/>
      <c r="J253" s="56"/>
      <c r="K253" s="56"/>
      <c r="L253" s="171"/>
      <c r="M253" s="56"/>
      <c r="N253" s="56"/>
      <c r="O253" s="56"/>
      <c r="P253" s="56"/>
      <c r="Q253" s="56"/>
      <c r="R253" s="56"/>
      <c r="S253" s="171"/>
      <c r="T253" s="56"/>
      <c r="U253" s="56"/>
      <c r="V253" s="56"/>
      <c r="W253" s="56"/>
      <c r="X253" s="56"/>
      <c r="Y253" s="56"/>
      <c r="AA253" s="56"/>
      <c r="AB253" s="56"/>
      <c r="AC253" s="56"/>
      <c r="AD253" s="56"/>
      <c r="AE253" s="56"/>
      <c r="AF253" s="56"/>
      <c r="AH253" s="56"/>
      <c r="AI253" s="56"/>
      <c r="AJ253" s="56"/>
      <c r="AK253" s="56"/>
      <c r="AL253" s="56"/>
      <c r="AM253" s="56"/>
      <c r="AO253" s="56"/>
      <c r="AP253" s="56"/>
      <c r="AQ253" s="56"/>
      <c r="AR253" s="56"/>
      <c r="AS253" s="56"/>
      <c r="AT253" s="56"/>
    </row>
    <row r="254" spans="2:46" outlineLevel="1">
      <c r="B254" s="236" t="s">
        <v>19</v>
      </c>
      <c r="C254" s="44" t="s">
        <v>55</v>
      </c>
      <c r="E254" s="130"/>
      <c r="F254" s="56"/>
      <c r="G254" s="56"/>
      <c r="H254" s="56"/>
      <c r="I254" s="56"/>
      <c r="J254" s="56"/>
      <c r="K254" s="56"/>
      <c r="L254" s="171"/>
      <c r="M254" s="56"/>
      <c r="N254" s="56"/>
      <c r="O254" s="56"/>
      <c r="P254" s="56"/>
      <c r="Q254" s="56"/>
      <c r="R254" s="56"/>
      <c r="S254" s="171"/>
      <c r="T254" s="56"/>
      <c r="U254" s="56"/>
      <c r="V254" s="56"/>
      <c r="W254" s="56"/>
      <c r="X254" s="56"/>
      <c r="Y254" s="56"/>
      <c r="AA254" s="56"/>
      <c r="AB254" s="56"/>
      <c r="AC254" s="56"/>
      <c r="AD254" s="56"/>
      <c r="AE254" s="56"/>
      <c r="AF254" s="56"/>
      <c r="AH254" s="56"/>
      <c r="AI254" s="56"/>
      <c r="AJ254" s="56"/>
      <c r="AK254" s="56"/>
      <c r="AL254" s="56"/>
      <c r="AM254" s="56"/>
      <c r="AO254" s="56"/>
      <c r="AP254" s="56"/>
      <c r="AQ254" s="56"/>
      <c r="AR254" s="56"/>
      <c r="AS254" s="56"/>
      <c r="AT254" s="56"/>
    </row>
    <row r="255" spans="2:46">
      <c r="B255" s="236" t="s">
        <v>19</v>
      </c>
      <c r="C255" s="44" t="s">
        <v>55</v>
      </c>
      <c r="E255" s="129" t="s">
        <v>82</v>
      </c>
      <c r="F255" s="56" t="e">
        <f>+#REF!-#REF!</f>
        <v>#REF!</v>
      </c>
      <c r="G255" s="56" t="e">
        <f>+#REF!-#REF!</f>
        <v>#REF!</v>
      </c>
      <c r="H255" s="56"/>
      <c r="I255" s="56" t="e">
        <f>+#REF!-#REF!</f>
        <v>#REF!</v>
      </c>
      <c r="J255" s="56"/>
      <c r="K255" s="56"/>
      <c r="L255" s="171"/>
      <c r="M255" s="56" t="e">
        <f>+#REF!-#REF!</f>
        <v>#REF!</v>
      </c>
      <c r="N255" s="56" t="e">
        <f>+#REF!-#REF!</f>
        <v>#REF!</v>
      </c>
      <c r="O255" s="56" t="e">
        <f>+#REF!-#REF!</f>
        <v>#REF!</v>
      </c>
      <c r="P255" s="56"/>
      <c r="Q255" s="56"/>
      <c r="R255" s="56"/>
      <c r="S255" s="171"/>
      <c r="T255" s="56" t="e">
        <f>+#REF!-#REF!</f>
        <v>#REF!</v>
      </c>
      <c r="U255" s="56" t="e">
        <f>+#REF!-#REF!</f>
        <v>#REF!</v>
      </c>
      <c r="V255" s="56" t="e">
        <f>+#REF!-#REF!</f>
        <v>#REF!</v>
      </c>
      <c r="W255" s="56"/>
      <c r="X255" s="56"/>
      <c r="Y255" s="56"/>
      <c r="AA255" s="56" t="e">
        <f>+#REF!-#REF!</f>
        <v>#REF!</v>
      </c>
      <c r="AB255" s="56" t="e">
        <f>+#REF!-#REF!</f>
        <v>#REF!</v>
      </c>
      <c r="AC255" s="56" t="e">
        <f>+#REF!-#REF!</f>
        <v>#REF!</v>
      </c>
      <c r="AD255" s="56"/>
      <c r="AE255" s="56"/>
      <c r="AF255" s="56"/>
      <c r="AH255" s="56" t="e">
        <f>+#REF!-#REF!</f>
        <v>#REF!</v>
      </c>
      <c r="AI255" s="56" t="e">
        <f>+#REF!-#REF!</f>
        <v>#REF!</v>
      </c>
      <c r="AJ255" s="56" t="e">
        <f>+#REF!-#REF!</f>
        <v>#REF!</v>
      </c>
      <c r="AK255" s="56"/>
      <c r="AL255" s="56"/>
      <c r="AM255" s="56"/>
      <c r="AO255" s="56" t="e">
        <f>+#REF!-#REF!</f>
        <v>#REF!</v>
      </c>
      <c r="AP255" s="56" t="e">
        <f>+#REF!-#REF!</f>
        <v>#REF!</v>
      </c>
      <c r="AQ255" s="56" t="e">
        <f>+#REF!-#REF!</f>
        <v>#REF!</v>
      </c>
      <c r="AR255" s="56"/>
      <c r="AS255" s="56"/>
      <c r="AT255" s="56"/>
    </row>
    <row r="256" spans="2:46" outlineLevel="1">
      <c r="B256" s="236" t="s">
        <v>19</v>
      </c>
      <c r="C256" s="44" t="s">
        <v>55</v>
      </c>
      <c r="E256" s="136"/>
      <c r="F256" s="56"/>
      <c r="G256" s="56"/>
      <c r="H256" s="56"/>
      <c r="I256" s="56"/>
      <c r="J256" s="56"/>
      <c r="K256" s="56"/>
      <c r="L256" s="171"/>
      <c r="M256" s="56"/>
      <c r="N256" s="56"/>
      <c r="O256" s="56"/>
      <c r="P256" s="56"/>
      <c r="Q256" s="56"/>
      <c r="R256" s="56"/>
      <c r="S256" s="171"/>
      <c r="T256" s="56"/>
      <c r="U256" s="56"/>
      <c r="V256" s="56"/>
      <c r="W256" s="56"/>
      <c r="X256" s="56"/>
      <c r="Y256" s="56"/>
      <c r="AA256" s="56"/>
      <c r="AB256" s="56"/>
      <c r="AC256" s="56"/>
      <c r="AD256" s="56"/>
      <c r="AE256" s="56"/>
      <c r="AF256" s="56"/>
      <c r="AH256" s="56"/>
      <c r="AI256" s="56"/>
      <c r="AJ256" s="56"/>
      <c r="AK256" s="56"/>
      <c r="AL256" s="56"/>
      <c r="AM256" s="56"/>
      <c r="AO256" s="56"/>
      <c r="AP256" s="56"/>
      <c r="AQ256" s="56"/>
      <c r="AR256" s="56"/>
      <c r="AS256" s="56"/>
      <c r="AT256" s="56"/>
    </row>
    <row r="257" spans="2:46" outlineLevel="1">
      <c r="B257" s="236" t="s">
        <v>77</v>
      </c>
      <c r="C257" s="44" t="s">
        <v>55</v>
      </c>
      <c r="E257" s="136"/>
      <c r="F257" s="56"/>
      <c r="G257" s="56"/>
      <c r="H257" s="56"/>
      <c r="I257" s="56"/>
      <c r="J257" s="56"/>
      <c r="K257" s="56"/>
      <c r="L257" s="171"/>
      <c r="M257" s="56"/>
      <c r="N257" s="56"/>
      <c r="O257" s="56"/>
      <c r="P257" s="56"/>
      <c r="Q257" s="56"/>
      <c r="R257" s="56"/>
      <c r="S257" s="171"/>
      <c r="T257" s="56"/>
      <c r="U257" s="56"/>
      <c r="V257" s="56"/>
      <c r="W257" s="56"/>
      <c r="X257" s="56"/>
      <c r="Y257" s="56"/>
      <c r="AA257" s="56"/>
      <c r="AB257" s="56"/>
      <c r="AC257" s="56"/>
      <c r="AD257" s="56"/>
      <c r="AE257" s="56"/>
      <c r="AF257" s="56"/>
      <c r="AH257" s="56"/>
      <c r="AI257" s="56"/>
      <c r="AJ257" s="56"/>
      <c r="AK257" s="56"/>
      <c r="AL257" s="56"/>
      <c r="AM257" s="56"/>
      <c r="AO257" s="56"/>
      <c r="AP257" s="56"/>
      <c r="AQ257" s="56"/>
      <c r="AR257" s="56"/>
      <c r="AS257" s="56"/>
      <c r="AT257" s="56"/>
    </row>
    <row r="258" spans="2:46" outlineLevel="1">
      <c r="B258" s="236" t="s">
        <v>77</v>
      </c>
      <c r="C258" s="44" t="s">
        <v>55</v>
      </c>
      <c r="E258" s="136"/>
      <c r="F258" s="56"/>
      <c r="G258" s="56"/>
      <c r="H258" s="56"/>
      <c r="I258" s="56"/>
      <c r="J258" s="56"/>
      <c r="K258" s="56"/>
      <c r="L258" s="171"/>
      <c r="M258" s="56"/>
      <c r="N258" s="56"/>
      <c r="O258" s="56"/>
      <c r="P258" s="56"/>
      <c r="Q258" s="56"/>
      <c r="R258" s="56"/>
      <c r="S258" s="171"/>
      <c r="T258" s="56"/>
      <c r="U258" s="56"/>
      <c r="V258" s="56"/>
      <c r="W258" s="56"/>
      <c r="X258" s="56"/>
      <c r="Y258" s="56"/>
      <c r="AA258" s="56"/>
      <c r="AB258" s="56"/>
      <c r="AC258" s="56"/>
      <c r="AD258" s="56"/>
      <c r="AE258" s="56"/>
      <c r="AF258" s="56"/>
      <c r="AH258" s="56"/>
      <c r="AI258" s="56"/>
      <c r="AJ258" s="56"/>
      <c r="AK258" s="56"/>
      <c r="AL258" s="56"/>
      <c r="AM258" s="56"/>
      <c r="AO258" s="56"/>
      <c r="AP258" s="56"/>
      <c r="AQ258" s="56"/>
      <c r="AR258" s="56"/>
      <c r="AS258" s="56"/>
      <c r="AT258" s="56"/>
    </row>
    <row r="259" spans="2:46" outlineLevel="1">
      <c r="B259" s="236" t="s">
        <v>78</v>
      </c>
      <c r="C259" s="44" t="s">
        <v>55</v>
      </c>
      <c r="E259" s="136"/>
      <c r="F259" s="56"/>
      <c r="G259" s="56"/>
      <c r="H259" s="56"/>
      <c r="I259" s="56"/>
      <c r="J259" s="56"/>
      <c r="K259" s="56"/>
      <c r="L259" s="171"/>
      <c r="M259" s="56"/>
      <c r="N259" s="56"/>
      <c r="O259" s="56"/>
      <c r="P259" s="56"/>
      <c r="Q259" s="56"/>
      <c r="R259" s="56"/>
      <c r="S259" s="171"/>
      <c r="T259" s="56"/>
      <c r="U259" s="56"/>
      <c r="V259" s="56"/>
      <c r="W259" s="56"/>
      <c r="X259" s="56"/>
      <c r="Y259" s="56"/>
      <c r="AA259" s="56"/>
      <c r="AB259" s="56"/>
      <c r="AC259" s="56"/>
      <c r="AD259" s="56"/>
      <c r="AE259" s="56"/>
      <c r="AF259" s="56"/>
      <c r="AH259" s="56"/>
      <c r="AI259" s="56"/>
      <c r="AJ259" s="56"/>
      <c r="AK259" s="56"/>
      <c r="AL259" s="56"/>
      <c r="AM259" s="56"/>
      <c r="AO259" s="56"/>
      <c r="AP259" s="56"/>
      <c r="AQ259" s="56"/>
      <c r="AR259" s="56"/>
      <c r="AS259" s="56"/>
      <c r="AT259" s="56"/>
    </row>
    <row r="260" spans="2:46" outlineLevel="1">
      <c r="B260" s="236" t="s">
        <v>78</v>
      </c>
      <c r="C260" s="44" t="s">
        <v>55</v>
      </c>
      <c r="E260" s="136"/>
      <c r="F260" s="56"/>
      <c r="G260" s="56"/>
      <c r="H260" s="56"/>
      <c r="I260" s="56"/>
      <c r="J260" s="56"/>
      <c r="K260" s="56"/>
      <c r="L260" s="171"/>
      <c r="M260" s="56"/>
      <c r="N260" s="56"/>
      <c r="O260" s="56"/>
      <c r="P260" s="56"/>
      <c r="Q260" s="56"/>
      <c r="R260" s="56"/>
      <c r="S260" s="171"/>
      <c r="T260" s="56"/>
      <c r="U260" s="56"/>
      <c r="V260" s="56"/>
      <c r="W260" s="56"/>
      <c r="X260" s="56"/>
      <c r="Y260" s="56"/>
      <c r="AA260" s="56"/>
      <c r="AB260" s="56"/>
      <c r="AC260" s="56"/>
      <c r="AD260" s="56"/>
      <c r="AE260" s="56"/>
      <c r="AF260" s="56"/>
      <c r="AH260" s="56"/>
      <c r="AI260" s="56"/>
      <c r="AJ260" s="56"/>
      <c r="AK260" s="56"/>
      <c r="AL260" s="56"/>
      <c r="AM260" s="56"/>
      <c r="AO260" s="56"/>
      <c r="AP260" s="56"/>
      <c r="AQ260" s="56"/>
      <c r="AR260" s="56"/>
      <c r="AS260" s="56"/>
      <c r="AT260" s="56"/>
    </row>
    <row r="261" spans="2:46" outlineLevel="1">
      <c r="B261" s="236" t="s">
        <v>78</v>
      </c>
      <c r="C261" s="44" t="s">
        <v>55</v>
      </c>
      <c r="E261" s="136"/>
      <c r="F261" s="56"/>
      <c r="G261" s="56"/>
      <c r="H261" s="56"/>
      <c r="I261" s="56"/>
      <c r="J261" s="56"/>
      <c r="K261" s="56"/>
      <c r="L261" s="171"/>
      <c r="M261" s="56"/>
      <c r="N261" s="56"/>
      <c r="O261" s="56"/>
      <c r="P261" s="56"/>
      <c r="Q261" s="56"/>
      <c r="R261" s="56"/>
      <c r="S261" s="171"/>
      <c r="T261" s="56"/>
      <c r="U261" s="56"/>
      <c r="V261" s="56"/>
      <c r="W261" s="56"/>
      <c r="X261" s="56"/>
      <c r="Y261" s="56"/>
      <c r="AA261" s="56"/>
      <c r="AB261" s="56"/>
      <c r="AC261" s="56"/>
      <c r="AD261" s="56"/>
      <c r="AE261" s="56"/>
      <c r="AF261" s="56"/>
      <c r="AH261" s="56"/>
      <c r="AI261" s="56"/>
      <c r="AJ261" s="56"/>
      <c r="AK261" s="56"/>
      <c r="AL261" s="56"/>
      <c r="AM261" s="56"/>
      <c r="AO261" s="56"/>
      <c r="AP261" s="56"/>
      <c r="AQ261" s="56"/>
      <c r="AR261" s="56"/>
      <c r="AS261" s="56"/>
      <c r="AT261" s="56"/>
    </row>
    <row r="262" spans="2:46" outlineLevel="1">
      <c r="B262" s="236" t="s">
        <v>78</v>
      </c>
      <c r="C262" s="44" t="s">
        <v>55</v>
      </c>
      <c r="E262" s="136"/>
      <c r="F262" s="56"/>
      <c r="G262" s="56"/>
      <c r="H262" s="56"/>
      <c r="I262" s="56"/>
      <c r="J262" s="56"/>
      <c r="K262" s="56"/>
      <c r="L262" s="171"/>
      <c r="M262" s="56"/>
      <c r="N262" s="56"/>
      <c r="O262" s="56"/>
      <c r="P262" s="56"/>
      <c r="Q262" s="56"/>
      <c r="R262" s="56"/>
      <c r="S262" s="171"/>
      <c r="T262" s="56"/>
      <c r="U262" s="56"/>
      <c r="V262" s="56"/>
      <c r="W262" s="56"/>
      <c r="X262" s="56"/>
      <c r="Y262" s="56"/>
      <c r="AA262" s="56"/>
      <c r="AB262" s="56"/>
      <c r="AC262" s="56"/>
      <c r="AD262" s="56"/>
      <c r="AE262" s="56"/>
      <c r="AF262" s="56"/>
      <c r="AH262" s="56"/>
      <c r="AI262" s="56"/>
      <c r="AJ262" s="56"/>
      <c r="AK262" s="56"/>
      <c r="AL262" s="56"/>
      <c r="AM262" s="56"/>
      <c r="AO262" s="56"/>
      <c r="AP262" s="56"/>
      <c r="AQ262" s="56"/>
      <c r="AR262" s="56"/>
      <c r="AS262" s="56"/>
      <c r="AT262" s="56"/>
    </row>
    <row r="263" spans="2:46" outlineLevel="1">
      <c r="B263" s="236" t="s">
        <v>393</v>
      </c>
      <c r="C263" s="44" t="s">
        <v>55</v>
      </c>
      <c r="E263" s="136"/>
      <c r="F263" s="56"/>
      <c r="G263" s="56"/>
      <c r="H263" s="56"/>
      <c r="I263" s="56"/>
      <c r="J263" s="56"/>
      <c r="K263" s="56"/>
      <c r="L263" s="171"/>
      <c r="M263" s="56"/>
      <c r="N263" s="56"/>
      <c r="O263" s="56"/>
      <c r="P263" s="56"/>
      <c r="Q263" s="56"/>
      <c r="R263" s="56"/>
      <c r="S263" s="171"/>
      <c r="T263" s="56"/>
      <c r="U263" s="56"/>
      <c r="V263" s="56"/>
      <c r="W263" s="56"/>
      <c r="X263" s="56"/>
      <c r="Y263" s="56"/>
      <c r="AA263" s="56"/>
      <c r="AB263" s="56"/>
      <c r="AC263" s="56"/>
      <c r="AD263" s="56"/>
      <c r="AE263" s="56"/>
      <c r="AF263" s="56"/>
      <c r="AH263" s="56"/>
      <c r="AI263" s="56"/>
      <c r="AJ263" s="56"/>
      <c r="AK263" s="56"/>
      <c r="AL263" s="56"/>
      <c r="AM263" s="56"/>
      <c r="AO263" s="56"/>
      <c r="AP263" s="56"/>
      <c r="AQ263" s="56"/>
      <c r="AR263" s="56"/>
      <c r="AS263" s="56"/>
      <c r="AT263" s="56"/>
    </row>
    <row r="264" spans="2:46">
      <c r="B264" s="236" t="s">
        <v>393</v>
      </c>
      <c r="C264" s="44" t="s">
        <v>55</v>
      </c>
      <c r="E264" s="129" t="s">
        <v>90</v>
      </c>
      <c r="F264" s="56" t="e">
        <f>+#REF!-#REF!</f>
        <v>#REF!</v>
      </c>
      <c r="G264" s="56" t="e">
        <f>+#REF!-#REF!</f>
        <v>#REF!</v>
      </c>
      <c r="H264" s="56"/>
      <c r="I264" s="56" t="e">
        <f>+#REF!-#REF!</f>
        <v>#REF!</v>
      </c>
      <c r="J264" s="56"/>
      <c r="K264" s="56"/>
      <c r="L264" s="171"/>
      <c r="M264" s="56" t="e">
        <f>+#REF!-#REF!</f>
        <v>#REF!</v>
      </c>
      <c r="N264" s="56" t="e">
        <f>+#REF!-#REF!</f>
        <v>#REF!</v>
      </c>
      <c r="O264" s="56" t="e">
        <f>+#REF!-#REF!</f>
        <v>#REF!</v>
      </c>
      <c r="P264" s="56"/>
      <c r="Q264" s="56"/>
      <c r="R264" s="56"/>
      <c r="S264" s="171"/>
      <c r="T264" s="56" t="e">
        <f>+#REF!-#REF!</f>
        <v>#REF!</v>
      </c>
      <c r="U264" s="56" t="e">
        <f>+#REF!-#REF!</f>
        <v>#REF!</v>
      </c>
      <c r="V264" s="56" t="e">
        <f>+#REF!-#REF!</f>
        <v>#REF!</v>
      </c>
      <c r="W264" s="56"/>
      <c r="X264" s="56"/>
      <c r="Y264" s="56"/>
      <c r="AA264" s="56" t="e">
        <f>+#REF!-#REF!</f>
        <v>#REF!</v>
      </c>
      <c r="AB264" s="56" t="e">
        <f>+#REF!-#REF!</f>
        <v>#REF!</v>
      </c>
      <c r="AC264" s="56" t="e">
        <f>+#REF!-#REF!</f>
        <v>#REF!</v>
      </c>
      <c r="AD264" s="56"/>
      <c r="AE264" s="56"/>
      <c r="AF264" s="56"/>
      <c r="AH264" s="56" t="e">
        <f>+#REF!-#REF!</f>
        <v>#REF!</v>
      </c>
      <c r="AI264" s="56" t="e">
        <f>+#REF!-#REF!</f>
        <v>#REF!</v>
      </c>
      <c r="AJ264" s="56" t="e">
        <f>+#REF!-#REF!</f>
        <v>#REF!</v>
      </c>
      <c r="AK264" s="56"/>
      <c r="AL264" s="56"/>
      <c r="AM264" s="56"/>
      <c r="AO264" s="56" t="e">
        <f>+#REF!-#REF!</f>
        <v>#REF!</v>
      </c>
      <c r="AP264" s="56" t="e">
        <f>+#REF!-#REF!</f>
        <v>#REF!</v>
      </c>
      <c r="AQ264" s="56" t="e">
        <f>+#REF!-#REF!</f>
        <v>#REF!</v>
      </c>
      <c r="AR264" s="56"/>
      <c r="AS264" s="56"/>
      <c r="AT264" s="56"/>
    </row>
    <row r="265" spans="2:46">
      <c r="B265" s="236" t="s">
        <v>393</v>
      </c>
      <c r="C265" s="44" t="s">
        <v>55</v>
      </c>
      <c r="E265" s="129" t="s">
        <v>91</v>
      </c>
      <c r="F265" s="56" t="e">
        <f>+#REF!-#REF!</f>
        <v>#REF!</v>
      </c>
      <c r="G265" s="56" t="e">
        <f>+#REF!-#REF!</f>
        <v>#REF!</v>
      </c>
      <c r="H265" s="56"/>
      <c r="I265" s="56" t="e">
        <f>+#REF!-#REF!</f>
        <v>#REF!</v>
      </c>
      <c r="J265" s="56"/>
      <c r="K265" s="56"/>
      <c r="L265" s="171"/>
      <c r="M265" s="56" t="e">
        <f>+#REF!-#REF!</f>
        <v>#REF!</v>
      </c>
      <c r="N265" s="56" t="e">
        <f>+#REF!-#REF!</f>
        <v>#REF!</v>
      </c>
      <c r="O265" s="56" t="e">
        <f>+#REF!-#REF!</f>
        <v>#REF!</v>
      </c>
      <c r="P265" s="56"/>
      <c r="Q265" s="56"/>
      <c r="R265" s="56"/>
      <c r="S265" s="171"/>
      <c r="T265" s="56" t="e">
        <f>+#REF!-#REF!</f>
        <v>#REF!</v>
      </c>
      <c r="U265" s="56" t="e">
        <f>+#REF!-#REF!</f>
        <v>#REF!</v>
      </c>
      <c r="V265" s="56" t="e">
        <f>+#REF!-#REF!</f>
        <v>#REF!</v>
      </c>
      <c r="W265" s="56"/>
      <c r="X265" s="56"/>
      <c r="Y265" s="56"/>
      <c r="AA265" s="56" t="e">
        <f>+#REF!-#REF!</f>
        <v>#REF!</v>
      </c>
      <c r="AB265" s="56" t="e">
        <f>+#REF!-#REF!</f>
        <v>#REF!</v>
      </c>
      <c r="AC265" s="56" t="e">
        <f>+#REF!-#REF!</f>
        <v>#REF!</v>
      </c>
      <c r="AD265" s="56"/>
      <c r="AE265" s="56"/>
      <c r="AF265" s="56"/>
      <c r="AH265" s="56" t="e">
        <f>+#REF!-#REF!</f>
        <v>#REF!</v>
      </c>
      <c r="AI265" s="56" t="e">
        <f>+#REF!-#REF!</f>
        <v>#REF!</v>
      </c>
      <c r="AJ265" s="56" t="e">
        <f>+#REF!-#REF!</f>
        <v>#REF!</v>
      </c>
      <c r="AK265" s="56"/>
      <c r="AL265" s="56"/>
      <c r="AM265" s="56"/>
      <c r="AO265" s="56" t="e">
        <f>+#REF!-#REF!</f>
        <v>#REF!</v>
      </c>
      <c r="AP265" s="56" t="e">
        <f>+#REF!-#REF!</f>
        <v>#REF!</v>
      </c>
      <c r="AQ265" s="56" t="e">
        <f>+#REF!-#REF!</f>
        <v>#REF!</v>
      </c>
      <c r="AR265" s="56"/>
      <c r="AS265" s="56"/>
      <c r="AT265" s="56"/>
    </row>
    <row r="266" spans="2:46" outlineLevel="1">
      <c r="B266" s="236" t="s">
        <v>80</v>
      </c>
      <c r="C266" s="44" t="s">
        <v>55</v>
      </c>
      <c r="E266" s="130"/>
      <c r="F266" s="56"/>
      <c r="G266" s="56"/>
      <c r="H266" s="56"/>
      <c r="I266" s="56"/>
      <c r="J266" s="56"/>
      <c r="K266" s="56"/>
      <c r="L266" s="171"/>
      <c r="M266" s="56"/>
      <c r="N266" s="56"/>
      <c r="O266" s="56"/>
      <c r="P266" s="56"/>
      <c r="Q266" s="56"/>
      <c r="R266" s="56"/>
      <c r="S266" s="171"/>
      <c r="T266" s="56"/>
      <c r="U266" s="56"/>
      <c r="V266" s="56"/>
      <c r="W266" s="56"/>
      <c r="X266" s="56"/>
      <c r="Y266" s="56"/>
      <c r="AA266" s="56"/>
      <c r="AB266" s="56"/>
      <c r="AC266" s="56"/>
      <c r="AD266" s="56"/>
      <c r="AE266" s="56"/>
      <c r="AF266" s="56"/>
      <c r="AH266" s="56"/>
      <c r="AI266" s="56"/>
      <c r="AJ266" s="56"/>
      <c r="AK266" s="56"/>
      <c r="AL266" s="56"/>
      <c r="AM266" s="56"/>
      <c r="AO266" s="56"/>
      <c r="AP266" s="56"/>
      <c r="AQ266" s="56"/>
      <c r="AR266" s="56"/>
      <c r="AS266" s="56"/>
      <c r="AT266" s="56"/>
    </row>
    <row r="267" spans="2:46" outlineLevel="1">
      <c r="B267" s="236" t="s">
        <v>104</v>
      </c>
      <c r="C267" s="44" t="s">
        <v>55</v>
      </c>
      <c r="E267" s="130"/>
      <c r="F267" s="56"/>
      <c r="G267" s="56"/>
      <c r="H267" s="56"/>
      <c r="I267" s="56"/>
      <c r="J267" s="56"/>
      <c r="K267" s="56"/>
      <c r="L267" s="171"/>
      <c r="M267" s="56"/>
      <c r="N267" s="56"/>
      <c r="O267" s="56"/>
      <c r="P267" s="56"/>
      <c r="Q267" s="56"/>
      <c r="R267" s="56"/>
      <c r="S267" s="171"/>
      <c r="T267" s="56"/>
      <c r="U267" s="56"/>
      <c r="V267" s="56"/>
      <c r="W267" s="56"/>
      <c r="X267" s="56"/>
      <c r="Y267" s="56"/>
      <c r="AA267" s="56"/>
      <c r="AB267" s="56"/>
      <c r="AC267" s="56"/>
      <c r="AD267" s="56"/>
      <c r="AE267" s="56"/>
      <c r="AF267" s="56"/>
      <c r="AH267" s="56"/>
      <c r="AI267" s="56"/>
      <c r="AJ267" s="56"/>
      <c r="AK267" s="56"/>
      <c r="AL267" s="56"/>
      <c r="AM267" s="56"/>
      <c r="AO267" s="56"/>
      <c r="AP267" s="56"/>
      <c r="AQ267" s="56"/>
      <c r="AR267" s="56"/>
      <c r="AS267" s="56"/>
      <c r="AT267" s="56"/>
    </row>
    <row r="268" spans="2:46" outlineLevel="1">
      <c r="B268" s="236" t="s">
        <v>105</v>
      </c>
      <c r="C268" s="44" t="s">
        <v>55</v>
      </c>
      <c r="E268" s="130"/>
      <c r="F268" s="56"/>
      <c r="G268" s="56"/>
      <c r="H268" s="56"/>
      <c r="I268" s="56"/>
      <c r="J268" s="56"/>
      <c r="K268" s="56"/>
      <c r="L268" s="171"/>
      <c r="M268" s="56"/>
      <c r="N268" s="56"/>
      <c r="O268" s="56"/>
      <c r="P268" s="56"/>
      <c r="Q268" s="56"/>
      <c r="R268" s="56"/>
      <c r="S268" s="171"/>
      <c r="T268" s="56"/>
      <c r="U268" s="56"/>
      <c r="V268" s="56"/>
      <c r="W268" s="56"/>
      <c r="X268" s="56"/>
      <c r="Y268" s="56"/>
      <c r="AA268" s="56"/>
      <c r="AB268" s="56"/>
      <c r="AC268" s="56"/>
      <c r="AD268" s="56"/>
      <c r="AE268" s="56"/>
      <c r="AF268" s="56"/>
      <c r="AH268" s="56"/>
      <c r="AI268" s="56"/>
      <c r="AJ268" s="56"/>
      <c r="AK268" s="56"/>
      <c r="AL268" s="56"/>
      <c r="AM268" s="56"/>
      <c r="AO268" s="56"/>
      <c r="AP268" s="56"/>
      <c r="AQ268" s="56"/>
      <c r="AR268" s="56"/>
      <c r="AS268" s="56"/>
      <c r="AT268" s="56"/>
    </row>
    <row r="269" spans="2:46">
      <c r="B269" s="236" t="s">
        <v>26</v>
      </c>
      <c r="F269" s="163" t="e">
        <f>SUM(F265,F264,F255,F246)-F243</f>
        <v>#REF!</v>
      </c>
      <c r="G269" s="163" t="e">
        <f>SUM(G265,G264,G255,G246)-G243</f>
        <v>#REF!</v>
      </c>
      <c r="H269" s="163"/>
      <c r="I269" s="163" t="e">
        <f>SUM(I265,I264,I255,I246)-I243</f>
        <v>#REF!</v>
      </c>
      <c r="J269" s="163"/>
      <c r="K269" s="163"/>
      <c r="L269" s="163"/>
      <c r="M269" s="163" t="e">
        <f>SUM(M265,M264,M255,M246)-M243</f>
        <v>#REF!</v>
      </c>
      <c r="N269" s="163" t="e">
        <f>SUM(N265,N264,N255,N246)-N243</f>
        <v>#REF!</v>
      </c>
      <c r="O269" s="163" t="e">
        <f>SUM(O265,O264,O255,O246)-O243</f>
        <v>#REF!</v>
      </c>
      <c r="P269" s="163"/>
      <c r="Q269" s="163"/>
      <c r="R269" s="163"/>
      <c r="S269" s="163"/>
      <c r="T269" s="163" t="e">
        <f>SUM(T265,T264,T255,T246)-T243</f>
        <v>#REF!</v>
      </c>
      <c r="U269" s="163" t="e">
        <f>SUM(U265,U264,U255,U246)-U243</f>
        <v>#REF!</v>
      </c>
      <c r="V269" s="163" t="e">
        <f>SUM(V265,V264,V255,V246)-V243</f>
        <v>#REF!</v>
      </c>
      <c r="W269" s="163"/>
      <c r="X269" s="163"/>
      <c r="Y269" s="163"/>
      <c r="Z269" s="163"/>
      <c r="AA269" s="163" t="e">
        <f>SUM(AA265,AA264,AA255,AA246)-AA243</f>
        <v>#REF!</v>
      </c>
      <c r="AB269" s="163" t="e">
        <f>SUM(AB265,AB264,AB255,AB246)-AB243</f>
        <v>#REF!</v>
      </c>
      <c r="AC269" s="163" t="e">
        <f>SUM(AC265,AC264,AC255,AC246)-AC243</f>
        <v>#REF!</v>
      </c>
      <c r="AD269" s="163"/>
      <c r="AE269" s="163"/>
      <c r="AF269" s="163"/>
      <c r="AG269" s="163"/>
      <c r="AH269" s="163" t="e">
        <f>SUM(AH265,AH264,AH255,AH246)-AH243</f>
        <v>#REF!</v>
      </c>
      <c r="AI269" s="163" t="e">
        <f>SUM(AI265,AI264,AI255,AI246)-AI243</f>
        <v>#REF!</v>
      </c>
      <c r="AJ269" s="163" t="e">
        <f>SUM(AJ265,AJ264,AJ255,AJ246)-AJ243</f>
        <v>#REF!</v>
      </c>
      <c r="AK269" s="163"/>
      <c r="AL269" s="163"/>
      <c r="AM269" s="163"/>
      <c r="AN269" s="163"/>
      <c r="AO269" s="163" t="e">
        <f>SUM(AO265,AO264,AO255,AO246)-AO243</f>
        <v>#REF!</v>
      </c>
      <c r="AP269" s="163" t="e">
        <f>SUM(AP265,AP264,AP255,AP246)-AP243</f>
        <v>#REF!</v>
      </c>
      <c r="AQ269" s="163" t="e">
        <f>SUM(AQ265,AQ264,AQ255,AQ246)-AQ243</f>
        <v>#REF!</v>
      </c>
      <c r="AR269" s="163"/>
      <c r="AS269" s="163"/>
      <c r="AT269" s="163"/>
    </row>
    <row r="270" spans="2:46">
      <c r="B270" s="236" t="s">
        <v>235</v>
      </c>
      <c r="C270" s="44" t="s">
        <v>56</v>
      </c>
      <c r="E270" s="136" t="s">
        <v>73</v>
      </c>
      <c r="F270" s="56">
        <f>+F76</f>
        <v>794.91777760591413</v>
      </c>
      <c r="G270" s="56">
        <f>+G76</f>
        <v>773.69798672589206</v>
      </c>
      <c r="H270" s="56"/>
      <c r="I270" s="56">
        <f>+I76</f>
        <v>774.03780766589205</v>
      </c>
      <c r="J270" s="56"/>
      <c r="K270" s="56"/>
      <c r="L270" s="171"/>
      <c r="M270" s="56">
        <f>+M76</f>
        <v>175.90813672256027</v>
      </c>
      <c r="N270" s="56">
        <f>+N76</f>
        <v>167.67700184803351</v>
      </c>
      <c r="O270" s="56">
        <f>+O76</f>
        <v>167.67700184803351</v>
      </c>
      <c r="P270" s="56"/>
      <c r="Q270" s="56"/>
      <c r="R270" s="56"/>
      <c r="S270" s="171"/>
      <c r="T270" s="56">
        <f>+T76</f>
        <v>898.29541471000016</v>
      </c>
      <c r="U270" s="56">
        <f>+U76</f>
        <v>876.35022674000015</v>
      </c>
      <c r="V270" s="56">
        <f>+V76</f>
        <v>868.55276931000003</v>
      </c>
      <c r="W270" s="56"/>
      <c r="X270" s="56"/>
      <c r="Y270" s="56"/>
      <c r="AA270" s="56">
        <f>+AA76</f>
        <v>164.14044792000004</v>
      </c>
      <c r="AB270" s="56">
        <f>+AB76</f>
        <v>158.08758937999997</v>
      </c>
      <c r="AC270" s="56">
        <f>+AC76</f>
        <v>153.19900975999997</v>
      </c>
      <c r="AD270" s="56"/>
      <c r="AE270" s="56"/>
      <c r="AF270" s="56"/>
      <c r="AH270" s="56">
        <f>+AH76</f>
        <v>782.11219581000034</v>
      </c>
      <c r="AI270" s="56">
        <f>+AI76</f>
        <v>763.05857506000018</v>
      </c>
      <c r="AJ270" s="56">
        <f>+AJ76</f>
        <v>748.71549826</v>
      </c>
      <c r="AK270" s="56"/>
      <c r="AL270" s="56"/>
      <c r="AM270" s="56"/>
      <c r="AO270" s="56">
        <f>+AO76</f>
        <v>111.33268476999999</v>
      </c>
      <c r="AP270" s="56">
        <f>+AP76</f>
        <v>105.26336952000003</v>
      </c>
      <c r="AQ270" s="56">
        <f>+AQ76</f>
        <v>102.63996255000002</v>
      </c>
      <c r="AR270" s="56"/>
      <c r="AS270" s="56"/>
      <c r="AT270" s="56"/>
    </row>
    <row r="271" spans="2:46" outlineLevel="1">
      <c r="B271" s="236" t="s">
        <v>106</v>
      </c>
      <c r="C271" s="44" t="s">
        <v>56</v>
      </c>
      <c r="E271" s="134" t="s">
        <v>74</v>
      </c>
      <c r="F271" s="56"/>
      <c r="G271" s="56"/>
      <c r="H271" s="56"/>
      <c r="I271" s="56"/>
      <c r="J271" s="56"/>
      <c r="K271" s="56"/>
      <c r="L271" s="171"/>
      <c r="M271" s="56"/>
      <c r="N271" s="56"/>
      <c r="O271" s="56"/>
      <c r="P271" s="56"/>
      <c r="Q271" s="56"/>
      <c r="R271" s="56"/>
      <c r="S271" s="171"/>
      <c r="T271" s="56"/>
      <c r="U271" s="56"/>
      <c r="V271" s="56"/>
      <c r="W271" s="56"/>
      <c r="X271" s="56"/>
      <c r="Y271" s="56"/>
      <c r="AA271" s="56"/>
      <c r="AB271" s="56"/>
      <c r="AC271" s="56"/>
      <c r="AD271" s="56"/>
      <c r="AE271" s="56"/>
      <c r="AF271" s="56"/>
      <c r="AH271" s="56"/>
      <c r="AI271" s="56"/>
      <c r="AJ271" s="56"/>
      <c r="AK271" s="56"/>
      <c r="AL271" s="56"/>
      <c r="AM271" s="56"/>
      <c r="AO271" s="56"/>
      <c r="AP271" s="56"/>
      <c r="AQ271" s="56"/>
      <c r="AR271" s="56"/>
      <c r="AS271" s="56"/>
      <c r="AT271" s="56"/>
    </row>
    <row r="272" spans="2:46" outlineLevel="1">
      <c r="B272" s="236" t="s">
        <v>87</v>
      </c>
      <c r="C272" s="44" t="s">
        <v>56</v>
      </c>
      <c r="E272" s="134" t="s">
        <v>75</v>
      </c>
      <c r="F272" s="56"/>
      <c r="G272" s="56"/>
      <c r="H272" s="56"/>
      <c r="I272" s="56"/>
      <c r="J272" s="56"/>
      <c r="K272" s="56"/>
      <c r="L272" s="171"/>
      <c r="M272" s="56"/>
      <c r="N272" s="56"/>
      <c r="O272" s="56"/>
      <c r="P272" s="56"/>
      <c r="Q272" s="56"/>
      <c r="R272" s="56"/>
      <c r="S272" s="171"/>
      <c r="T272" s="56"/>
      <c r="U272" s="56"/>
      <c r="V272" s="56"/>
      <c r="W272" s="56"/>
      <c r="X272" s="56"/>
      <c r="Y272" s="56"/>
      <c r="AA272" s="56"/>
      <c r="AB272" s="56"/>
      <c r="AC272" s="56"/>
      <c r="AD272" s="56"/>
      <c r="AE272" s="56"/>
      <c r="AF272" s="56"/>
      <c r="AH272" s="56"/>
      <c r="AI272" s="56"/>
      <c r="AJ272" s="56"/>
      <c r="AK272" s="56"/>
      <c r="AL272" s="56"/>
      <c r="AM272" s="56"/>
      <c r="AO272" s="56"/>
      <c r="AP272" s="56"/>
      <c r="AQ272" s="56"/>
      <c r="AR272" s="56"/>
      <c r="AS272" s="56"/>
      <c r="AT272" s="56"/>
    </row>
    <row r="273" spans="2:46">
      <c r="B273" s="236" t="s">
        <v>107</v>
      </c>
      <c r="C273" s="44" t="s">
        <v>56</v>
      </c>
      <c r="E273" s="129" t="s">
        <v>16</v>
      </c>
      <c r="F273" s="56" t="e">
        <f>+#REF!-#REF!</f>
        <v>#REF!</v>
      </c>
      <c r="G273" s="56" t="e">
        <f>+#REF!-#REF!</f>
        <v>#REF!</v>
      </c>
      <c r="H273" s="56"/>
      <c r="I273" s="56" t="e">
        <f>+#REF!-#REF!</f>
        <v>#REF!</v>
      </c>
      <c r="J273" s="56"/>
      <c r="K273" s="56"/>
      <c r="L273" s="171"/>
      <c r="M273" s="56" t="e">
        <f>+#REF!-#REF!</f>
        <v>#REF!</v>
      </c>
      <c r="N273" s="56" t="e">
        <f>+#REF!-#REF!</f>
        <v>#REF!</v>
      </c>
      <c r="O273" s="56" t="e">
        <f>+#REF!-#REF!</f>
        <v>#REF!</v>
      </c>
      <c r="P273" s="56"/>
      <c r="Q273" s="56"/>
      <c r="R273" s="56"/>
      <c r="S273" s="171"/>
      <c r="T273" s="56" t="e">
        <f>+#REF!-#REF!</f>
        <v>#REF!</v>
      </c>
      <c r="U273" s="56" t="e">
        <f>+#REF!-#REF!</f>
        <v>#REF!</v>
      </c>
      <c r="V273" s="56" t="e">
        <f>+#REF!-#REF!</f>
        <v>#REF!</v>
      </c>
      <c r="W273" s="56"/>
      <c r="X273" s="56"/>
      <c r="Y273" s="56"/>
      <c r="AA273" s="56" t="e">
        <f>+#REF!-#REF!</f>
        <v>#REF!</v>
      </c>
      <c r="AB273" s="56" t="e">
        <f>+#REF!-#REF!</f>
        <v>#REF!</v>
      </c>
      <c r="AC273" s="56" t="e">
        <f>+#REF!-#REF!</f>
        <v>#REF!</v>
      </c>
      <c r="AD273" s="56"/>
      <c r="AE273" s="56"/>
      <c r="AF273" s="56"/>
      <c r="AH273" s="56" t="e">
        <f>+#REF!-#REF!</f>
        <v>#REF!</v>
      </c>
      <c r="AI273" s="56" t="e">
        <f>+#REF!-#REF!</f>
        <v>#REF!</v>
      </c>
      <c r="AJ273" s="56" t="e">
        <f>+#REF!-#REF!</f>
        <v>#REF!</v>
      </c>
      <c r="AK273" s="56"/>
      <c r="AL273" s="56"/>
      <c r="AM273" s="56"/>
      <c r="AO273" s="56" t="e">
        <f>+#REF!-#REF!</f>
        <v>#REF!</v>
      </c>
      <c r="AP273" s="56" t="e">
        <f>+#REF!-#REF!</f>
        <v>#REF!</v>
      </c>
      <c r="AQ273" s="56" t="e">
        <f>+#REF!-#REF!</f>
        <v>#REF!</v>
      </c>
      <c r="AR273" s="56"/>
      <c r="AS273" s="56"/>
      <c r="AT273" s="56"/>
    </row>
    <row r="274" spans="2:46" outlineLevel="1">
      <c r="B274" s="236" t="s">
        <v>236</v>
      </c>
      <c r="C274" s="44" t="s">
        <v>56</v>
      </c>
      <c r="E274" s="130" t="s">
        <v>17</v>
      </c>
      <c r="F274" s="56"/>
      <c r="G274" s="56"/>
      <c r="H274" s="56"/>
      <c r="I274" s="56"/>
      <c r="J274" s="56"/>
      <c r="K274" s="56"/>
      <c r="L274" s="171"/>
      <c r="M274" s="56"/>
      <c r="N274" s="56"/>
      <c r="O274" s="56"/>
      <c r="P274" s="56"/>
      <c r="Q274" s="56"/>
      <c r="R274" s="56"/>
      <c r="S274" s="171"/>
      <c r="T274" s="56"/>
      <c r="U274" s="56"/>
      <c r="V274" s="56"/>
      <c r="W274" s="56"/>
      <c r="X274" s="56"/>
      <c r="Y274" s="56"/>
      <c r="AA274" s="56"/>
      <c r="AB274" s="56"/>
      <c r="AC274" s="56"/>
      <c r="AD274" s="56"/>
      <c r="AE274" s="56"/>
      <c r="AF274" s="56"/>
      <c r="AH274" s="56"/>
      <c r="AI274" s="56"/>
      <c r="AJ274" s="56"/>
      <c r="AK274" s="56"/>
      <c r="AL274" s="56"/>
      <c r="AM274" s="56"/>
      <c r="AO274" s="56"/>
      <c r="AP274" s="56"/>
      <c r="AQ274" s="56"/>
      <c r="AR274" s="56"/>
      <c r="AS274" s="56"/>
      <c r="AT274" s="56"/>
    </row>
    <row r="275" spans="2:46" outlineLevel="1">
      <c r="B275" s="236" t="s">
        <v>237</v>
      </c>
      <c r="C275" s="44" t="s">
        <v>56</v>
      </c>
      <c r="E275" s="130" t="s">
        <v>18</v>
      </c>
      <c r="F275" s="56"/>
      <c r="G275" s="56"/>
      <c r="H275" s="56"/>
      <c r="I275" s="56"/>
      <c r="J275" s="56"/>
      <c r="K275" s="56"/>
      <c r="L275" s="171"/>
      <c r="M275" s="56"/>
      <c r="N275" s="56"/>
      <c r="O275" s="56"/>
      <c r="P275" s="56"/>
      <c r="Q275" s="56"/>
      <c r="R275" s="56"/>
      <c r="S275" s="171"/>
      <c r="T275" s="56"/>
      <c r="U275" s="56"/>
      <c r="V275" s="56"/>
      <c r="W275" s="56"/>
      <c r="X275" s="56"/>
      <c r="Y275" s="56"/>
      <c r="AA275" s="56"/>
      <c r="AB275" s="56"/>
      <c r="AC275" s="56"/>
      <c r="AD275" s="56"/>
      <c r="AE275" s="56"/>
      <c r="AF275" s="56"/>
      <c r="AH275" s="56"/>
      <c r="AI275" s="56"/>
      <c r="AJ275" s="56"/>
      <c r="AK275" s="56"/>
      <c r="AL275" s="56"/>
      <c r="AM275" s="56"/>
      <c r="AO275" s="56"/>
      <c r="AP275" s="56"/>
      <c r="AQ275" s="56"/>
      <c r="AR275" s="56"/>
      <c r="AS275" s="56"/>
      <c r="AT275" s="56"/>
    </row>
    <row r="276" spans="2:46" outlineLevel="1">
      <c r="B276" s="236" t="s">
        <v>163</v>
      </c>
      <c r="C276" s="44" t="s">
        <v>56</v>
      </c>
      <c r="E276" s="130" t="s">
        <v>19</v>
      </c>
      <c r="F276" s="56"/>
      <c r="G276" s="56"/>
      <c r="H276" s="56"/>
      <c r="I276" s="56"/>
      <c r="J276" s="56"/>
      <c r="K276" s="56"/>
      <c r="L276" s="171"/>
      <c r="M276" s="56"/>
      <c r="N276" s="56"/>
      <c r="O276" s="56"/>
      <c r="P276" s="56"/>
      <c r="Q276" s="56"/>
      <c r="R276" s="56"/>
      <c r="S276" s="171"/>
      <c r="T276" s="56"/>
      <c r="U276" s="56"/>
      <c r="V276" s="56"/>
      <c r="W276" s="56"/>
      <c r="X276" s="56"/>
      <c r="Y276" s="56"/>
      <c r="AA276" s="56"/>
      <c r="AB276" s="56"/>
      <c r="AC276" s="56"/>
      <c r="AD276" s="56"/>
      <c r="AE276" s="56"/>
      <c r="AF276" s="56"/>
      <c r="AH276" s="56"/>
      <c r="AI276" s="56"/>
      <c r="AJ276" s="56"/>
      <c r="AK276" s="56"/>
      <c r="AL276" s="56"/>
      <c r="AM276" s="56"/>
      <c r="AO276" s="56"/>
      <c r="AP276" s="56"/>
      <c r="AQ276" s="56"/>
      <c r="AR276" s="56"/>
      <c r="AS276" s="56"/>
      <c r="AT276" s="56"/>
    </row>
    <row r="277" spans="2:46" outlineLevel="1">
      <c r="B277" s="236" t="s">
        <v>404</v>
      </c>
      <c r="C277" s="44" t="s">
        <v>56</v>
      </c>
      <c r="E277" s="134" t="s">
        <v>77</v>
      </c>
      <c r="F277" s="56"/>
      <c r="G277" s="56"/>
      <c r="H277" s="56"/>
      <c r="I277" s="56"/>
      <c r="J277" s="56"/>
      <c r="K277" s="56"/>
      <c r="L277" s="171"/>
      <c r="M277" s="56"/>
      <c r="N277" s="56"/>
      <c r="O277" s="56"/>
      <c r="P277" s="56"/>
      <c r="Q277" s="56"/>
      <c r="R277" s="56"/>
      <c r="S277" s="171"/>
      <c r="T277" s="56"/>
      <c r="U277" s="56"/>
      <c r="V277" s="56"/>
      <c r="W277" s="56"/>
      <c r="X277" s="56"/>
      <c r="Y277" s="56"/>
      <c r="AA277" s="56"/>
      <c r="AB277" s="56"/>
      <c r="AC277" s="56"/>
      <c r="AD277" s="56"/>
      <c r="AE277" s="56"/>
      <c r="AF277" s="56"/>
      <c r="AH277" s="56"/>
      <c r="AI277" s="56"/>
      <c r="AJ277" s="56"/>
      <c r="AK277" s="56"/>
      <c r="AL277" s="56"/>
      <c r="AM277" s="56"/>
      <c r="AO277" s="56"/>
      <c r="AP277" s="56"/>
      <c r="AQ277" s="56"/>
      <c r="AR277" s="56"/>
      <c r="AS277" s="56"/>
      <c r="AT277" s="56"/>
    </row>
    <row r="278" spans="2:46" outlineLevel="1">
      <c r="B278" s="236" t="s">
        <v>59</v>
      </c>
      <c r="C278" s="44" t="s">
        <v>56</v>
      </c>
      <c r="E278" s="136" t="s">
        <v>78</v>
      </c>
      <c r="F278" s="56"/>
      <c r="G278" s="56"/>
      <c r="H278" s="56"/>
      <c r="I278" s="56"/>
      <c r="J278" s="56"/>
      <c r="K278" s="56"/>
      <c r="L278" s="171"/>
      <c r="M278" s="56"/>
      <c r="N278" s="56"/>
      <c r="O278" s="56"/>
      <c r="P278" s="56"/>
      <c r="Q278" s="56"/>
      <c r="R278" s="56"/>
      <c r="S278" s="171"/>
      <c r="T278" s="56"/>
      <c r="U278" s="56"/>
      <c r="V278" s="56"/>
      <c r="W278" s="56"/>
      <c r="X278" s="56"/>
      <c r="Y278" s="56"/>
      <c r="AA278" s="56"/>
      <c r="AB278" s="56"/>
      <c r="AC278" s="56"/>
      <c r="AD278" s="56"/>
      <c r="AE278" s="56"/>
      <c r="AF278" s="56"/>
      <c r="AH278" s="56"/>
      <c r="AI278" s="56"/>
      <c r="AJ278" s="56"/>
      <c r="AK278" s="56"/>
      <c r="AL278" s="56"/>
      <c r="AM278" s="56"/>
      <c r="AO278" s="56"/>
      <c r="AP278" s="56"/>
      <c r="AQ278" s="56"/>
      <c r="AR278" s="56"/>
      <c r="AS278" s="56"/>
      <c r="AT278" s="56"/>
    </row>
    <row r="279" spans="2:46" outlineLevel="1">
      <c r="B279" s="236" t="s">
        <v>34</v>
      </c>
      <c r="C279" s="44" t="s">
        <v>56</v>
      </c>
      <c r="E279" s="134" t="s">
        <v>80</v>
      </c>
      <c r="F279" s="56"/>
      <c r="G279" s="56"/>
      <c r="H279" s="56"/>
      <c r="I279" s="56"/>
      <c r="J279" s="56"/>
      <c r="K279" s="56"/>
      <c r="L279" s="171"/>
      <c r="M279" s="56"/>
      <c r="N279" s="56"/>
      <c r="O279" s="56"/>
      <c r="P279" s="56"/>
      <c r="Q279" s="56"/>
      <c r="R279" s="56"/>
      <c r="S279" s="171"/>
      <c r="T279" s="56"/>
      <c r="U279" s="56"/>
      <c r="V279" s="56"/>
      <c r="W279" s="56"/>
      <c r="X279" s="56"/>
      <c r="Y279" s="56"/>
      <c r="AA279" s="56"/>
      <c r="AB279" s="56"/>
      <c r="AC279" s="56"/>
      <c r="AD279" s="56"/>
      <c r="AE279" s="56"/>
      <c r="AF279" s="56"/>
      <c r="AH279" s="56"/>
      <c r="AI279" s="56"/>
      <c r="AJ279" s="56"/>
      <c r="AK279" s="56"/>
      <c r="AL279" s="56"/>
      <c r="AM279" s="56"/>
      <c r="AO279" s="56"/>
      <c r="AP279" s="56"/>
      <c r="AQ279" s="56"/>
      <c r="AR279" s="56"/>
      <c r="AS279" s="56"/>
      <c r="AT279" s="56"/>
    </row>
    <row r="280" spans="2:46" outlineLevel="1">
      <c r="B280" s="236" t="s">
        <v>399</v>
      </c>
      <c r="C280" s="44" t="s">
        <v>56</v>
      </c>
      <c r="E280" s="130" t="s">
        <v>79</v>
      </c>
      <c r="F280" s="56"/>
      <c r="G280" s="56"/>
      <c r="H280" s="56"/>
      <c r="I280" s="56"/>
      <c r="J280" s="56"/>
      <c r="K280" s="56"/>
      <c r="L280" s="171"/>
      <c r="M280" s="56"/>
      <c r="N280" s="56"/>
      <c r="O280" s="56"/>
      <c r="P280" s="56"/>
      <c r="Q280" s="56"/>
      <c r="R280" s="56"/>
      <c r="S280" s="171"/>
      <c r="T280" s="56"/>
      <c r="U280" s="56"/>
      <c r="V280" s="56"/>
      <c r="W280" s="56"/>
      <c r="X280" s="56"/>
      <c r="Y280" s="56"/>
      <c r="AA280" s="56"/>
      <c r="AB280" s="56"/>
      <c r="AC280" s="56"/>
      <c r="AD280" s="56"/>
      <c r="AE280" s="56"/>
      <c r="AF280" s="56"/>
      <c r="AH280" s="56"/>
      <c r="AI280" s="56"/>
      <c r="AJ280" s="56"/>
      <c r="AK280" s="56"/>
      <c r="AL280" s="56"/>
      <c r="AM280" s="56"/>
      <c r="AO280" s="56"/>
      <c r="AP280" s="56"/>
      <c r="AQ280" s="56"/>
      <c r="AR280" s="56"/>
      <c r="AS280" s="56"/>
      <c r="AT280" s="56"/>
    </row>
    <row r="281" spans="2:46" outlineLevel="1">
      <c r="B281" s="236" t="s">
        <v>400</v>
      </c>
      <c r="C281" s="44" t="s">
        <v>56</v>
      </c>
      <c r="E281" s="130" t="s">
        <v>81</v>
      </c>
      <c r="F281" s="56"/>
      <c r="G281" s="56"/>
      <c r="H281" s="56"/>
      <c r="I281" s="56"/>
      <c r="J281" s="56"/>
      <c r="K281" s="56"/>
      <c r="L281" s="171"/>
      <c r="M281" s="56"/>
      <c r="N281" s="56"/>
      <c r="O281" s="56"/>
      <c r="P281" s="56"/>
      <c r="Q281" s="56"/>
      <c r="R281" s="56"/>
      <c r="S281" s="171"/>
      <c r="T281" s="56"/>
      <c r="U281" s="56"/>
      <c r="V281" s="56"/>
      <c r="W281" s="56"/>
      <c r="X281" s="56"/>
      <c r="Y281" s="56"/>
      <c r="AA281" s="56"/>
      <c r="AB281" s="56"/>
      <c r="AC281" s="56"/>
      <c r="AD281" s="56"/>
      <c r="AE281" s="56"/>
      <c r="AF281" s="56"/>
      <c r="AH281" s="56"/>
      <c r="AI281" s="56"/>
      <c r="AJ281" s="56"/>
      <c r="AK281" s="56"/>
      <c r="AL281" s="56"/>
      <c r="AM281" s="56"/>
      <c r="AO281" s="56"/>
      <c r="AP281" s="56"/>
      <c r="AQ281" s="56"/>
      <c r="AR281" s="56"/>
      <c r="AS281" s="56"/>
      <c r="AT281" s="56"/>
    </row>
    <row r="282" spans="2:46">
      <c r="B282" s="236" t="s">
        <v>401</v>
      </c>
      <c r="C282" s="44" t="s">
        <v>56</v>
      </c>
      <c r="E282" s="129" t="s">
        <v>82</v>
      </c>
      <c r="F282" s="56" t="e">
        <f>+#REF!-#REF!</f>
        <v>#REF!</v>
      </c>
      <c r="G282" s="56" t="e">
        <f>+#REF!-#REF!</f>
        <v>#REF!</v>
      </c>
      <c r="H282" s="56"/>
      <c r="I282" s="56" t="e">
        <f>+#REF!-#REF!</f>
        <v>#REF!</v>
      </c>
      <c r="J282" s="56"/>
      <c r="K282" s="56"/>
      <c r="L282" s="171"/>
      <c r="M282" s="56" t="e">
        <f>+#REF!-#REF!</f>
        <v>#REF!</v>
      </c>
      <c r="N282" s="56" t="e">
        <f>+#REF!-#REF!</f>
        <v>#REF!</v>
      </c>
      <c r="O282" s="56" t="e">
        <f>+#REF!-#REF!</f>
        <v>#REF!</v>
      </c>
      <c r="P282" s="56"/>
      <c r="Q282" s="56"/>
      <c r="R282" s="56"/>
      <c r="S282" s="171"/>
      <c r="T282" s="56" t="e">
        <f>+#REF!-#REF!</f>
        <v>#REF!</v>
      </c>
      <c r="U282" s="56" t="e">
        <f>+#REF!-#REF!</f>
        <v>#REF!</v>
      </c>
      <c r="V282" s="56" t="e">
        <f>+#REF!-#REF!</f>
        <v>#REF!</v>
      </c>
      <c r="W282" s="56"/>
      <c r="X282" s="56"/>
      <c r="Y282" s="56"/>
      <c r="AA282" s="56" t="e">
        <f>+#REF!-#REF!</f>
        <v>#REF!</v>
      </c>
      <c r="AB282" s="56" t="e">
        <f>+#REF!-#REF!</f>
        <v>#REF!</v>
      </c>
      <c r="AC282" s="56" t="e">
        <f>+#REF!-#REF!</f>
        <v>#REF!</v>
      </c>
      <c r="AD282" s="56"/>
      <c r="AE282" s="56"/>
      <c r="AF282" s="56"/>
      <c r="AH282" s="56" t="e">
        <f>+#REF!-#REF!</f>
        <v>#REF!</v>
      </c>
      <c r="AI282" s="56" t="e">
        <f>+#REF!-#REF!</f>
        <v>#REF!</v>
      </c>
      <c r="AJ282" s="56" t="e">
        <f>+#REF!-#REF!</f>
        <v>#REF!</v>
      </c>
      <c r="AK282" s="56"/>
      <c r="AL282" s="56"/>
      <c r="AM282" s="56"/>
      <c r="AO282" s="56" t="e">
        <f>+#REF!-#REF!</f>
        <v>#REF!</v>
      </c>
      <c r="AP282" s="56" t="e">
        <f>+#REF!-#REF!</f>
        <v>#REF!</v>
      </c>
      <c r="AQ282" s="56" t="e">
        <f>+#REF!-#REF!</f>
        <v>#REF!</v>
      </c>
      <c r="AR282" s="56"/>
      <c r="AS282" s="56"/>
      <c r="AT282" s="56"/>
    </row>
    <row r="283" spans="2:46" outlineLevel="1">
      <c r="B283" s="236" t="s">
        <v>93</v>
      </c>
      <c r="C283" s="44" t="s">
        <v>56</v>
      </c>
      <c r="E283" s="136" t="s">
        <v>83</v>
      </c>
      <c r="F283" s="56"/>
      <c r="G283" s="56"/>
      <c r="H283" s="56"/>
      <c r="I283" s="56"/>
      <c r="J283" s="56"/>
      <c r="K283" s="56"/>
      <c r="L283" s="171"/>
      <c r="M283" s="56"/>
      <c r="N283" s="56"/>
      <c r="O283" s="56"/>
      <c r="P283" s="56"/>
      <c r="Q283" s="56"/>
      <c r="R283" s="56"/>
      <c r="S283" s="171"/>
      <c r="T283" s="56"/>
      <c r="U283" s="56"/>
      <c r="V283" s="56"/>
      <c r="W283" s="56"/>
      <c r="X283" s="56"/>
      <c r="Y283" s="56"/>
      <c r="AA283" s="56"/>
      <c r="AB283" s="56"/>
      <c r="AC283" s="56"/>
      <c r="AD283" s="56"/>
      <c r="AE283" s="56"/>
      <c r="AF283" s="56"/>
      <c r="AH283" s="56"/>
      <c r="AI283" s="56"/>
      <c r="AJ283" s="56"/>
      <c r="AK283" s="56"/>
      <c r="AL283" s="56"/>
      <c r="AM283" s="56"/>
      <c r="AO283" s="56"/>
      <c r="AP283" s="56"/>
      <c r="AQ283" s="56"/>
      <c r="AR283" s="56"/>
      <c r="AS283" s="56"/>
      <c r="AT283" s="56"/>
    </row>
    <row r="284" spans="2:46" outlineLevel="1">
      <c r="B284" s="236" t="s">
        <v>238</v>
      </c>
      <c r="C284" s="44" t="s">
        <v>56</v>
      </c>
      <c r="E284" s="136" t="s">
        <v>84</v>
      </c>
      <c r="F284" s="56"/>
      <c r="G284" s="56"/>
      <c r="H284" s="56"/>
      <c r="I284" s="56"/>
      <c r="J284" s="56"/>
      <c r="K284" s="56"/>
      <c r="L284" s="171"/>
      <c r="M284" s="56"/>
      <c r="N284" s="56"/>
      <c r="O284" s="56"/>
      <c r="P284" s="56"/>
      <c r="Q284" s="56"/>
      <c r="R284" s="56"/>
      <c r="S284" s="171"/>
      <c r="T284" s="56"/>
      <c r="U284" s="56"/>
      <c r="V284" s="56"/>
      <c r="W284" s="56"/>
      <c r="X284" s="56"/>
      <c r="Y284" s="56"/>
      <c r="AA284" s="56"/>
      <c r="AB284" s="56"/>
      <c r="AC284" s="56"/>
      <c r="AD284" s="56"/>
      <c r="AE284" s="56"/>
      <c r="AF284" s="56"/>
      <c r="AH284" s="56"/>
      <c r="AI284" s="56"/>
      <c r="AJ284" s="56"/>
      <c r="AK284" s="56"/>
      <c r="AL284" s="56"/>
      <c r="AM284" s="56"/>
      <c r="AO284" s="56"/>
      <c r="AP284" s="56"/>
      <c r="AQ284" s="56"/>
      <c r="AR284" s="56"/>
      <c r="AS284" s="56"/>
      <c r="AT284" s="56"/>
    </row>
    <row r="285" spans="2:46" outlineLevel="1">
      <c r="B285" s="236" t="s">
        <v>402</v>
      </c>
      <c r="C285" s="44" t="s">
        <v>56</v>
      </c>
      <c r="E285" s="136" t="s">
        <v>85</v>
      </c>
      <c r="F285" s="56"/>
      <c r="G285" s="56"/>
      <c r="H285" s="56"/>
      <c r="I285" s="56"/>
      <c r="J285" s="56"/>
      <c r="K285" s="56"/>
      <c r="L285" s="171"/>
      <c r="M285" s="56"/>
      <c r="N285" s="56"/>
      <c r="O285" s="56"/>
      <c r="P285" s="56"/>
      <c r="Q285" s="56"/>
      <c r="R285" s="56"/>
      <c r="S285" s="171"/>
      <c r="T285" s="56"/>
      <c r="U285" s="56"/>
      <c r="V285" s="56"/>
      <c r="W285" s="56"/>
      <c r="X285" s="56"/>
      <c r="Y285" s="56"/>
      <c r="AA285" s="56"/>
      <c r="AB285" s="56"/>
      <c r="AC285" s="56"/>
      <c r="AD285" s="56"/>
      <c r="AE285" s="56"/>
      <c r="AF285" s="56"/>
      <c r="AH285" s="56"/>
      <c r="AI285" s="56"/>
      <c r="AJ285" s="56"/>
      <c r="AK285" s="56"/>
      <c r="AL285" s="56"/>
      <c r="AM285" s="56"/>
      <c r="AO285" s="56"/>
      <c r="AP285" s="56"/>
      <c r="AQ285" s="56"/>
      <c r="AR285" s="56"/>
      <c r="AS285" s="56"/>
      <c r="AT285" s="56"/>
    </row>
    <row r="286" spans="2:46" outlineLevel="1">
      <c r="C286" s="44" t="s">
        <v>56</v>
      </c>
      <c r="E286" s="136" t="s">
        <v>86</v>
      </c>
      <c r="F286" s="56"/>
      <c r="G286" s="56"/>
      <c r="H286" s="56"/>
      <c r="I286" s="56"/>
      <c r="J286" s="56"/>
      <c r="K286" s="56"/>
      <c r="L286" s="171"/>
      <c r="M286" s="56"/>
      <c r="N286" s="56"/>
      <c r="O286" s="56"/>
      <c r="P286" s="56"/>
      <c r="Q286" s="56"/>
      <c r="R286" s="56"/>
      <c r="S286" s="171"/>
      <c r="T286" s="56"/>
      <c r="U286" s="56"/>
      <c r="V286" s="56"/>
      <c r="W286" s="56"/>
      <c r="X286" s="56"/>
      <c r="Y286" s="56"/>
      <c r="AA286" s="56"/>
      <c r="AB286" s="56"/>
      <c r="AC286" s="56"/>
      <c r="AD286" s="56"/>
      <c r="AE286" s="56"/>
      <c r="AF286" s="56"/>
      <c r="AH286" s="56"/>
      <c r="AI286" s="56"/>
      <c r="AJ286" s="56"/>
      <c r="AK286" s="56"/>
      <c r="AL286" s="56"/>
      <c r="AM286" s="56"/>
      <c r="AO286" s="56"/>
      <c r="AP286" s="56"/>
      <c r="AQ286" s="56"/>
      <c r="AR286" s="56"/>
      <c r="AS286" s="56"/>
      <c r="AT286" s="56"/>
    </row>
    <row r="287" spans="2:46" outlineLevel="1">
      <c r="C287" s="44" t="s">
        <v>56</v>
      </c>
      <c r="E287" s="136" t="s">
        <v>87</v>
      </c>
      <c r="F287" s="56"/>
      <c r="G287" s="56"/>
      <c r="H287" s="56"/>
      <c r="I287" s="56"/>
      <c r="J287" s="56"/>
      <c r="K287" s="56"/>
      <c r="L287" s="171"/>
      <c r="M287" s="56"/>
      <c r="N287" s="56"/>
      <c r="O287" s="56"/>
      <c r="P287" s="56"/>
      <c r="Q287" s="56"/>
      <c r="R287" s="56"/>
      <c r="S287" s="171"/>
      <c r="T287" s="56"/>
      <c r="U287" s="56"/>
      <c r="V287" s="56"/>
      <c r="W287" s="56"/>
      <c r="X287" s="56"/>
      <c r="Y287" s="56"/>
      <c r="AA287" s="56"/>
      <c r="AB287" s="56"/>
      <c r="AC287" s="56"/>
      <c r="AD287" s="56"/>
      <c r="AE287" s="56"/>
      <c r="AF287" s="56"/>
      <c r="AH287" s="56"/>
      <c r="AI287" s="56"/>
      <c r="AJ287" s="56"/>
      <c r="AK287" s="56"/>
      <c r="AL287" s="56"/>
      <c r="AM287" s="56"/>
      <c r="AO287" s="56"/>
      <c r="AP287" s="56"/>
      <c r="AQ287" s="56"/>
      <c r="AR287" s="56"/>
      <c r="AS287" s="56"/>
      <c r="AT287" s="56"/>
    </row>
    <row r="288" spans="2:46" outlineLevel="1">
      <c r="C288" s="44" t="s">
        <v>56</v>
      </c>
      <c r="E288" s="136" t="s">
        <v>88</v>
      </c>
      <c r="F288" s="56"/>
      <c r="G288" s="56"/>
      <c r="H288" s="56"/>
      <c r="I288" s="56"/>
      <c r="J288" s="56"/>
      <c r="K288" s="56"/>
      <c r="L288" s="171"/>
      <c r="M288" s="56"/>
      <c r="N288" s="56"/>
      <c r="O288" s="56"/>
      <c r="P288" s="56"/>
      <c r="Q288" s="56"/>
      <c r="R288" s="56"/>
      <c r="S288" s="171"/>
      <c r="T288" s="56"/>
      <c r="U288" s="56"/>
      <c r="V288" s="56"/>
      <c r="W288" s="56"/>
      <c r="X288" s="56"/>
      <c r="Y288" s="56"/>
      <c r="AA288" s="56"/>
      <c r="AB288" s="56"/>
      <c r="AC288" s="56"/>
      <c r="AD288" s="56"/>
      <c r="AE288" s="56"/>
      <c r="AF288" s="56"/>
      <c r="AH288" s="56"/>
      <c r="AI288" s="56"/>
      <c r="AJ288" s="56"/>
      <c r="AK288" s="56"/>
      <c r="AL288" s="56"/>
      <c r="AM288" s="56"/>
      <c r="AO288" s="56"/>
      <c r="AP288" s="56"/>
      <c r="AQ288" s="56"/>
      <c r="AR288" s="56"/>
      <c r="AS288" s="56"/>
      <c r="AT288" s="56"/>
    </row>
    <row r="289" spans="3:46" outlineLevel="1">
      <c r="C289" s="44" t="s">
        <v>56</v>
      </c>
      <c r="E289" s="136" t="s">
        <v>198</v>
      </c>
      <c r="F289" s="56"/>
      <c r="G289" s="56"/>
      <c r="H289" s="56"/>
      <c r="I289" s="56"/>
      <c r="J289" s="56"/>
      <c r="K289" s="56"/>
      <c r="L289" s="171"/>
      <c r="M289" s="56"/>
      <c r="N289" s="56"/>
      <c r="O289" s="56"/>
      <c r="P289" s="56"/>
      <c r="Q289" s="56"/>
      <c r="R289" s="56"/>
      <c r="S289" s="171"/>
      <c r="T289" s="56"/>
      <c r="U289" s="56"/>
      <c r="V289" s="56"/>
      <c r="W289" s="56"/>
      <c r="X289" s="56"/>
      <c r="Y289" s="56"/>
      <c r="AA289" s="56"/>
      <c r="AB289" s="56"/>
      <c r="AC289" s="56"/>
      <c r="AD289" s="56"/>
      <c r="AE289" s="56"/>
      <c r="AF289" s="56"/>
      <c r="AH289" s="56"/>
      <c r="AI289" s="56"/>
      <c r="AJ289" s="56"/>
      <c r="AK289" s="56"/>
      <c r="AL289" s="56"/>
      <c r="AM289" s="56"/>
      <c r="AO289" s="56"/>
      <c r="AP289" s="56"/>
      <c r="AQ289" s="56"/>
      <c r="AR289" s="56"/>
      <c r="AS289" s="56"/>
      <c r="AT289" s="56"/>
    </row>
    <row r="290" spans="3:46" outlineLevel="1">
      <c r="C290" s="44" t="s">
        <v>56</v>
      </c>
      <c r="E290" s="136" t="s">
        <v>89</v>
      </c>
      <c r="F290" s="56"/>
      <c r="G290" s="56"/>
      <c r="H290" s="56"/>
      <c r="I290" s="56"/>
      <c r="J290" s="56"/>
      <c r="K290" s="56"/>
      <c r="L290" s="171"/>
      <c r="M290" s="56"/>
      <c r="N290" s="56"/>
      <c r="O290" s="56"/>
      <c r="P290" s="56"/>
      <c r="Q290" s="56"/>
      <c r="R290" s="56"/>
      <c r="S290" s="171"/>
      <c r="T290" s="56"/>
      <c r="U290" s="56"/>
      <c r="V290" s="56"/>
      <c r="W290" s="56"/>
      <c r="X290" s="56"/>
      <c r="Y290" s="56"/>
      <c r="AA290" s="56"/>
      <c r="AB290" s="56"/>
      <c r="AC290" s="56"/>
      <c r="AD290" s="56"/>
      <c r="AE290" s="56"/>
      <c r="AF290" s="56"/>
      <c r="AH290" s="56"/>
      <c r="AI290" s="56"/>
      <c r="AJ290" s="56"/>
      <c r="AK290" s="56"/>
      <c r="AL290" s="56"/>
      <c r="AM290" s="56"/>
      <c r="AO290" s="56"/>
      <c r="AP290" s="56"/>
      <c r="AQ290" s="56"/>
      <c r="AR290" s="56"/>
      <c r="AS290" s="56"/>
      <c r="AT290" s="56"/>
    </row>
    <row r="291" spans="3:46">
      <c r="C291" s="44" t="s">
        <v>56</v>
      </c>
      <c r="E291" s="129" t="s">
        <v>90</v>
      </c>
      <c r="F291" s="56" t="e">
        <f>+#REF!-#REF!</f>
        <v>#REF!</v>
      </c>
      <c r="G291" s="56" t="e">
        <f>+#REF!-#REF!</f>
        <v>#REF!</v>
      </c>
      <c r="H291" s="56"/>
      <c r="I291" s="56" t="e">
        <f>+#REF!-#REF!</f>
        <v>#REF!</v>
      </c>
      <c r="J291" s="56"/>
      <c r="K291" s="56"/>
      <c r="L291" s="171"/>
      <c r="M291" s="56" t="e">
        <f>+#REF!-#REF!</f>
        <v>#REF!</v>
      </c>
      <c r="N291" s="56" t="e">
        <f>+#REF!-#REF!</f>
        <v>#REF!</v>
      </c>
      <c r="O291" s="56" t="e">
        <f>+#REF!-#REF!</f>
        <v>#REF!</v>
      </c>
      <c r="P291" s="56"/>
      <c r="Q291" s="56"/>
      <c r="R291" s="56"/>
      <c r="S291" s="171"/>
      <c r="T291" s="56" t="e">
        <f>+#REF!-#REF!</f>
        <v>#REF!</v>
      </c>
      <c r="U291" s="56" t="e">
        <f>+#REF!-#REF!</f>
        <v>#REF!</v>
      </c>
      <c r="V291" s="56" t="e">
        <f>+#REF!-#REF!</f>
        <v>#REF!</v>
      </c>
      <c r="W291" s="56"/>
      <c r="X291" s="56"/>
      <c r="Y291" s="56"/>
      <c r="AA291" s="56" t="e">
        <f>+#REF!-#REF!</f>
        <v>#REF!</v>
      </c>
      <c r="AB291" s="56" t="e">
        <f>+#REF!-#REF!</f>
        <v>#REF!</v>
      </c>
      <c r="AC291" s="56" t="e">
        <f>+#REF!-#REF!</f>
        <v>#REF!</v>
      </c>
      <c r="AD291" s="56"/>
      <c r="AE291" s="56"/>
      <c r="AF291" s="56"/>
      <c r="AH291" s="56" t="e">
        <f>+#REF!-#REF!</f>
        <v>#REF!</v>
      </c>
      <c r="AI291" s="56" t="e">
        <f>+#REF!-#REF!</f>
        <v>#REF!</v>
      </c>
      <c r="AJ291" s="56" t="e">
        <f>+#REF!-#REF!</f>
        <v>#REF!</v>
      </c>
      <c r="AK291" s="56"/>
      <c r="AL291" s="56"/>
      <c r="AM291" s="56"/>
      <c r="AO291" s="56" t="e">
        <f>+#REF!-#REF!</f>
        <v>#REF!</v>
      </c>
      <c r="AP291" s="56" t="e">
        <f>+#REF!-#REF!</f>
        <v>#REF!</v>
      </c>
      <c r="AQ291" s="56" t="e">
        <f>+#REF!-#REF!</f>
        <v>#REF!</v>
      </c>
      <c r="AR291" s="56"/>
      <c r="AS291" s="56"/>
      <c r="AT291" s="56"/>
    </row>
    <row r="292" spans="3:46">
      <c r="C292" s="44" t="s">
        <v>56</v>
      </c>
      <c r="E292" s="129" t="s">
        <v>91</v>
      </c>
      <c r="F292" s="56" t="e">
        <f>+#REF!-#REF!</f>
        <v>#REF!</v>
      </c>
      <c r="G292" s="56" t="e">
        <f>+#REF!-#REF!</f>
        <v>#REF!</v>
      </c>
      <c r="H292" s="56"/>
      <c r="I292" s="56" t="e">
        <f>+#REF!-#REF!</f>
        <v>#REF!</v>
      </c>
      <c r="J292" s="56"/>
      <c r="K292" s="56"/>
      <c r="L292" s="171"/>
      <c r="M292" s="56" t="e">
        <f>+#REF!-#REF!</f>
        <v>#REF!</v>
      </c>
      <c r="N292" s="56" t="e">
        <f>+#REF!-#REF!</f>
        <v>#REF!</v>
      </c>
      <c r="O292" s="56" t="e">
        <f>+#REF!-#REF!</f>
        <v>#REF!</v>
      </c>
      <c r="P292" s="56"/>
      <c r="Q292" s="56"/>
      <c r="R292" s="56"/>
      <c r="S292" s="171"/>
      <c r="T292" s="56" t="e">
        <f>+#REF!-#REF!</f>
        <v>#REF!</v>
      </c>
      <c r="U292" s="56" t="e">
        <f>+#REF!-#REF!</f>
        <v>#REF!</v>
      </c>
      <c r="V292" s="56" t="e">
        <f>+#REF!-#REF!</f>
        <v>#REF!</v>
      </c>
      <c r="W292" s="56"/>
      <c r="X292" s="56"/>
      <c r="Y292" s="56"/>
      <c r="AA292" s="56" t="e">
        <f>+#REF!-#REF!</f>
        <v>#REF!</v>
      </c>
      <c r="AB292" s="56" t="e">
        <f>+#REF!-#REF!</f>
        <v>#REF!</v>
      </c>
      <c r="AC292" s="56" t="e">
        <f>+#REF!-#REF!</f>
        <v>#REF!</v>
      </c>
      <c r="AD292" s="56"/>
      <c r="AE292" s="56"/>
      <c r="AF292" s="56"/>
      <c r="AH292" s="56" t="e">
        <f>+#REF!-#REF!</f>
        <v>#REF!</v>
      </c>
      <c r="AI292" s="56" t="e">
        <f>+#REF!-#REF!</f>
        <v>#REF!</v>
      </c>
      <c r="AJ292" s="56" t="e">
        <f>+#REF!-#REF!</f>
        <v>#REF!</v>
      </c>
      <c r="AK292" s="56"/>
      <c r="AL292" s="56"/>
      <c r="AM292" s="56"/>
      <c r="AO292" s="56" t="e">
        <f>+#REF!-#REF!</f>
        <v>#REF!</v>
      </c>
      <c r="AP292" s="56" t="e">
        <f>+#REF!-#REF!</f>
        <v>#REF!</v>
      </c>
      <c r="AQ292" s="56" t="e">
        <f>+#REF!-#REF!</f>
        <v>#REF!</v>
      </c>
      <c r="AR292" s="56"/>
      <c r="AS292" s="56"/>
      <c r="AT292" s="56"/>
    </row>
    <row r="293" spans="3:46" outlineLevel="1">
      <c r="C293" s="44" t="s">
        <v>56</v>
      </c>
      <c r="E293" s="130" t="s">
        <v>1179</v>
      </c>
      <c r="F293" s="56"/>
      <c r="G293" s="56"/>
      <c r="H293" s="56"/>
      <c r="I293" s="56"/>
      <c r="J293" s="56"/>
      <c r="K293" s="56"/>
      <c r="L293" s="171"/>
      <c r="M293" s="56"/>
      <c r="N293" s="56"/>
      <c r="O293" s="56"/>
      <c r="P293" s="56"/>
      <c r="Q293" s="56"/>
      <c r="R293" s="56"/>
      <c r="S293" s="171"/>
      <c r="T293" s="56"/>
      <c r="U293" s="56"/>
      <c r="V293" s="56"/>
      <c r="W293" s="56"/>
      <c r="X293" s="56"/>
      <c r="Y293" s="56"/>
      <c r="AA293" s="56"/>
      <c r="AB293" s="56"/>
      <c r="AC293" s="56"/>
      <c r="AD293" s="56"/>
      <c r="AE293" s="56"/>
      <c r="AF293" s="56"/>
      <c r="AH293" s="56"/>
      <c r="AI293" s="56"/>
      <c r="AJ293" s="56"/>
      <c r="AK293" s="56"/>
      <c r="AL293" s="56"/>
      <c r="AM293" s="56"/>
      <c r="AO293" s="56"/>
      <c r="AP293" s="56"/>
      <c r="AQ293" s="56"/>
      <c r="AR293" s="56"/>
      <c r="AS293" s="56"/>
      <c r="AT293" s="56"/>
    </row>
    <row r="294" spans="3:46" outlineLevel="1">
      <c r="C294" s="44" t="s">
        <v>56</v>
      </c>
      <c r="E294" s="130" t="s">
        <v>93</v>
      </c>
      <c r="F294" s="56"/>
      <c r="G294" s="56"/>
      <c r="H294" s="56"/>
      <c r="I294" s="56"/>
      <c r="J294" s="56"/>
      <c r="K294" s="56"/>
      <c r="L294" s="171"/>
      <c r="M294" s="56"/>
      <c r="N294" s="56"/>
      <c r="O294" s="56"/>
      <c r="P294" s="56"/>
      <c r="Q294" s="56"/>
      <c r="R294" s="56"/>
      <c r="S294" s="171"/>
      <c r="T294" s="56"/>
      <c r="U294" s="56"/>
      <c r="V294" s="56"/>
      <c r="W294" s="56"/>
      <c r="X294" s="56"/>
      <c r="Y294" s="56"/>
      <c r="AA294" s="56"/>
      <c r="AB294" s="56"/>
      <c r="AC294" s="56"/>
      <c r="AD294" s="56"/>
      <c r="AE294" s="56"/>
      <c r="AF294" s="56"/>
      <c r="AH294" s="56"/>
      <c r="AI294" s="56"/>
      <c r="AJ294" s="56"/>
      <c r="AK294" s="56"/>
      <c r="AL294" s="56"/>
      <c r="AM294" s="56"/>
      <c r="AO294" s="56"/>
      <c r="AP294" s="56"/>
      <c r="AQ294" s="56"/>
      <c r="AR294" s="56"/>
      <c r="AS294" s="56"/>
      <c r="AT294" s="56"/>
    </row>
    <row r="295" spans="3:46" outlineLevel="1">
      <c r="C295" s="44" t="s">
        <v>56</v>
      </c>
      <c r="E295" s="130" t="s">
        <v>94</v>
      </c>
      <c r="F295" s="56"/>
      <c r="G295" s="56"/>
      <c r="H295" s="56"/>
      <c r="I295" s="56"/>
      <c r="J295" s="56"/>
      <c r="K295" s="56"/>
      <c r="L295" s="171"/>
      <c r="M295" s="56"/>
      <c r="N295" s="56"/>
      <c r="O295" s="56"/>
      <c r="P295" s="56"/>
      <c r="Q295" s="56"/>
      <c r="R295" s="56"/>
      <c r="S295" s="171"/>
      <c r="T295" s="56"/>
      <c r="U295" s="56"/>
      <c r="V295" s="56"/>
      <c r="W295" s="56"/>
      <c r="X295" s="56"/>
      <c r="Y295" s="56"/>
      <c r="AA295" s="56"/>
      <c r="AB295" s="56"/>
      <c r="AC295" s="56"/>
      <c r="AD295" s="56"/>
      <c r="AE295" s="56"/>
      <c r="AF295" s="56"/>
      <c r="AH295" s="56"/>
      <c r="AI295" s="56"/>
      <c r="AJ295" s="56"/>
      <c r="AK295" s="56"/>
      <c r="AL295" s="56"/>
      <c r="AM295" s="56"/>
      <c r="AO295" s="56"/>
      <c r="AP295" s="56"/>
      <c r="AQ295" s="56"/>
      <c r="AR295" s="56"/>
      <c r="AS295" s="56"/>
      <c r="AT295" s="56"/>
    </row>
    <row r="296" spans="3:46">
      <c r="F296" s="163" t="e">
        <f>SUM(F292,F291,F282,F273)-F270</f>
        <v>#REF!</v>
      </c>
      <c r="G296" s="163" t="e">
        <f>SUM(G292,G291,G282,G273)-G270</f>
        <v>#REF!</v>
      </c>
      <c r="H296" s="163"/>
      <c r="I296" s="163" t="e">
        <f>SUM(I292,I291,I282,I273)-I270</f>
        <v>#REF!</v>
      </c>
      <c r="J296" s="163"/>
      <c r="K296" s="163"/>
      <c r="L296" s="163"/>
      <c r="M296" s="163" t="e">
        <f>SUM(M292,M291,M282,M273)-M270</f>
        <v>#REF!</v>
      </c>
      <c r="N296" s="163" t="e">
        <f>SUM(N292,N291,N282,N273)-N270</f>
        <v>#REF!</v>
      </c>
      <c r="O296" s="163" t="e">
        <f>SUM(O292,O291,O282,O273)-O270</f>
        <v>#REF!</v>
      </c>
      <c r="P296" s="163"/>
      <c r="Q296" s="163"/>
      <c r="R296" s="163"/>
      <c r="S296" s="163"/>
      <c r="T296" s="163" t="e">
        <f>SUM(T292,T291,T282,T273)-T270</f>
        <v>#REF!</v>
      </c>
      <c r="U296" s="163" t="e">
        <f>SUM(U292,U291,U282,U273)-U270</f>
        <v>#REF!</v>
      </c>
      <c r="V296" s="163" t="e">
        <f>SUM(V292,V291,V282,V273)-V270</f>
        <v>#REF!</v>
      </c>
      <c r="W296" s="163"/>
      <c r="X296" s="163"/>
      <c r="Y296" s="163"/>
      <c r="Z296" s="163"/>
      <c r="AA296" s="163" t="e">
        <f>SUM(AA292,AA291,AA282,AA273)-AA270</f>
        <v>#REF!</v>
      </c>
      <c r="AB296" s="163" t="e">
        <f>SUM(AB292,AB291,AB282,AB273)-AB270</f>
        <v>#REF!</v>
      </c>
      <c r="AC296" s="163" t="e">
        <f>SUM(AC292,AC291,AC282,AC273)-AC270</f>
        <v>#REF!</v>
      </c>
      <c r="AD296" s="163"/>
      <c r="AE296" s="163"/>
      <c r="AF296" s="163"/>
      <c r="AG296" s="163"/>
      <c r="AH296" s="163" t="e">
        <f>SUM(AH292,AH291,AH282,AH273)-AH270</f>
        <v>#REF!</v>
      </c>
      <c r="AI296" s="163" t="e">
        <f>SUM(AI292,AI291,AI282,AI273)-AI270</f>
        <v>#REF!</v>
      </c>
      <c r="AJ296" s="163" t="e">
        <f>SUM(AJ292,AJ291,AJ282,AJ273)-AJ270</f>
        <v>#REF!</v>
      </c>
      <c r="AK296" s="163"/>
      <c r="AL296" s="163"/>
      <c r="AM296" s="163"/>
      <c r="AN296" s="163"/>
      <c r="AO296" s="163" t="e">
        <f>SUM(AO292,AO291,AO282,AO273)-AO270</f>
        <v>#REF!</v>
      </c>
      <c r="AP296" s="163" t="e">
        <f>SUM(AP292,AP291,AP282,AP273)-AP270</f>
        <v>#REF!</v>
      </c>
      <c r="AQ296" s="163" t="e">
        <f>SUM(AQ292,AQ291,AQ282,AQ273)-AQ270</f>
        <v>#REF!</v>
      </c>
      <c r="AR296" s="163"/>
      <c r="AS296" s="163"/>
      <c r="AT296" s="163"/>
    </row>
  </sheetData>
  <autoFilter ref="C12:E183" xr:uid="{2873DFE6-29F7-4A7D-B74C-CE87089579E9}"/>
  <mergeCells count="5">
    <mergeCell ref="M8:O8"/>
    <mergeCell ref="T8:V8"/>
    <mergeCell ref="AA8:AC8"/>
    <mergeCell ref="AH8:AJ8"/>
    <mergeCell ref="AO8:AQ8"/>
  </mergeCells>
  <phoneticPr fontId="49" type="noConversion"/>
  <conditionalFormatting sqref="F269:AT269 F296:AT296">
    <cfRule type="cellIs" dxfId="0" priority="1" operator="notBetween">
      <formula>-0.01</formula>
      <formula>0.01</formula>
    </cfRule>
  </conditionalFormatting>
  <pageMargins left="0.7" right="0.7" top="0.75" bottom="0.75" header="0.3" footer="0.3"/>
  <pageSetup paperSize="9" orientation="portrait" r:id="rId1"/>
  <customProperties>
    <customPr name="COR_MapSheets" r:id="rId2"/>
    <customPr name="Serialized_Sheet_Mapping" r:id="rId3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BAFC9-D4FC-4D9C-A0DC-AE9C03952781}">
  <sheetPr codeName="Sheet14">
    <tabColor rgb="FF808080"/>
  </sheetPr>
  <dimension ref="B3:E47"/>
  <sheetViews>
    <sheetView topLeftCell="A17" workbookViewId="0">
      <selection activeCell="D13" sqref="D13:E17"/>
    </sheetView>
  </sheetViews>
  <sheetFormatPr defaultRowHeight="14.4"/>
  <cols>
    <col min="1" max="1" width="2.77734375" customWidth="1"/>
    <col min="2" max="2" width="33.44140625" customWidth="1"/>
    <col min="3" max="3" width="23.33203125" bestFit="1" customWidth="1"/>
    <col min="4" max="5" width="9.21875" bestFit="1" customWidth="1"/>
    <col min="6" max="6" width="4" bestFit="1" customWidth="1"/>
    <col min="7" max="16" width="9" bestFit="1" customWidth="1"/>
    <col min="17" max="52" width="8" bestFit="1" customWidth="1"/>
  </cols>
  <sheetData>
    <row r="3" spans="2:5" ht="14.4" hidden="1" customHeight="1">
      <c r="B3" s="389" t="s">
        <v>375</v>
      </c>
      <c r="C3" s="387" t="s">
        <v>361</v>
      </c>
    </row>
    <row r="4" spans="2:5" ht="14.4" hidden="1" customHeight="1">
      <c r="B4" s="389" t="s">
        <v>376</v>
      </c>
      <c r="C4" s="387" t="s">
        <v>166</v>
      </c>
    </row>
    <row r="5" spans="2:5" ht="14.4" hidden="1" customHeight="1">
      <c r="B5" s="389" t="s">
        <v>377</v>
      </c>
      <c r="C5" s="388" t="s">
        <v>362</v>
      </c>
    </row>
    <row r="6" spans="2:5" ht="14.4" hidden="1" customHeight="1">
      <c r="B6" s="389" t="s">
        <v>378</v>
      </c>
      <c r="C6" s="388" t="s">
        <v>1175</v>
      </c>
    </row>
    <row r="7" spans="2:5" ht="14.4" hidden="1" customHeight="1">
      <c r="B7" s="389" t="s">
        <v>379</v>
      </c>
      <c r="C7" s="387" t="s">
        <v>425</v>
      </c>
    </row>
    <row r="8" spans="2:5" ht="14.4" hidden="1" customHeight="1">
      <c r="B8" s="389" t="s">
        <v>381</v>
      </c>
      <c r="C8" s="387" t="s">
        <v>423</v>
      </c>
    </row>
    <row r="9" spans="2:5" ht="14.4" hidden="1" customHeight="1">
      <c r="B9" s="389" t="s">
        <v>382</v>
      </c>
      <c r="C9" s="387" t="s">
        <v>891</v>
      </c>
    </row>
    <row r="10" spans="2:5" ht="14.4" hidden="1" customHeight="1">
      <c r="B10" s="389" t="s">
        <v>383</v>
      </c>
      <c r="C10" s="387"/>
    </row>
    <row r="11" spans="2:5" ht="14.4" hidden="1" customHeight="1">
      <c r="B11" s="389" t="s">
        <v>384</v>
      </c>
      <c r="C11" s="387" t="s">
        <v>415</v>
      </c>
    </row>
    <row r="12" spans="2:5" ht="14.4" hidden="1" customHeight="1"/>
    <row r="13" spans="2:5">
      <c r="B13" s="586"/>
      <c r="C13" s="588"/>
      <c r="D13" s="51" t="s">
        <v>421</v>
      </c>
      <c r="E13" s="51" t="s">
        <v>422</v>
      </c>
    </row>
    <row r="14" spans="2:5">
      <c r="B14" s="589"/>
      <c r="C14" s="591"/>
      <c r="D14" s="51" t="s">
        <v>71</v>
      </c>
      <c r="E14" s="51" t="s">
        <v>71</v>
      </c>
    </row>
    <row r="15" spans="2:5">
      <c r="B15" s="589"/>
      <c r="C15" s="591"/>
      <c r="D15" s="51" t="s">
        <v>312</v>
      </c>
      <c r="E15" s="51" t="s">
        <v>312</v>
      </c>
    </row>
    <row r="16" spans="2:5">
      <c r="B16" s="589"/>
      <c r="C16" s="591"/>
      <c r="D16" s="51" t="s">
        <v>424</v>
      </c>
      <c r="E16" s="51" t="s">
        <v>424</v>
      </c>
    </row>
    <row r="17" spans="2:5">
      <c r="B17" s="592"/>
      <c r="C17" s="594"/>
      <c r="D17" s="51" t="s">
        <v>249</v>
      </c>
      <c r="E17" s="51" t="s">
        <v>249</v>
      </c>
    </row>
    <row r="18" spans="2:5">
      <c r="B18" s="544" t="s">
        <v>11</v>
      </c>
      <c r="C18" s="55" t="s">
        <v>167</v>
      </c>
      <c r="D18" s="503" t="s">
        <v>890</v>
      </c>
      <c r="E18" s="503" t="s">
        <v>890</v>
      </c>
    </row>
    <row r="19" spans="2:5">
      <c r="B19" s="545"/>
      <c r="C19" s="208" t="s">
        <v>168</v>
      </c>
      <c r="D19" s="503" t="s">
        <v>890</v>
      </c>
      <c r="E19" s="503" t="s">
        <v>890</v>
      </c>
    </row>
    <row r="20" spans="2:5">
      <c r="B20" s="545"/>
      <c r="C20" s="208" t="s">
        <v>169</v>
      </c>
      <c r="D20" s="503" t="s">
        <v>890</v>
      </c>
      <c r="E20" s="503" t="s">
        <v>890</v>
      </c>
    </row>
    <row r="21" spans="2:5">
      <c r="B21" s="545"/>
      <c r="C21" s="208" t="s">
        <v>171</v>
      </c>
      <c r="D21" s="503" t="s">
        <v>890</v>
      </c>
      <c r="E21" s="503" t="s">
        <v>890</v>
      </c>
    </row>
    <row r="22" spans="2:5">
      <c r="B22" s="546"/>
      <c r="C22" s="208" t="s">
        <v>170</v>
      </c>
      <c r="D22" s="503" t="s">
        <v>890</v>
      </c>
      <c r="E22" s="503" t="s">
        <v>890</v>
      </c>
    </row>
    <row r="23" spans="2:5">
      <c r="B23" s="547" t="s">
        <v>55</v>
      </c>
      <c r="C23" s="55" t="s">
        <v>167</v>
      </c>
      <c r="D23" s="503" t="s">
        <v>890</v>
      </c>
      <c r="E23" s="503" t="s">
        <v>890</v>
      </c>
    </row>
    <row r="24" spans="2:5">
      <c r="B24" s="548"/>
      <c r="C24" s="208" t="s">
        <v>168</v>
      </c>
      <c r="D24" s="503" t="s">
        <v>890</v>
      </c>
      <c r="E24" s="503" t="s">
        <v>890</v>
      </c>
    </row>
    <row r="25" spans="2:5">
      <c r="B25" s="548"/>
      <c r="C25" s="208" t="s">
        <v>169</v>
      </c>
      <c r="D25" s="503" t="s">
        <v>890</v>
      </c>
      <c r="E25" s="503" t="s">
        <v>890</v>
      </c>
    </row>
    <row r="26" spans="2:5">
      <c r="B26" s="548"/>
      <c r="C26" s="208" t="s">
        <v>171</v>
      </c>
      <c r="D26" s="503" t="s">
        <v>890</v>
      </c>
      <c r="E26" s="503" t="s">
        <v>890</v>
      </c>
    </row>
    <row r="27" spans="2:5">
      <c r="B27" s="549"/>
      <c r="C27" s="208" t="s">
        <v>170</v>
      </c>
      <c r="D27" s="503" t="s">
        <v>890</v>
      </c>
      <c r="E27" s="503" t="s">
        <v>890</v>
      </c>
    </row>
    <row r="28" spans="2:5">
      <c r="B28" s="544" t="s">
        <v>56</v>
      </c>
      <c r="C28" s="55" t="s">
        <v>167</v>
      </c>
      <c r="D28" s="503" t="s">
        <v>890</v>
      </c>
      <c r="E28" s="503" t="s">
        <v>890</v>
      </c>
    </row>
    <row r="29" spans="2:5">
      <c r="B29" s="545"/>
      <c r="C29" s="208" t="s">
        <v>168</v>
      </c>
      <c r="D29" s="503" t="s">
        <v>890</v>
      </c>
      <c r="E29" s="503" t="s">
        <v>890</v>
      </c>
    </row>
    <row r="30" spans="2:5">
      <c r="B30" s="545"/>
      <c r="C30" s="208" t="s">
        <v>169</v>
      </c>
      <c r="D30" s="503" t="s">
        <v>890</v>
      </c>
      <c r="E30" s="503" t="s">
        <v>890</v>
      </c>
    </row>
    <row r="31" spans="2:5">
      <c r="B31" s="545"/>
      <c r="C31" s="208" t="s">
        <v>171</v>
      </c>
      <c r="D31" s="503" t="s">
        <v>890</v>
      </c>
      <c r="E31" s="503" t="s">
        <v>890</v>
      </c>
    </row>
    <row r="32" spans="2:5">
      <c r="B32" s="546"/>
      <c r="C32" s="208" t="s">
        <v>170</v>
      </c>
      <c r="D32" s="503" t="s">
        <v>890</v>
      </c>
      <c r="E32" s="503" t="s">
        <v>890</v>
      </c>
    </row>
    <row r="33" spans="2:5">
      <c r="B33" s="550" t="s">
        <v>96</v>
      </c>
      <c r="C33" s="55" t="s">
        <v>167</v>
      </c>
      <c r="D33" s="503" t="s">
        <v>890</v>
      </c>
      <c r="E33" s="503" t="s">
        <v>890</v>
      </c>
    </row>
    <row r="34" spans="2:5">
      <c r="B34" s="551"/>
      <c r="C34" s="208" t="s">
        <v>168</v>
      </c>
      <c r="D34" s="503" t="s">
        <v>890</v>
      </c>
      <c r="E34" s="503" t="s">
        <v>890</v>
      </c>
    </row>
    <row r="35" spans="2:5">
      <c r="B35" s="551"/>
      <c r="C35" s="208" t="s">
        <v>169</v>
      </c>
      <c r="D35" s="503" t="s">
        <v>890</v>
      </c>
      <c r="E35" s="503" t="s">
        <v>890</v>
      </c>
    </row>
    <row r="36" spans="2:5">
      <c r="B36" s="551"/>
      <c r="C36" s="208" t="s">
        <v>171</v>
      </c>
      <c r="D36" s="503" t="s">
        <v>890</v>
      </c>
      <c r="E36" s="503" t="s">
        <v>890</v>
      </c>
    </row>
    <row r="37" spans="2:5">
      <c r="B37" s="552"/>
      <c r="C37" s="208" t="s">
        <v>170</v>
      </c>
      <c r="D37" s="503" t="s">
        <v>890</v>
      </c>
      <c r="E37" s="503" t="s">
        <v>890</v>
      </c>
    </row>
    <row r="38" spans="2:5">
      <c r="B38" s="538" t="s">
        <v>351</v>
      </c>
      <c r="C38" s="55" t="s">
        <v>167</v>
      </c>
      <c r="D38" s="503" t="s">
        <v>890</v>
      </c>
      <c r="E38" s="503" t="s">
        <v>890</v>
      </c>
    </row>
    <row r="39" spans="2:5">
      <c r="B39" s="539"/>
      <c r="C39" s="208" t="s">
        <v>168</v>
      </c>
      <c r="D39" s="503" t="s">
        <v>890</v>
      </c>
      <c r="E39" s="503" t="s">
        <v>890</v>
      </c>
    </row>
    <row r="40" spans="2:5">
      <c r="B40" s="539"/>
      <c r="C40" s="208" t="s">
        <v>169</v>
      </c>
      <c r="D40" s="503" t="s">
        <v>890</v>
      </c>
      <c r="E40" s="503" t="s">
        <v>890</v>
      </c>
    </row>
    <row r="41" spans="2:5">
      <c r="B41" s="539"/>
      <c r="C41" s="208" t="s">
        <v>171</v>
      </c>
      <c r="D41" s="503" t="s">
        <v>890</v>
      </c>
      <c r="E41" s="503" t="s">
        <v>890</v>
      </c>
    </row>
    <row r="42" spans="2:5">
      <c r="B42" s="540"/>
      <c r="C42" s="208" t="s">
        <v>170</v>
      </c>
      <c r="D42" s="503" t="s">
        <v>890</v>
      </c>
      <c r="E42" s="503" t="s">
        <v>890</v>
      </c>
    </row>
    <row r="43" spans="2:5">
      <c r="B43" s="541" t="s">
        <v>267</v>
      </c>
      <c r="C43" s="55" t="s">
        <v>167</v>
      </c>
      <c r="D43" s="503" t="s">
        <v>890</v>
      </c>
      <c r="E43" s="503" t="s">
        <v>890</v>
      </c>
    </row>
    <row r="44" spans="2:5">
      <c r="B44" s="542"/>
      <c r="C44" s="208" t="s">
        <v>168</v>
      </c>
      <c r="D44" s="503" t="s">
        <v>890</v>
      </c>
      <c r="E44" s="503" t="s">
        <v>890</v>
      </c>
    </row>
    <row r="45" spans="2:5">
      <c r="B45" s="542"/>
      <c r="C45" s="208" t="s">
        <v>169</v>
      </c>
      <c r="D45" s="503" t="s">
        <v>890</v>
      </c>
      <c r="E45" s="503" t="s">
        <v>890</v>
      </c>
    </row>
    <row r="46" spans="2:5">
      <c r="B46" s="542"/>
      <c r="C46" s="208" t="s">
        <v>171</v>
      </c>
      <c r="D46" s="503" t="s">
        <v>890</v>
      </c>
      <c r="E46" s="503" t="s">
        <v>890</v>
      </c>
    </row>
    <row r="47" spans="2:5">
      <c r="B47" s="543"/>
      <c r="C47" s="208" t="s">
        <v>170</v>
      </c>
      <c r="D47" s="503" t="s">
        <v>890</v>
      </c>
      <c r="E47" s="503" t="s">
        <v>890</v>
      </c>
    </row>
  </sheetData>
  <mergeCells count="7">
    <mergeCell ref="B38:B42"/>
    <mergeCell ref="B43:B47"/>
    <mergeCell ref="B13:C17"/>
    <mergeCell ref="B18:B22"/>
    <mergeCell ref="B23:B27"/>
    <mergeCell ref="B28:B32"/>
    <mergeCell ref="B33:B37"/>
  </mergeCells>
  <pageMargins left="0.7" right="0.7" top="0.75" bottom="0.75" header="0.3" footer="0.3"/>
  <pageSetup paperSize="9" orientation="portrait" horizontalDpi="4294967293" verticalDpi="0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LabelRowStart" r:id="rId14"/>
    <customPr name="COR_LastRequestFormat" r:id="rId15"/>
    <customPr name="COR_PackageSearchPath" r:id="rId16"/>
    <customPr name="COR_Report" r:id="rId17"/>
    <customPr name="COR_RequestFormat" r:id="rId18"/>
    <customPr name="COR_ResultSet" r:id="rId19"/>
    <customPr name="COR_Server" r:id="rId20"/>
    <customPr name="COR_SHEET_TYPE" r:id="rId21"/>
    <customPr name="COR_STATE" r:id="rId22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03D81-6969-4452-BACF-6B59E0ADFC1E}">
  <sheetPr codeName="Sheet8">
    <tabColor theme="4" tint="-0.249977111117893"/>
  </sheetPr>
  <dimension ref="A1:CC261"/>
  <sheetViews>
    <sheetView zoomScale="80" zoomScaleNormal="80" workbookViewId="0">
      <pane xSplit="4" ySplit="12" topLeftCell="G13" activePane="bottomRight" state="frozen"/>
      <selection pane="topRight" activeCell="D1" sqref="D1"/>
      <selection pane="bottomLeft" activeCell="A15" sqref="A15"/>
      <selection pane="bottomRight" activeCell="B7" sqref="B7"/>
    </sheetView>
  </sheetViews>
  <sheetFormatPr defaultColWidth="9" defaultRowHeight="14.4" outlineLevelRow="1"/>
  <cols>
    <col min="1" max="1" width="8.88671875" style="237"/>
    <col min="2" max="2" width="11.44140625" style="235" customWidth="1"/>
    <col min="3" max="3" width="33.5546875" customWidth="1"/>
    <col min="4" max="4" width="30.6640625" customWidth="1"/>
    <col min="5" max="13" width="11.5546875" customWidth="1"/>
    <col min="14" max="14" width="2.109375" style="2" customWidth="1"/>
    <col min="15" max="15" width="11.6640625" style="1" customWidth="1"/>
    <col min="16" max="17" width="11.44140625" style="1" customWidth="1"/>
    <col min="18" max="18" width="8.5546875" style="1" customWidth="1"/>
    <col min="19" max="16384" width="9" style="1"/>
  </cols>
  <sheetData>
    <row r="1" spans="1:18" ht="14.4" customHeight="1">
      <c r="D1" s="61" t="s">
        <v>15</v>
      </c>
      <c r="E1" s="7">
        <f>SUM(E16,E47,E78)</f>
        <v>166.08076965870009</v>
      </c>
      <c r="N1"/>
      <c r="O1"/>
      <c r="P1"/>
      <c r="Q1"/>
      <c r="R1"/>
    </row>
    <row r="2" spans="1:18" ht="14.4" customHeight="1">
      <c r="D2" s="61" t="s">
        <v>26</v>
      </c>
      <c r="E2" s="7">
        <f>SUM(E26,E57,E88)</f>
        <v>173.31338095340021</v>
      </c>
      <c r="N2"/>
      <c r="O2"/>
      <c r="P2"/>
      <c r="R2" s="7"/>
    </row>
    <row r="3" spans="1:18" ht="14.4" customHeight="1">
      <c r="D3" s="61" t="s">
        <v>33</v>
      </c>
      <c r="E3" s="7">
        <f>SUM(E35,E66,E97)</f>
        <v>60.107739174500004</v>
      </c>
      <c r="G3" s="168"/>
      <c r="H3" s="168"/>
      <c r="I3" s="168"/>
      <c r="J3" s="168"/>
      <c r="N3"/>
      <c r="O3"/>
      <c r="P3"/>
      <c r="Q3"/>
      <c r="R3" s="168"/>
    </row>
    <row r="4" spans="1:18" ht="14.4" customHeight="1">
      <c r="C4" s="9" t="s">
        <v>1</v>
      </c>
      <c r="D4" s="61" t="s">
        <v>34</v>
      </c>
      <c r="E4" s="7">
        <f>SUM(E36,E67,E98)</f>
        <v>43.563528450000021</v>
      </c>
      <c r="N4"/>
      <c r="O4"/>
      <c r="P4"/>
      <c r="Q4"/>
      <c r="R4" s="168"/>
    </row>
    <row r="5" spans="1:18" ht="14.4" customHeight="1" thickBot="1">
      <c r="C5" s="11" t="s">
        <v>0</v>
      </c>
      <c r="F5" s="302"/>
      <c r="G5" s="354"/>
      <c r="H5" s="354"/>
      <c r="I5" s="354"/>
      <c r="J5" s="354"/>
      <c r="K5" s="7"/>
      <c r="N5"/>
      <c r="O5"/>
      <c r="P5"/>
      <c r="Q5"/>
      <c r="R5"/>
    </row>
    <row r="6" spans="1:18" ht="14.4" customHeight="1">
      <c r="C6" s="10" t="s">
        <v>2</v>
      </c>
    </row>
    <row r="7" spans="1:18" ht="14.4" customHeight="1" thickBot="1">
      <c r="C7" s="10" t="s">
        <v>4</v>
      </c>
      <c r="E7" s="606" t="s">
        <v>143</v>
      </c>
      <c r="F7" s="606"/>
      <c r="G7" s="606"/>
      <c r="H7" s="607" t="s">
        <v>893</v>
      </c>
      <c r="I7" s="607"/>
      <c r="J7" s="607"/>
      <c r="K7" s="607" t="s">
        <v>143</v>
      </c>
      <c r="L7" s="607"/>
      <c r="M7" s="607"/>
      <c r="O7" s="607" t="s">
        <v>46</v>
      </c>
      <c r="P7" s="607"/>
      <c r="Q7" s="607"/>
      <c r="R7" s="607"/>
    </row>
    <row r="8" spans="1:18" ht="14.4" customHeight="1">
      <c r="C8" s="10" t="s">
        <v>7</v>
      </c>
      <c r="D8" s="140" t="s">
        <v>406</v>
      </c>
      <c r="E8" s="66" t="s">
        <v>112</v>
      </c>
      <c r="F8" s="67" t="s">
        <v>113</v>
      </c>
      <c r="G8" s="68" t="s">
        <v>114</v>
      </c>
      <c r="H8" s="66" t="s">
        <v>112</v>
      </c>
      <c r="I8" s="67" t="s">
        <v>113</v>
      </c>
      <c r="J8" s="68" t="s">
        <v>114</v>
      </c>
      <c r="K8" s="66" t="s">
        <v>112</v>
      </c>
      <c r="L8" s="67" t="s">
        <v>113</v>
      </c>
      <c r="M8" s="68" t="s">
        <v>114</v>
      </c>
      <c r="N8" s="89"/>
      <c r="O8" s="66" t="s">
        <v>46</v>
      </c>
      <c r="P8" s="106" t="s">
        <v>161</v>
      </c>
      <c r="Q8" s="106" t="s">
        <v>46</v>
      </c>
      <c r="R8" s="608" t="s">
        <v>124</v>
      </c>
    </row>
    <row r="9" spans="1:18" ht="14.4" customHeight="1">
      <c r="C9" s="12"/>
      <c r="D9" s="59"/>
      <c r="E9" s="69" t="s">
        <v>8</v>
      </c>
      <c r="F9" s="13" t="s">
        <v>8</v>
      </c>
      <c r="G9" s="70" t="s">
        <v>8</v>
      </c>
      <c r="H9" s="69" t="s">
        <v>8</v>
      </c>
      <c r="I9" s="13" t="s">
        <v>8</v>
      </c>
      <c r="J9" s="70" t="s">
        <v>8</v>
      </c>
      <c r="K9" s="69" t="s">
        <v>8</v>
      </c>
      <c r="L9" s="13" t="s">
        <v>8</v>
      </c>
      <c r="M9" s="70" t="s">
        <v>8</v>
      </c>
      <c r="N9" s="90"/>
      <c r="O9" s="69" t="s">
        <v>8</v>
      </c>
      <c r="P9" s="609" t="s">
        <v>8</v>
      </c>
      <c r="Q9" s="609" t="s">
        <v>8</v>
      </c>
      <c r="R9" s="70" t="s">
        <v>8</v>
      </c>
    </row>
    <row r="10" spans="1:18" ht="14.4" customHeight="1">
      <c r="C10" s="12"/>
      <c r="D10" s="59"/>
      <c r="E10" s="298" t="str">
        <f>INPUT!$B$2</f>
        <v>4Q</v>
      </c>
      <c r="F10" s="298" t="str">
        <f>INPUT!$B$2</f>
        <v>4Q</v>
      </c>
      <c r="G10" s="298" t="str">
        <f>INPUT!$B$2</f>
        <v>4Q</v>
      </c>
      <c r="H10" s="298" t="str">
        <f>INPUT!$B$3</f>
        <v>1Q</v>
      </c>
      <c r="I10" s="298" t="str">
        <f>INPUT!$B$3</f>
        <v>1Q</v>
      </c>
      <c r="J10" s="298" t="str">
        <f>INPUT!$B$3</f>
        <v>1Q</v>
      </c>
      <c r="K10" s="299" t="str">
        <f>INPUT!$B$4</f>
        <v>NovQTD</v>
      </c>
      <c r="L10" s="8" t="str">
        <f>$K$10</f>
        <v>NovQTD</v>
      </c>
      <c r="M10" s="300" t="str">
        <f>$K$10</f>
        <v>NovQTD</v>
      </c>
      <c r="N10" s="91"/>
      <c r="O10" s="299" t="str">
        <f>INPUT!$B$4</f>
        <v>NovQTD</v>
      </c>
      <c r="P10" s="299" t="str">
        <f>INPUT!$B$4</f>
        <v>NovQTD</v>
      </c>
      <c r="Q10" s="298" t="str">
        <f>INPUT!$B$2</f>
        <v>4Q</v>
      </c>
      <c r="R10" s="610" t="str">
        <f>INPUT!$B$2</f>
        <v>4Q</v>
      </c>
    </row>
    <row r="11" spans="1:18">
      <c r="C11" s="12"/>
      <c r="D11" s="59"/>
      <c r="E11" s="600" t="s">
        <v>10</v>
      </c>
      <c r="F11" s="601" t="str">
        <f>E11</f>
        <v>Daily Firm</v>
      </c>
      <c r="G11" s="602" t="str">
        <f>E11</f>
        <v>Daily Firm</v>
      </c>
      <c r="H11" s="600" t="s">
        <v>10</v>
      </c>
      <c r="I11" s="601" t="str">
        <f>H11</f>
        <v>Daily Firm</v>
      </c>
      <c r="J11" s="602" t="str">
        <f>H11</f>
        <v>Daily Firm</v>
      </c>
      <c r="K11" s="600" t="str">
        <f>E11</f>
        <v>Daily Firm</v>
      </c>
      <c r="L11" s="601" t="str">
        <f>K11</f>
        <v>Daily Firm</v>
      </c>
      <c r="M11" s="602" t="str">
        <f>L11</f>
        <v>Daily Firm</v>
      </c>
      <c r="N11" s="90"/>
      <c r="O11" s="69" t="s">
        <v>10</v>
      </c>
      <c r="P11" s="609" t="str">
        <f>O11</f>
        <v>Daily Firm</v>
      </c>
      <c r="Q11" s="609" t="s">
        <v>10</v>
      </c>
      <c r="R11" s="70" t="str">
        <f>P11</f>
        <v>Daily Firm</v>
      </c>
    </row>
    <row r="12" spans="1:18">
      <c r="A12" s="238" t="s">
        <v>240</v>
      </c>
      <c r="B12" s="236" t="s">
        <v>241</v>
      </c>
      <c r="C12" s="12"/>
      <c r="D12" s="59"/>
      <c r="E12" s="71" t="str">
        <f>INPUT!$E$2</f>
        <v>LD111325</v>
      </c>
      <c r="F12" s="14" t="str">
        <f>INPUT!$E$3</f>
        <v>LD111225</v>
      </c>
      <c r="G12" s="72" t="str">
        <f>INPUT!$E$4</f>
        <v>LD110725</v>
      </c>
      <c r="H12" s="71" t="str">
        <f>INPUT!$E$2</f>
        <v>LD111325</v>
      </c>
      <c r="I12" s="14" t="str">
        <f>INPUT!$E$3</f>
        <v>LD111225</v>
      </c>
      <c r="J12" s="72" t="str">
        <f>INPUT!$E$4</f>
        <v>LD110725</v>
      </c>
      <c r="K12" s="71" t="str">
        <f>INPUT!$E$2</f>
        <v>LD111325</v>
      </c>
      <c r="L12" s="14" t="str">
        <f>INPUT!$E$3</f>
        <v>LD111225</v>
      </c>
      <c r="M12" s="72" t="str">
        <f>INPUT!$E$4</f>
        <v>LD110725</v>
      </c>
      <c r="N12" s="92"/>
      <c r="O12" s="71" t="str">
        <f>INPUT!E5</f>
        <v>LD111424</v>
      </c>
      <c r="P12" s="611" t="str">
        <f>INPUT!F9</f>
        <v>Ld103124</v>
      </c>
      <c r="Q12" s="611" t="str">
        <f>INPUT!E5</f>
        <v>LD111424</v>
      </c>
      <c r="R12" s="72" t="str">
        <f>INPUT!F10</f>
        <v>Ld3Q24Final</v>
      </c>
    </row>
    <row r="13" spans="1:18" s="4" customFormat="1" ht="18">
      <c r="A13" s="237">
        <v>26</v>
      </c>
      <c r="B13" s="236" t="s">
        <v>13</v>
      </c>
      <c r="C13" s="15" t="s">
        <v>11</v>
      </c>
      <c r="D13" s="60" t="s">
        <v>12</v>
      </c>
      <c r="E13" s="78">
        <v>129.49897691300004</v>
      </c>
      <c r="F13" s="74">
        <v>109.46743071300003</v>
      </c>
      <c r="G13" s="75">
        <v>74.144559853000018</v>
      </c>
      <c r="H13" s="74">
        <v>0</v>
      </c>
      <c r="I13" s="74">
        <v>0</v>
      </c>
      <c r="J13" s="74">
        <v>0</v>
      </c>
      <c r="K13" s="82">
        <v>61.932787633000025</v>
      </c>
      <c r="L13" s="18">
        <v>41.901241433000003</v>
      </c>
      <c r="M13" s="83">
        <v>33.812883123000013</v>
      </c>
      <c r="N13" s="93"/>
      <c r="O13" s="82">
        <v>40.810043262999997</v>
      </c>
      <c r="P13" s="612">
        <v>38.102405242000017</v>
      </c>
      <c r="Q13" s="612">
        <v>64.110295653000009</v>
      </c>
      <c r="R13" s="613">
        <v>0</v>
      </c>
    </row>
    <row r="14" spans="1:18" s="4" customFormat="1" ht="18">
      <c r="A14" s="237">
        <v>26</v>
      </c>
      <c r="B14" s="236" t="s">
        <v>243</v>
      </c>
      <c r="C14" s="578"/>
      <c r="D14" s="579"/>
      <c r="E14" s="73"/>
      <c r="F14" s="74"/>
      <c r="G14" s="75"/>
      <c r="H14" s="74"/>
      <c r="I14" s="74"/>
      <c r="J14" s="74"/>
      <c r="K14" s="82"/>
      <c r="L14" s="18"/>
      <c r="M14" s="83"/>
      <c r="N14" s="93"/>
      <c r="O14" s="82"/>
      <c r="P14" s="612"/>
      <c r="Q14" s="612"/>
      <c r="R14" s="613"/>
    </row>
    <row r="15" spans="1:18" s="4" customFormat="1">
      <c r="A15" s="237">
        <v>26</v>
      </c>
      <c r="B15" s="236" t="s">
        <v>234</v>
      </c>
      <c r="C15" s="19" t="s">
        <v>11</v>
      </c>
      <c r="D15" s="61" t="s">
        <v>14</v>
      </c>
      <c r="E15" s="73">
        <v>0</v>
      </c>
      <c r="F15" s="74">
        <v>0</v>
      </c>
      <c r="G15" s="75">
        <v>0</v>
      </c>
      <c r="H15" s="74">
        <v>0</v>
      </c>
      <c r="I15" s="74">
        <v>0</v>
      </c>
      <c r="J15" s="74">
        <v>0</v>
      </c>
      <c r="K15" s="82">
        <v>0</v>
      </c>
      <c r="L15" s="18">
        <v>0</v>
      </c>
      <c r="M15" s="83">
        <v>0</v>
      </c>
      <c r="N15" s="93"/>
      <c r="O15" s="82">
        <v>0</v>
      </c>
      <c r="P15" s="612">
        <v>0</v>
      </c>
      <c r="Q15" s="612">
        <v>0</v>
      </c>
      <c r="R15" s="83">
        <v>0</v>
      </c>
    </row>
    <row r="16" spans="1:18" s="4" customFormat="1">
      <c r="A16" s="237">
        <v>26</v>
      </c>
      <c r="B16" s="236" t="s">
        <v>58</v>
      </c>
      <c r="C16" s="19" t="s">
        <v>11</v>
      </c>
      <c r="D16" s="20" t="s">
        <v>15</v>
      </c>
      <c r="E16" s="73">
        <v>52.782368012999996</v>
      </c>
      <c r="F16" s="74">
        <v>33.049222202999999</v>
      </c>
      <c r="G16" s="75">
        <v>19.985209723000001</v>
      </c>
      <c r="H16" s="74">
        <v>0</v>
      </c>
      <c r="I16" s="74">
        <v>0</v>
      </c>
      <c r="J16" s="74">
        <v>0</v>
      </c>
      <c r="K16" s="82">
        <v>50.273367862999997</v>
      </c>
      <c r="L16" s="18">
        <v>30.540222053000001</v>
      </c>
      <c r="M16" s="83">
        <v>17.476209573000002</v>
      </c>
      <c r="N16" s="93"/>
      <c r="O16" s="82">
        <v>11.00684481</v>
      </c>
      <c r="P16" s="612">
        <v>8.5113256499999999</v>
      </c>
      <c r="Q16" s="612">
        <v>12.029842820000001</v>
      </c>
      <c r="R16" s="83">
        <v>0</v>
      </c>
    </row>
    <row r="17" spans="1:18" outlineLevel="1">
      <c r="A17" s="237">
        <v>26</v>
      </c>
      <c r="B17" s="236" t="s">
        <v>17</v>
      </c>
      <c r="C17" s="21" t="s">
        <v>11</v>
      </c>
      <c r="D17" s="426" t="s">
        <v>17</v>
      </c>
      <c r="E17" s="76">
        <v>10.148707669999999</v>
      </c>
      <c r="F17" s="7">
        <v>5.6477332600000008</v>
      </c>
      <c r="G17" s="77">
        <v>4.5748759300000001</v>
      </c>
      <c r="H17" s="7">
        <v>0</v>
      </c>
      <c r="I17" s="7">
        <v>0</v>
      </c>
      <c r="J17" s="7">
        <v>0</v>
      </c>
      <c r="K17" s="84">
        <v>10.148707669999999</v>
      </c>
      <c r="L17" s="5">
        <v>5.6477332600000008</v>
      </c>
      <c r="M17" s="85">
        <v>4.5748759300000001</v>
      </c>
      <c r="N17" s="94"/>
      <c r="O17" s="84">
        <v>2.5251910400000002</v>
      </c>
      <c r="P17" s="614">
        <v>2.3779526500000001</v>
      </c>
      <c r="Q17" s="614">
        <v>2.5438200799999997</v>
      </c>
      <c r="R17" s="85">
        <v>0</v>
      </c>
    </row>
    <row r="18" spans="1:18" outlineLevel="1">
      <c r="A18" s="237">
        <v>26</v>
      </c>
      <c r="B18" s="236" t="s">
        <v>18</v>
      </c>
      <c r="C18" s="21" t="s">
        <v>11</v>
      </c>
      <c r="D18" s="426" t="s">
        <v>18</v>
      </c>
      <c r="E18" s="76">
        <v>0</v>
      </c>
      <c r="F18" s="7">
        <v>0</v>
      </c>
      <c r="G18" s="77">
        <v>0</v>
      </c>
      <c r="H18" s="7">
        <v>0</v>
      </c>
      <c r="I18" s="7">
        <v>0</v>
      </c>
      <c r="J18" s="7">
        <v>0</v>
      </c>
      <c r="K18" s="84">
        <v>0</v>
      </c>
      <c r="L18" s="5">
        <v>0</v>
      </c>
      <c r="M18" s="85">
        <v>0</v>
      </c>
      <c r="N18" s="94"/>
      <c r="O18" s="84">
        <v>0.4458106</v>
      </c>
      <c r="P18" s="614">
        <v>0.42202442000000001</v>
      </c>
      <c r="Q18" s="614">
        <v>4.3517486099999996</v>
      </c>
      <c r="R18" s="85">
        <v>0</v>
      </c>
    </row>
    <row r="19" spans="1:18" outlineLevel="1">
      <c r="A19" s="237">
        <v>26</v>
      </c>
      <c r="B19" s="236" t="s">
        <v>19</v>
      </c>
      <c r="C19" s="21" t="s">
        <v>11</v>
      </c>
      <c r="D19" s="426" t="s">
        <v>19</v>
      </c>
      <c r="E19" s="76">
        <v>3.7106992899999991</v>
      </c>
      <c r="F19" s="7">
        <v>3.7106992899999991</v>
      </c>
      <c r="G19" s="77">
        <v>3.6164745900000002</v>
      </c>
      <c r="H19" s="7">
        <v>0</v>
      </c>
      <c r="I19" s="7">
        <v>0</v>
      </c>
      <c r="J19" s="7">
        <v>0</v>
      </c>
      <c r="K19" s="84">
        <v>1.2016991399999992</v>
      </c>
      <c r="L19" s="5">
        <v>1.2016991399999992</v>
      </c>
      <c r="M19" s="85">
        <v>1.1074744400000003</v>
      </c>
      <c r="N19" s="94"/>
      <c r="O19" s="84">
        <v>0.66144985000000023</v>
      </c>
      <c r="P19" s="614">
        <v>0.25128049999999996</v>
      </c>
      <c r="Q19" s="614">
        <v>0.61807492000000019</v>
      </c>
      <c r="R19" s="85">
        <v>0</v>
      </c>
    </row>
    <row r="20" spans="1:18" outlineLevel="1">
      <c r="A20" s="237">
        <v>26</v>
      </c>
      <c r="B20" s="236" t="s">
        <v>77</v>
      </c>
      <c r="C20" s="21" t="s">
        <v>11</v>
      </c>
      <c r="D20" s="426" t="s">
        <v>77</v>
      </c>
      <c r="E20" s="76">
        <v>21.200062376000005</v>
      </c>
      <c r="F20" s="7">
        <v>5.9678909759999996</v>
      </c>
      <c r="G20" s="77">
        <v>5.3376188359999999</v>
      </c>
      <c r="H20" s="7">
        <v>0</v>
      </c>
      <c r="I20" s="7">
        <v>0</v>
      </c>
      <c r="J20" s="7">
        <v>0</v>
      </c>
      <c r="K20" s="84">
        <v>21.200062376000005</v>
      </c>
      <c r="L20" s="5">
        <v>5.9678909759999996</v>
      </c>
      <c r="M20" s="85">
        <v>5.3376188359999999</v>
      </c>
      <c r="N20" s="94"/>
      <c r="O20" s="84">
        <v>2.6050306700000005</v>
      </c>
      <c r="P20" s="614">
        <v>2.0818223000000007</v>
      </c>
      <c r="Q20" s="614">
        <v>0.76537301000000069</v>
      </c>
      <c r="R20" s="85">
        <v>0</v>
      </c>
    </row>
    <row r="21" spans="1:18" outlineLevel="1">
      <c r="A21" s="237">
        <v>26</v>
      </c>
      <c r="B21" s="236" t="s">
        <v>78</v>
      </c>
      <c r="C21" s="21" t="s">
        <v>11</v>
      </c>
      <c r="D21" s="426" t="s">
        <v>78</v>
      </c>
      <c r="E21" s="76">
        <v>1.3673398300000001</v>
      </c>
      <c r="F21" s="7">
        <v>1.3673398300000001</v>
      </c>
      <c r="G21" s="77">
        <v>1.3351569100000003</v>
      </c>
      <c r="H21" s="7">
        <v>0</v>
      </c>
      <c r="I21" s="7">
        <v>0</v>
      </c>
      <c r="J21" s="7">
        <v>0</v>
      </c>
      <c r="K21" s="84">
        <v>1.3673398300000001</v>
      </c>
      <c r="L21" s="5">
        <v>1.3673398300000001</v>
      </c>
      <c r="M21" s="85">
        <v>1.3351569100000003</v>
      </c>
      <c r="N21" s="94"/>
      <c r="O21" s="84">
        <v>2.5662520000000005E-2</v>
      </c>
      <c r="P21" s="614">
        <v>-0.27115099999999998</v>
      </c>
      <c r="Q21" s="614">
        <v>1.7361800000000004E-2</v>
      </c>
      <c r="R21" s="85">
        <v>0</v>
      </c>
    </row>
    <row r="22" spans="1:18" outlineLevel="1">
      <c r="A22" s="237">
        <v>26</v>
      </c>
      <c r="B22" s="236" t="s">
        <v>393</v>
      </c>
      <c r="C22" s="21" t="s">
        <v>11</v>
      </c>
      <c r="D22" s="426" t="s">
        <v>393</v>
      </c>
      <c r="E22" s="76">
        <v>-3.2614589999999999E-2</v>
      </c>
      <c r="F22" s="7">
        <v>-3.2614589999999999E-2</v>
      </c>
      <c r="G22" s="77">
        <v>6.0000000000000008E-8</v>
      </c>
      <c r="H22" s="7">
        <v>0</v>
      </c>
      <c r="I22" s="7">
        <v>0</v>
      </c>
      <c r="J22" s="7">
        <v>0</v>
      </c>
      <c r="K22" s="84">
        <v>-3.2614589999999999E-2</v>
      </c>
      <c r="L22" s="5">
        <v>-3.2614589999999999E-2</v>
      </c>
      <c r="M22" s="85">
        <v>6.0000000000000008E-8</v>
      </c>
      <c r="N22" s="94"/>
      <c r="O22" s="84">
        <v>0</v>
      </c>
      <c r="P22" s="614">
        <v>0</v>
      </c>
      <c r="Q22" s="614">
        <v>0</v>
      </c>
      <c r="R22" s="85">
        <v>0</v>
      </c>
    </row>
    <row r="23" spans="1:18" outlineLevel="1">
      <c r="A23" s="237">
        <v>26</v>
      </c>
      <c r="B23" s="236" t="s">
        <v>80</v>
      </c>
      <c r="C23" s="21" t="s">
        <v>11</v>
      </c>
      <c r="D23" s="426" t="s">
        <v>80</v>
      </c>
      <c r="E23" s="76">
        <v>-1.93405892</v>
      </c>
      <c r="F23" s="7">
        <v>-1.93405892</v>
      </c>
      <c r="G23" s="77">
        <v>-1.4000519899999999</v>
      </c>
      <c r="H23" s="7">
        <v>0</v>
      </c>
      <c r="I23" s="7">
        <v>0</v>
      </c>
      <c r="J23" s="7">
        <v>0</v>
      </c>
      <c r="K23" s="84">
        <v>-1.93405892</v>
      </c>
      <c r="L23" s="5">
        <v>-1.93405892</v>
      </c>
      <c r="M23" s="85">
        <v>-1.4000519899999999</v>
      </c>
      <c r="N23" s="94"/>
      <c r="O23" s="84">
        <v>-0.04</v>
      </c>
      <c r="P23" s="614">
        <v>-0.49912499999999999</v>
      </c>
      <c r="Q23" s="614">
        <v>-0.97889300000000001</v>
      </c>
      <c r="R23" s="85">
        <v>0</v>
      </c>
    </row>
    <row r="24" spans="1:18" outlineLevel="1">
      <c r="A24" s="237">
        <v>26</v>
      </c>
      <c r="B24" s="236" t="s">
        <v>104</v>
      </c>
      <c r="C24" s="21" t="s">
        <v>11</v>
      </c>
      <c r="D24" s="64" t="s">
        <v>405</v>
      </c>
      <c r="E24" s="76">
        <v>-0.20970485999999999</v>
      </c>
      <c r="F24" s="7">
        <v>-0.20970485999999999</v>
      </c>
      <c r="G24" s="77">
        <v>-5.9199999999999997E-4</v>
      </c>
      <c r="H24" s="7">
        <v>0</v>
      </c>
      <c r="I24" s="7">
        <v>0</v>
      </c>
      <c r="J24" s="7">
        <v>0</v>
      </c>
      <c r="K24" s="84">
        <v>-0.20970485999999999</v>
      </c>
      <c r="L24" s="5">
        <v>-0.20970485999999999</v>
      </c>
      <c r="M24" s="85">
        <v>-5.9199999999999997E-4</v>
      </c>
      <c r="N24" s="94"/>
      <c r="O24" s="84">
        <v>0.45715188999999995</v>
      </c>
      <c r="P24" s="614">
        <v>0.45290378999999997</v>
      </c>
      <c r="Q24" s="614">
        <v>0.44424898999999995</v>
      </c>
      <c r="R24" s="85">
        <v>0</v>
      </c>
    </row>
    <row r="25" spans="1:18" outlineLevel="1">
      <c r="A25" s="237">
        <v>26</v>
      </c>
      <c r="B25" s="236" t="s">
        <v>105</v>
      </c>
      <c r="C25" s="21" t="s">
        <v>11</v>
      </c>
      <c r="D25" s="65" t="s">
        <v>25</v>
      </c>
      <c r="E25" s="416">
        <v>18.531937217000003</v>
      </c>
      <c r="F25" s="7">
        <v>18.531937217000003</v>
      </c>
      <c r="G25" s="77">
        <v>6.5217273869999994</v>
      </c>
      <c r="H25" s="7">
        <v>0</v>
      </c>
      <c r="I25" s="7">
        <v>0</v>
      </c>
      <c r="J25" s="7">
        <v>0</v>
      </c>
      <c r="K25" s="84">
        <v>18.531937217000003</v>
      </c>
      <c r="L25" s="5">
        <v>18.531937217000003</v>
      </c>
      <c r="M25" s="85">
        <v>6.5217273869999994</v>
      </c>
      <c r="N25" s="94"/>
      <c r="O25" s="84">
        <v>4.3265482400000002</v>
      </c>
      <c r="P25" s="614">
        <v>3.6956179899999997</v>
      </c>
      <c r="Q25" s="614">
        <v>4.26810841</v>
      </c>
      <c r="R25" s="85">
        <v>0</v>
      </c>
    </row>
    <row r="26" spans="1:18" s="4" customFormat="1">
      <c r="A26" s="237">
        <v>26</v>
      </c>
      <c r="B26" s="236" t="s">
        <v>26</v>
      </c>
      <c r="C26" s="19" t="s">
        <v>11</v>
      </c>
      <c r="D26" s="61" t="s">
        <v>26</v>
      </c>
      <c r="E26" s="73">
        <v>51.441420500000007</v>
      </c>
      <c r="F26" s="74">
        <v>51.143020110000002</v>
      </c>
      <c r="G26" s="75">
        <v>28.030780119999999</v>
      </c>
      <c r="H26" s="74">
        <v>0</v>
      </c>
      <c r="I26" s="74">
        <v>0</v>
      </c>
      <c r="J26" s="74">
        <v>0</v>
      </c>
      <c r="K26" s="82">
        <v>13.653856590000002</v>
      </c>
      <c r="L26" s="18">
        <v>13.355456200000001</v>
      </c>
      <c r="M26" s="83">
        <v>1.64676055</v>
      </c>
      <c r="N26" s="93"/>
      <c r="O26" s="82">
        <v>10.738278912999998</v>
      </c>
      <c r="P26" s="612">
        <v>10.294046112</v>
      </c>
      <c r="Q26" s="612">
        <v>12.895147152999998</v>
      </c>
      <c r="R26" s="83">
        <v>0</v>
      </c>
    </row>
    <row r="27" spans="1:18" outlineLevel="1">
      <c r="A27" s="237">
        <v>26</v>
      </c>
      <c r="B27" s="236" t="s">
        <v>235</v>
      </c>
      <c r="C27" s="21" t="s">
        <v>11</v>
      </c>
      <c r="D27" s="65" t="s">
        <v>28</v>
      </c>
      <c r="E27" s="76">
        <v>4.6295061099999995</v>
      </c>
      <c r="F27" s="7">
        <v>4.6295060999999995</v>
      </c>
      <c r="G27" s="77">
        <v>0.19091936999999998</v>
      </c>
      <c r="H27" s="7">
        <v>0</v>
      </c>
      <c r="I27" s="7">
        <v>0</v>
      </c>
      <c r="J27" s="7">
        <v>0</v>
      </c>
      <c r="K27" s="84">
        <v>4.6295061099999995</v>
      </c>
      <c r="L27" s="5">
        <v>4.6295060999999995</v>
      </c>
      <c r="M27" s="85">
        <v>0.19091936999999998</v>
      </c>
      <c r="N27" s="94"/>
      <c r="O27" s="84">
        <v>-0.46007137000000004</v>
      </c>
      <c r="P27" s="614">
        <v>-0.50570287800000002</v>
      </c>
      <c r="Q27" s="614">
        <v>-0.12022263000000005</v>
      </c>
      <c r="R27" s="85">
        <v>0</v>
      </c>
    </row>
    <row r="28" spans="1:18" outlineLevel="1">
      <c r="A28" s="237">
        <v>26</v>
      </c>
      <c r="B28" s="236" t="s">
        <v>106</v>
      </c>
      <c r="C28" s="21" t="s">
        <v>11</v>
      </c>
      <c r="D28" s="65" t="s">
        <v>27</v>
      </c>
      <c r="E28" s="76">
        <v>0.34107437000000002</v>
      </c>
      <c r="F28" s="7">
        <v>0.34107436000000002</v>
      </c>
      <c r="G28" s="77">
        <v>0.38160242999999999</v>
      </c>
      <c r="H28" s="7">
        <v>0</v>
      </c>
      <c r="I28" s="7">
        <v>0</v>
      </c>
      <c r="J28" s="7">
        <v>0</v>
      </c>
      <c r="K28" s="84">
        <v>-4.3290629999999997E-2</v>
      </c>
      <c r="L28" s="5">
        <v>-4.3290639999999991E-2</v>
      </c>
      <c r="M28" s="85">
        <v>-2.7625700000000002E-3</v>
      </c>
      <c r="N28" s="94"/>
      <c r="O28" s="84">
        <v>7.3785580000000003E-2</v>
      </c>
      <c r="P28" s="614">
        <v>5.0000000000000004E-8</v>
      </c>
      <c r="Q28" s="614">
        <v>7.3785580000000003E-2</v>
      </c>
      <c r="R28" s="85">
        <v>0</v>
      </c>
    </row>
    <row r="29" spans="1:18" outlineLevel="1">
      <c r="A29" s="237">
        <v>26</v>
      </c>
      <c r="B29" s="236" t="s">
        <v>87</v>
      </c>
      <c r="C29" s="21" t="s">
        <v>11</v>
      </c>
      <c r="D29" s="65" t="s">
        <v>30</v>
      </c>
      <c r="E29" s="76">
        <v>-0.35621767999999993</v>
      </c>
      <c r="F29" s="7">
        <v>-0.35621767999999993</v>
      </c>
      <c r="G29" s="77">
        <v>-2.5247550000000035E-2</v>
      </c>
      <c r="H29" s="7">
        <v>0</v>
      </c>
      <c r="I29" s="7">
        <v>0</v>
      </c>
      <c r="J29" s="7">
        <v>0</v>
      </c>
      <c r="K29" s="84">
        <v>-0.35621767999999993</v>
      </c>
      <c r="L29" s="5">
        <v>-0.35621767999999993</v>
      </c>
      <c r="M29" s="85">
        <v>-2.5247550000000035E-2</v>
      </c>
      <c r="N29" s="94"/>
      <c r="O29" s="84">
        <v>0.11861064999999996</v>
      </c>
      <c r="P29" s="614">
        <v>0.11371624000000001</v>
      </c>
      <c r="Q29" s="614">
        <v>0.82000699999999993</v>
      </c>
      <c r="R29" s="85">
        <v>0</v>
      </c>
    </row>
    <row r="30" spans="1:18" outlineLevel="1">
      <c r="A30" s="237">
        <v>26</v>
      </c>
      <c r="B30" s="236" t="s">
        <v>107</v>
      </c>
      <c r="C30" s="21" t="s">
        <v>11</v>
      </c>
      <c r="D30" s="65" t="s">
        <v>29</v>
      </c>
      <c r="E30" s="76">
        <v>29.203711219999999</v>
      </c>
      <c r="F30" s="7">
        <v>29.203711219999999</v>
      </c>
      <c r="G30" s="77">
        <v>17.74926086</v>
      </c>
      <c r="H30" s="7">
        <v>0</v>
      </c>
      <c r="I30" s="7">
        <v>0</v>
      </c>
      <c r="J30" s="7">
        <v>0</v>
      </c>
      <c r="K30" s="84">
        <v>-1.6968669999999998E-2</v>
      </c>
      <c r="L30" s="5">
        <v>-1.6968669999999998E-2</v>
      </c>
      <c r="M30" s="85">
        <v>-6.7874690000000001E-2</v>
      </c>
      <c r="N30" s="94"/>
      <c r="O30" s="84">
        <v>0.14024841000000002</v>
      </c>
      <c r="P30" s="614">
        <v>0.14300012000000001</v>
      </c>
      <c r="Q30" s="614">
        <v>0.14024841000000002</v>
      </c>
      <c r="R30" s="85">
        <v>0</v>
      </c>
    </row>
    <row r="31" spans="1:18" outlineLevel="1">
      <c r="A31" s="237">
        <v>26</v>
      </c>
      <c r="B31" s="236" t="s">
        <v>236</v>
      </c>
      <c r="C31" s="21" t="s">
        <v>11</v>
      </c>
      <c r="D31" s="65" t="s">
        <v>31</v>
      </c>
      <c r="E31" s="76">
        <v>1.3247822900000001</v>
      </c>
      <c r="F31" s="7">
        <v>1.3031350400000001</v>
      </c>
      <c r="G31" s="77">
        <v>1.2757848100000002</v>
      </c>
      <c r="H31" s="7">
        <v>0</v>
      </c>
      <c r="I31" s="7">
        <v>0</v>
      </c>
      <c r="J31" s="7">
        <v>0</v>
      </c>
      <c r="K31" s="84">
        <v>1.1360902900000001</v>
      </c>
      <c r="L31" s="5">
        <v>1.1144430400000001</v>
      </c>
      <c r="M31" s="85">
        <v>1.0870928100000001</v>
      </c>
      <c r="N31" s="94"/>
      <c r="O31" s="84">
        <v>3.7304300000000006E-2</v>
      </c>
      <c r="P31" s="614">
        <v>4.0517580000000004E-2</v>
      </c>
      <c r="Q31" s="614">
        <v>1.0558011</v>
      </c>
      <c r="R31" s="85">
        <v>0</v>
      </c>
    </row>
    <row r="32" spans="1:18" outlineLevel="1">
      <c r="A32" s="237">
        <v>26</v>
      </c>
      <c r="B32" s="236" t="s">
        <v>237</v>
      </c>
      <c r="C32" s="21" t="s">
        <v>11</v>
      </c>
      <c r="D32" s="65" t="s">
        <v>394</v>
      </c>
      <c r="E32" s="76">
        <v>1.10725699</v>
      </c>
      <c r="F32" s="7">
        <v>0.83050386999999992</v>
      </c>
      <c r="G32" s="77">
        <v>0.55188419999999994</v>
      </c>
      <c r="H32" s="7">
        <v>0</v>
      </c>
      <c r="I32" s="7">
        <v>0</v>
      </c>
      <c r="J32" s="7">
        <v>0</v>
      </c>
      <c r="K32" s="84">
        <v>1.10725699</v>
      </c>
      <c r="L32" s="5">
        <v>0.83050386999999992</v>
      </c>
      <c r="M32" s="85">
        <v>0.55188419999999994</v>
      </c>
      <c r="N32" s="94"/>
      <c r="O32" s="84">
        <v>8.9735307000000013</v>
      </c>
      <c r="P32" s="614">
        <v>8.9069258200000014</v>
      </c>
      <c r="Q32" s="614">
        <v>9.0550517199999998</v>
      </c>
      <c r="R32" s="85">
        <v>0</v>
      </c>
    </row>
    <row r="33" spans="1:18" outlineLevel="1">
      <c r="A33" s="237">
        <v>26</v>
      </c>
      <c r="B33" s="236" t="s">
        <v>163</v>
      </c>
      <c r="C33" s="19" t="s">
        <v>11</v>
      </c>
      <c r="D33" s="65" t="s">
        <v>403</v>
      </c>
      <c r="E33" s="76">
        <v>15.191307200000001</v>
      </c>
      <c r="F33" s="7">
        <v>15.191307200000001</v>
      </c>
      <c r="G33" s="77">
        <v>7.9065760000000003</v>
      </c>
      <c r="H33" s="7">
        <v>0</v>
      </c>
      <c r="I33" s="7">
        <v>0</v>
      </c>
      <c r="J33" s="7">
        <v>0</v>
      </c>
      <c r="K33" s="84">
        <v>7.1974801799999995</v>
      </c>
      <c r="L33" s="5">
        <v>7.1974801799999995</v>
      </c>
      <c r="M33" s="85">
        <v>-8.7251020000000012E-2</v>
      </c>
      <c r="N33" s="94"/>
      <c r="O33" s="84">
        <v>1.8548706430000002</v>
      </c>
      <c r="P33" s="614">
        <v>1.5955891800000004</v>
      </c>
      <c r="Q33" s="614">
        <v>1.8704759730000002</v>
      </c>
      <c r="R33" s="85">
        <v>0</v>
      </c>
    </row>
    <row r="34" spans="1:18" outlineLevel="1">
      <c r="A34" s="237">
        <v>26</v>
      </c>
      <c r="B34" s="236" t="s">
        <v>404</v>
      </c>
      <c r="C34" s="19" t="s">
        <v>11</v>
      </c>
      <c r="D34" s="65" t="s">
        <v>395</v>
      </c>
      <c r="E34" s="76">
        <v>0</v>
      </c>
      <c r="F34" s="7">
        <v>0</v>
      </c>
      <c r="G34" s="77">
        <v>0</v>
      </c>
      <c r="H34" s="7">
        <v>0</v>
      </c>
      <c r="I34" s="7">
        <v>0</v>
      </c>
      <c r="J34" s="7">
        <v>0</v>
      </c>
      <c r="K34" s="84">
        <v>0</v>
      </c>
      <c r="L34" s="5">
        <v>0</v>
      </c>
      <c r="M34" s="85">
        <v>0</v>
      </c>
      <c r="N34" s="94"/>
      <c r="O34" s="84">
        <v>0</v>
      </c>
      <c r="P34" s="614">
        <v>0</v>
      </c>
      <c r="Q34" s="614">
        <v>0</v>
      </c>
      <c r="R34" s="85">
        <v>0</v>
      </c>
    </row>
    <row r="35" spans="1:18" s="4" customFormat="1">
      <c r="A35" s="237">
        <v>26</v>
      </c>
      <c r="B35" s="236" t="s">
        <v>59</v>
      </c>
      <c r="C35" s="19" t="s">
        <v>11</v>
      </c>
      <c r="D35" s="61" t="s">
        <v>33</v>
      </c>
      <c r="E35" s="73">
        <v>22.30288096</v>
      </c>
      <c r="F35" s="74">
        <v>22.30288096</v>
      </c>
      <c r="G35" s="75">
        <v>22.302881230000001</v>
      </c>
      <c r="H35" s="74">
        <v>0</v>
      </c>
      <c r="I35" s="74">
        <v>0</v>
      </c>
      <c r="J35" s="74">
        <v>0</v>
      </c>
      <c r="K35" s="82">
        <v>-4.9667442600000022</v>
      </c>
      <c r="L35" s="18">
        <v>-4.9667442600000022</v>
      </c>
      <c r="M35" s="83">
        <v>10.864224220000001</v>
      </c>
      <c r="N35" s="93"/>
      <c r="O35" s="82">
        <v>15.259532009999997</v>
      </c>
      <c r="P35" s="612">
        <v>15.259547940000001</v>
      </c>
      <c r="Q35" s="612">
        <v>34.554297689999999</v>
      </c>
      <c r="R35" s="83">
        <v>0</v>
      </c>
    </row>
    <row r="36" spans="1:18" s="4" customFormat="1">
      <c r="A36" s="237">
        <v>26</v>
      </c>
      <c r="B36" s="236" t="s">
        <v>34</v>
      </c>
      <c r="C36" s="19" t="s">
        <v>11</v>
      </c>
      <c r="D36" s="61" t="s">
        <v>34</v>
      </c>
      <c r="E36" s="73">
        <v>2.9723074400000002</v>
      </c>
      <c r="F36" s="74">
        <v>2.9723074400000002</v>
      </c>
      <c r="G36" s="75">
        <v>3.8256887800000001</v>
      </c>
      <c r="H36" s="74">
        <v>0</v>
      </c>
      <c r="I36" s="74">
        <v>0</v>
      </c>
      <c r="J36" s="74">
        <v>0</v>
      </c>
      <c r="K36" s="82">
        <v>2.9723074400000002</v>
      </c>
      <c r="L36" s="18">
        <v>2.9723074400000002</v>
      </c>
      <c r="M36" s="83">
        <v>3.8256887800000001</v>
      </c>
      <c r="N36" s="93"/>
      <c r="O36" s="82">
        <v>3.8053875300000009</v>
      </c>
      <c r="P36" s="612">
        <v>4.0374855399999996</v>
      </c>
      <c r="Q36" s="612">
        <v>4.6310079900000005</v>
      </c>
      <c r="R36" s="83">
        <v>0</v>
      </c>
    </row>
    <row r="37" spans="1:18" outlineLevel="1">
      <c r="A37" s="237">
        <v>26</v>
      </c>
      <c r="B37" s="236" t="s">
        <v>399</v>
      </c>
      <c r="C37" s="21" t="s">
        <v>11</v>
      </c>
      <c r="D37" s="65" t="s">
        <v>296</v>
      </c>
      <c r="E37" s="76">
        <v>-6.1288449999999994E-2</v>
      </c>
      <c r="F37" s="7">
        <v>-6.1288449999999994E-2</v>
      </c>
      <c r="G37" s="77">
        <v>6.0000000000000008E-8</v>
      </c>
      <c r="H37" s="7">
        <v>0</v>
      </c>
      <c r="I37" s="7">
        <v>0</v>
      </c>
      <c r="J37" s="7">
        <v>0</v>
      </c>
      <c r="K37" s="84">
        <v>-6.1288449999999994E-2</v>
      </c>
      <c r="L37" s="5">
        <v>-6.1288449999999994E-2</v>
      </c>
      <c r="M37" s="85">
        <v>6.0000000000000008E-8</v>
      </c>
      <c r="N37" s="94"/>
      <c r="O37" s="84">
        <v>3.2094763100000003</v>
      </c>
      <c r="P37" s="614">
        <v>3.4229370100000005</v>
      </c>
      <c r="Q37" s="614">
        <v>3.0405284500000005</v>
      </c>
      <c r="R37" s="85">
        <v>0</v>
      </c>
    </row>
    <row r="38" spans="1:18" outlineLevel="1">
      <c r="A38" s="237">
        <v>26</v>
      </c>
      <c r="B38" s="236" t="s">
        <v>400</v>
      </c>
      <c r="C38" s="21" t="s">
        <v>11</v>
      </c>
      <c r="D38" s="65" t="s">
        <v>396</v>
      </c>
      <c r="E38" s="76">
        <v>6.069937999999999E-2</v>
      </c>
      <c r="F38" s="7">
        <v>6.069937999999999E-2</v>
      </c>
      <c r="G38" s="77">
        <v>9.0674099999999994E-2</v>
      </c>
      <c r="H38" s="7">
        <v>0</v>
      </c>
      <c r="I38" s="7">
        <v>0</v>
      </c>
      <c r="J38" s="7">
        <v>0</v>
      </c>
      <c r="K38" s="84">
        <v>6.069937999999999E-2</v>
      </c>
      <c r="L38" s="5">
        <v>6.069937999999999E-2</v>
      </c>
      <c r="M38" s="85">
        <v>9.0674099999999994E-2</v>
      </c>
      <c r="N38" s="94"/>
      <c r="O38" s="84">
        <v>1.2624500000000002E-3</v>
      </c>
      <c r="P38" s="614">
        <v>-2.4686130000000001E-2</v>
      </c>
      <c r="Q38" s="614">
        <v>1.01115635</v>
      </c>
      <c r="R38" s="85">
        <v>0</v>
      </c>
    </row>
    <row r="39" spans="1:18" outlineLevel="1">
      <c r="A39" s="237">
        <v>26</v>
      </c>
      <c r="B39" s="236" t="s">
        <v>401</v>
      </c>
      <c r="C39" s="21" t="s">
        <v>11</v>
      </c>
      <c r="D39" s="65" t="s">
        <v>397</v>
      </c>
      <c r="E39" s="76">
        <v>0</v>
      </c>
      <c r="F39" s="7">
        <v>0</v>
      </c>
      <c r="G39" s="77">
        <v>0</v>
      </c>
      <c r="H39" s="7">
        <v>0</v>
      </c>
      <c r="I39" s="7">
        <v>0</v>
      </c>
      <c r="J39" s="7">
        <v>0</v>
      </c>
      <c r="K39" s="84">
        <v>0</v>
      </c>
      <c r="L39" s="5">
        <v>0</v>
      </c>
      <c r="M39" s="85">
        <v>0</v>
      </c>
      <c r="N39" s="94"/>
      <c r="O39" s="84">
        <v>0</v>
      </c>
      <c r="P39" s="614">
        <v>0</v>
      </c>
      <c r="Q39" s="614">
        <v>0</v>
      </c>
      <c r="R39" s="85">
        <v>0</v>
      </c>
    </row>
    <row r="40" spans="1:18" outlineLevel="1">
      <c r="A40" s="237">
        <v>26</v>
      </c>
      <c r="B40" s="236" t="s">
        <v>93</v>
      </c>
      <c r="C40" s="21" t="s">
        <v>11</v>
      </c>
      <c r="D40" s="65" t="s">
        <v>35</v>
      </c>
      <c r="E40" s="76">
        <v>0.83044724999999997</v>
      </c>
      <c r="F40" s="7">
        <v>0.83044724999999997</v>
      </c>
      <c r="G40" s="77">
        <v>0.86466270999999995</v>
      </c>
      <c r="H40" s="7">
        <v>0</v>
      </c>
      <c r="I40" s="7">
        <v>0</v>
      </c>
      <c r="J40" s="7">
        <v>0</v>
      </c>
      <c r="K40" s="84">
        <v>0.83044724999999997</v>
      </c>
      <c r="L40" s="5">
        <v>0.83044724999999997</v>
      </c>
      <c r="M40" s="85">
        <v>0.86466270999999995</v>
      </c>
      <c r="N40" s="94"/>
      <c r="O40" s="84">
        <v>0</v>
      </c>
      <c r="P40" s="614">
        <v>0</v>
      </c>
      <c r="Q40" s="614">
        <v>0</v>
      </c>
      <c r="R40" s="85">
        <v>0</v>
      </c>
    </row>
    <row r="41" spans="1:18" outlineLevel="1">
      <c r="A41" s="237">
        <v>26</v>
      </c>
      <c r="B41" s="236" t="s">
        <v>238</v>
      </c>
      <c r="C41" s="21" t="s">
        <v>11</v>
      </c>
      <c r="D41" s="65" t="s">
        <v>36</v>
      </c>
      <c r="E41" s="76">
        <v>2.1424492599999998</v>
      </c>
      <c r="F41" s="7">
        <v>2.1424492599999998</v>
      </c>
      <c r="G41" s="77">
        <v>2.8703519099999997</v>
      </c>
      <c r="H41" s="7">
        <v>0</v>
      </c>
      <c r="I41" s="7">
        <v>0</v>
      </c>
      <c r="J41" s="7">
        <v>0</v>
      </c>
      <c r="K41" s="84">
        <v>2.1424492599999998</v>
      </c>
      <c r="L41" s="5">
        <v>2.1424492599999998</v>
      </c>
      <c r="M41" s="85">
        <v>2.8703519099999997</v>
      </c>
      <c r="N41" s="94"/>
      <c r="O41" s="84">
        <v>0.59464876999999994</v>
      </c>
      <c r="P41" s="614">
        <v>0.63923465999999984</v>
      </c>
      <c r="Q41" s="614">
        <v>0.57932318999999999</v>
      </c>
      <c r="R41" s="85">
        <v>0</v>
      </c>
    </row>
    <row r="42" spans="1:18" outlineLevel="1">
      <c r="A42" s="237">
        <v>26</v>
      </c>
      <c r="B42" s="236" t="s">
        <v>402</v>
      </c>
      <c r="C42" s="21" t="s">
        <v>11</v>
      </c>
      <c r="D42" s="65" t="s">
        <v>398</v>
      </c>
      <c r="E42" s="76">
        <v>0</v>
      </c>
      <c r="F42" s="7">
        <v>0</v>
      </c>
      <c r="G42" s="77">
        <v>0</v>
      </c>
      <c r="H42" s="7">
        <v>0</v>
      </c>
      <c r="I42" s="7">
        <v>0</v>
      </c>
      <c r="J42" s="7">
        <v>0</v>
      </c>
      <c r="K42" s="84">
        <v>0</v>
      </c>
      <c r="L42" s="5">
        <v>0</v>
      </c>
      <c r="M42" s="85">
        <v>0</v>
      </c>
      <c r="N42" s="94"/>
      <c r="O42" s="84">
        <v>0</v>
      </c>
      <c r="P42" s="614">
        <v>0</v>
      </c>
      <c r="Q42" s="614">
        <v>0</v>
      </c>
      <c r="R42" s="85">
        <v>0</v>
      </c>
    </row>
    <row r="43" spans="1:18">
      <c r="B43" s="236"/>
      <c r="C43" s="580"/>
      <c r="D43" s="581"/>
      <c r="E43" s="76"/>
      <c r="F43" s="7"/>
      <c r="G43" s="77"/>
      <c r="H43" s="7"/>
      <c r="I43" s="7"/>
      <c r="J43" s="7"/>
      <c r="K43" s="84"/>
      <c r="L43" s="5"/>
      <c r="M43" s="85"/>
      <c r="N43" s="94"/>
      <c r="O43" s="84"/>
      <c r="P43" s="614"/>
      <c r="Q43" s="614"/>
      <c r="R43" s="85"/>
    </row>
    <row r="44" spans="1:18" s="4" customFormat="1">
      <c r="A44" s="237" t="s">
        <v>191</v>
      </c>
      <c r="B44" s="236" t="s">
        <v>13</v>
      </c>
      <c r="C44" s="19" t="s">
        <v>37</v>
      </c>
      <c r="D44" s="16" t="s">
        <v>12</v>
      </c>
      <c r="E44" s="78">
        <v>79.566730337899983</v>
      </c>
      <c r="F44" s="74">
        <v>77.039396339000021</v>
      </c>
      <c r="G44" s="75">
        <v>68.131159079900016</v>
      </c>
      <c r="H44" s="74">
        <v>3.69889594E-2</v>
      </c>
      <c r="I44" s="74">
        <v>3.69889594E-2</v>
      </c>
      <c r="J44" s="74">
        <v>3.69889594E-2</v>
      </c>
      <c r="K44" s="82">
        <v>67.451094152099984</v>
      </c>
      <c r="L44" s="18">
        <v>67.082303826900016</v>
      </c>
      <c r="M44" s="83">
        <v>64.228394828100022</v>
      </c>
      <c r="N44" s="93"/>
      <c r="O44" s="82">
        <v>57.05542093159999</v>
      </c>
      <c r="P44" s="612">
        <v>60.66499504359998</v>
      </c>
      <c r="Q44" s="612">
        <v>94.516455754700019</v>
      </c>
      <c r="R44" s="613">
        <v>0</v>
      </c>
    </row>
    <row r="45" spans="1:18" s="4" customFormat="1" ht="18">
      <c r="A45" s="237" t="s">
        <v>191</v>
      </c>
      <c r="B45" s="236" t="s">
        <v>243</v>
      </c>
      <c r="C45" s="578"/>
      <c r="D45" s="579"/>
      <c r="E45" s="73"/>
      <c r="F45" s="74"/>
      <c r="G45" s="75"/>
      <c r="H45" s="74"/>
      <c r="I45" s="74"/>
      <c r="J45" s="74"/>
      <c r="K45" s="82"/>
      <c r="L45" s="18"/>
      <c r="M45" s="83"/>
      <c r="N45" s="93"/>
      <c r="O45" s="82"/>
      <c r="P45" s="612"/>
      <c r="Q45" s="612"/>
      <c r="R45" s="613"/>
    </row>
    <row r="46" spans="1:18" s="4" customFormat="1">
      <c r="A46" s="237" t="s">
        <v>191</v>
      </c>
      <c r="B46" s="236" t="s">
        <v>234</v>
      </c>
      <c r="C46" s="19" t="s">
        <v>37</v>
      </c>
      <c r="D46" s="61" t="s">
        <v>14</v>
      </c>
      <c r="E46" s="73">
        <v>0</v>
      </c>
      <c r="F46" s="74">
        <v>0</v>
      </c>
      <c r="G46" s="75">
        <v>0</v>
      </c>
      <c r="H46" s="74">
        <v>0</v>
      </c>
      <c r="I46" s="74">
        <v>0</v>
      </c>
      <c r="J46" s="74">
        <v>0</v>
      </c>
      <c r="K46" s="82">
        <v>0</v>
      </c>
      <c r="L46" s="18">
        <v>0</v>
      </c>
      <c r="M46" s="83">
        <v>0</v>
      </c>
      <c r="N46" s="93"/>
      <c r="O46" s="82">
        <v>0</v>
      </c>
      <c r="P46" s="612">
        <v>0</v>
      </c>
      <c r="Q46" s="612">
        <v>0</v>
      </c>
      <c r="R46" s="83">
        <v>0</v>
      </c>
    </row>
    <row r="47" spans="1:18" s="4" customFormat="1">
      <c r="A47" s="237" t="s">
        <v>191</v>
      </c>
      <c r="B47" s="236" t="s">
        <v>58</v>
      </c>
      <c r="C47" s="19" t="s">
        <v>37</v>
      </c>
      <c r="D47" s="20" t="s">
        <v>15</v>
      </c>
      <c r="E47" s="73">
        <v>16.236899391600005</v>
      </c>
      <c r="F47" s="74">
        <v>16.086033554300002</v>
      </c>
      <c r="G47" s="75">
        <v>11.815080443700001</v>
      </c>
      <c r="H47" s="74">
        <v>0</v>
      </c>
      <c r="I47" s="74">
        <v>0</v>
      </c>
      <c r="J47" s="74">
        <v>0</v>
      </c>
      <c r="K47" s="82">
        <v>16.001409844600005</v>
      </c>
      <c r="L47" s="18">
        <v>15.850544007300003</v>
      </c>
      <c r="M47" s="83">
        <v>11.587740062900002</v>
      </c>
      <c r="N47" s="93"/>
      <c r="O47" s="82">
        <v>18.726716248300001</v>
      </c>
      <c r="P47" s="612">
        <v>15.97799496</v>
      </c>
      <c r="Q47" s="612">
        <v>24.379921868000004</v>
      </c>
      <c r="R47" s="83">
        <v>0</v>
      </c>
    </row>
    <row r="48" spans="1:18" outlineLevel="1">
      <c r="A48" s="237" t="s">
        <v>191</v>
      </c>
      <c r="B48" s="236" t="s">
        <v>17</v>
      </c>
      <c r="C48" s="21" t="s">
        <v>37</v>
      </c>
      <c r="D48" s="426" t="s">
        <v>17</v>
      </c>
      <c r="E48" s="76">
        <v>3.1201138545000004</v>
      </c>
      <c r="F48" s="7">
        <v>3.1201138545000004</v>
      </c>
      <c r="G48" s="77">
        <v>1.6974835181999999</v>
      </c>
      <c r="H48" s="7">
        <v>0</v>
      </c>
      <c r="I48" s="7">
        <v>0</v>
      </c>
      <c r="J48" s="7">
        <v>0</v>
      </c>
      <c r="K48" s="84">
        <v>3.1201138545000004</v>
      </c>
      <c r="L48" s="5">
        <v>3.1201138545000004</v>
      </c>
      <c r="M48" s="85">
        <v>1.6974835181999999</v>
      </c>
      <c r="N48" s="94"/>
      <c r="O48" s="84">
        <v>2.6167766835999999</v>
      </c>
      <c r="P48" s="614">
        <v>2.4906042436</v>
      </c>
      <c r="Q48" s="614">
        <v>5.5088701153000006</v>
      </c>
      <c r="R48" s="85">
        <v>0</v>
      </c>
    </row>
    <row r="49" spans="1:18" outlineLevel="1">
      <c r="A49" s="237" t="s">
        <v>191</v>
      </c>
      <c r="B49" s="236" t="s">
        <v>18</v>
      </c>
      <c r="C49" s="21" t="s">
        <v>37</v>
      </c>
      <c r="D49" s="426" t="s">
        <v>18</v>
      </c>
      <c r="E49" s="76">
        <v>8.0696495300000004E-2</v>
      </c>
      <c r="F49" s="7">
        <v>8.0696495300000004E-2</v>
      </c>
      <c r="G49" s="77">
        <v>8.3010465300000003E-2</v>
      </c>
      <c r="H49" s="7">
        <v>0</v>
      </c>
      <c r="I49" s="7">
        <v>0</v>
      </c>
      <c r="J49" s="7">
        <v>0</v>
      </c>
      <c r="K49" s="84">
        <v>8.0696495300000004E-2</v>
      </c>
      <c r="L49" s="5">
        <v>8.0696495300000004E-2</v>
      </c>
      <c r="M49" s="85">
        <v>8.3010465300000003E-2</v>
      </c>
      <c r="N49" s="94"/>
      <c r="O49" s="84">
        <v>0.77817917529999991</v>
      </c>
      <c r="P49" s="614">
        <v>0.65279126530000009</v>
      </c>
      <c r="Q49" s="614">
        <v>1.6815913748</v>
      </c>
      <c r="R49" s="85">
        <v>0</v>
      </c>
    </row>
    <row r="50" spans="1:18" outlineLevel="1">
      <c r="A50" s="237" t="s">
        <v>191</v>
      </c>
      <c r="B50" s="236" t="s">
        <v>19</v>
      </c>
      <c r="C50" s="21" t="s">
        <v>37</v>
      </c>
      <c r="D50" s="426" t="s">
        <v>19</v>
      </c>
      <c r="E50" s="76">
        <v>9.0891046607000057</v>
      </c>
      <c r="F50" s="7">
        <v>8.9495838369000058</v>
      </c>
      <c r="G50" s="77">
        <v>6.8020103085000008</v>
      </c>
      <c r="H50" s="7">
        <v>0</v>
      </c>
      <c r="I50" s="7">
        <v>0</v>
      </c>
      <c r="J50" s="7">
        <v>0</v>
      </c>
      <c r="K50" s="84">
        <v>8.9335467161000057</v>
      </c>
      <c r="L50" s="5">
        <v>8.7940258923000059</v>
      </c>
      <c r="M50" s="85">
        <v>6.6546015301000008</v>
      </c>
      <c r="N50" s="94"/>
      <c r="O50" s="84">
        <v>3.8786675055000002</v>
      </c>
      <c r="P50" s="614">
        <v>3.8541040607000001</v>
      </c>
      <c r="Q50" s="614">
        <v>7.7262020865999981</v>
      </c>
      <c r="R50" s="85">
        <v>0</v>
      </c>
    </row>
    <row r="51" spans="1:18" outlineLevel="1">
      <c r="A51" s="237" t="s">
        <v>191</v>
      </c>
      <c r="B51" s="236" t="s">
        <v>77</v>
      </c>
      <c r="C51" s="21" t="s">
        <v>37</v>
      </c>
      <c r="D51" s="426" t="s">
        <v>77</v>
      </c>
      <c r="E51" s="76">
        <v>0.99384730100000029</v>
      </c>
      <c r="F51" s="7">
        <v>0.99384730100000029</v>
      </c>
      <c r="G51" s="77">
        <v>0.8910024809999999</v>
      </c>
      <c r="H51" s="7">
        <v>0</v>
      </c>
      <c r="I51" s="7">
        <v>0</v>
      </c>
      <c r="J51" s="7">
        <v>0</v>
      </c>
      <c r="K51" s="84">
        <v>0.99384730100000029</v>
      </c>
      <c r="L51" s="5">
        <v>0.99384730100000029</v>
      </c>
      <c r="M51" s="85">
        <v>0.8910024809999999</v>
      </c>
      <c r="N51" s="94"/>
      <c r="O51" s="84">
        <v>0.58407300049999999</v>
      </c>
      <c r="P51" s="614">
        <v>-0.73035259949999998</v>
      </c>
      <c r="Q51" s="614">
        <v>-0.43041899949999995</v>
      </c>
      <c r="R51" s="85">
        <v>0</v>
      </c>
    </row>
    <row r="52" spans="1:18" outlineLevel="1">
      <c r="A52" s="237" t="s">
        <v>191</v>
      </c>
      <c r="B52" s="236" t="s">
        <v>78</v>
      </c>
      <c r="C52" s="21" t="s">
        <v>37</v>
      </c>
      <c r="D52" s="426" t="s">
        <v>78</v>
      </c>
      <c r="E52" s="76">
        <v>1.6162015974000004</v>
      </c>
      <c r="F52" s="7">
        <v>1.6162015974000004</v>
      </c>
      <c r="G52" s="77">
        <v>1.0992570552000003</v>
      </c>
      <c r="H52" s="7">
        <v>0</v>
      </c>
      <c r="I52" s="7">
        <v>0</v>
      </c>
      <c r="J52" s="7">
        <v>0</v>
      </c>
      <c r="K52" s="84">
        <v>1.6162015974000004</v>
      </c>
      <c r="L52" s="5">
        <v>1.6162015974000004</v>
      </c>
      <c r="M52" s="85">
        <v>1.0992570552000003</v>
      </c>
      <c r="N52" s="94"/>
      <c r="O52" s="84">
        <v>1.1716748116</v>
      </c>
      <c r="P52" s="614">
        <v>0.9009470516000001</v>
      </c>
      <c r="Q52" s="614">
        <v>1.6214141493000001</v>
      </c>
      <c r="R52" s="85">
        <v>0</v>
      </c>
    </row>
    <row r="53" spans="1:18" outlineLevel="1">
      <c r="A53" s="237" t="s">
        <v>191</v>
      </c>
      <c r="B53" s="236" t="s">
        <v>393</v>
      </c>
      <c r="C53" s="21" t="s">
        <v>37</v>
      </c>
      <c r="D53" s="426" t="s">
        <v>393</v>
      </c>
      <c r="E53" s="76">
        <v>0.87073002719999992</v>
      </c>
      <c r="F53" s="7">
        <v>0.87073002719999992</v>
      </c>
      <c r="G53" s="77">
        <v>0.89043044719999997</v>
      </c>
      <c r="H53" s="7">
        <v>0</v>
      </c>
      <c r="I53" s="7">
        <v>0</v>
      </c>
      <c r="J53" s="7">
        <v>0</v>
      </c>
      <c r="K53" s="84">
        <v>0.87073002719999992</v>
      </c>
      <c r="L53" s="5">
        <v>0.87073002719999992</v>
      </c>
      <c r="M53" s="85">
        <v>0.89043044719999997</v>
      </c>
      <c r="N53" s="94"/>
      <c r="O53" s="84">
        <v>6.1751564599999982E-2</v>
      </c>
      <c r="P53" s="614">
        <v>9.44251111E-2</v>
      </c>
      <c r="Q53" s="614">
        <v>0.2327827623</v>
      </c>
      <c r="R53" s="85">
        <v>0</v>
      </c>
    </row>
    <row r="54" spans="1:18" outlineLevel="1">
      <c r="A54" s="237" t="s">
        <v>191</v>
      </c>
      <c r="B54" s="236" t="s">
        <v>80</v>
      </c>
      <c r="C54" s="21" t="s">
        <v>37</v>
      </c>
      <c r="D54" s="426" t="s">
        <v>80</v>
      </c>
      <c r="E54" s="76">
        <v>-4.3256449400000001</v>
      </c>
      <c r="F54" s="7">
        <v>-4.3256449400000001</v>
      </c>
      <c r="G54" s="77">
        <v>-4.0502809766000007</v>
      </c>
      <c r="H54" s="7">
        <v>0</v>
      </c>
      <c r="I54" s="7">
        <v>0</v>
      </c>
      <c r="J54" s="7">
        <v>0</v>
      </c>
      <c r="K54" s="84">
        <v>-4.3256449400000001</v>
      </c>
      <c r="L54" s="5">
        <v>-4.3256449400000001</v>
      </c>
      <c r="M54" s="85">
        <v>-4.0502809766000007</v>
      </c>
      <c r="N54" s="94"/>
      <c r="O54" s="84">
        <v>-0.27841777000000001</v>
      </c>
      <c r="P54" s="614">
        <v>-1.4112688600000001</v>
      </c>
      <c r="Q54" s="614">
        <v>-3.0498038851999998</v>
      </c>
      <c r="R54" s="85">
        <v>0</v>
      </c>
    </row>
    <row r="55" spans="1:18" outlineLevel="1">
      <c r="A55" s="237" t="s">
        <v>191</v>
      </c>
      <c r="B55" s="236" t="s">
        <v>104</v>
      </c>
      <c r="C55" s="21" t="s">
        <v>37</v>
      </c>
      <c r="D55" s="64" t="s">
        <v>405</v>
      </c>
      <c r="E55" s="76">
        <v>0.77670100400000008</v>
      </c>
      <c r="F55" s="7">
        <v>0.77670100400000008</v>
      </c>
      <c r="G55" s="77">
        <v>0.1800293784</v>
      </c>
      <c r="H55" s="7">
        <v>0</v>
      </c>
      <c r="I55" s="7">
        <v>0</v>
      </c>
      <c r="J55" s="7">
        <v>0</v>
      </c>
      <c r="K55" s="84">
        <v>0.77670100400000008</v>
      </c>
      <c r="L55" s="5">
        <v>0.77670100400000008</v>
      </c>
      <c r="M55" s="85">
        <v>0.1800293784</v>
      </c>
      <c r="N55" s="94"/>
      <c r="O55" s="84">
        <v>3.2001540968</v>
      </c>
      <c r="P55" s="614">
        <v>3.0609287768</v>
      </c>
      <c r="Q55" s="614">
        <v>2.4913347083999997</v>
      </c>
      <c r="R55" s="85">
        <v>0</v>
      </c>
    </row>
    <row r="56" spans="1:18" outlineLevel="1">
      <c r="A56" s="237" t="s">
        <v>191</v>
      </c>
      <c r="B56" s="236" t="s">
        <v>105</v>
      </c>
      <c r="C56" s="21" t="s">
        <v>37</v>
      </c>
      <c r="D56" s="65" t="s">
        <v>25</v>
      </c>
      <c r="E56" s="417">
        <v>4.0151493914999996</v>
      </c>
      <c r="F56" s="7">
        <v>4.0038043779999999</v>
      </c>
      <c r="G56" s="77">
        <v>4.2221377665000004</v>
      </c>
      <c r="H56" s="7">
        <v>0</v>
      </c>
      <c r="I56" s="7">
        <v>0</v>
      </c>
      <c r="J56" s="7">
        <v>0</v>
      </c>
      <c r="K56" s="84">
        <v>3.9352177890999998</v>
      </c>
      <c r="L56" s="5">
        <v>3.9238727756</v>
      </c>
      <c r="M56" s="85">
        <v>4.1422061641000001</v>
      </c>
      <c r="N56" s="94"/>
      <c r="O56" s="84">
        <v>6.7138571803999989</v>
      </c>
      <c r="P56" s="614">
        <v>7.0658159103999987</v>
      </c>
      <c r="Q56" s="614">
        <v>8.5979495559999979</v>
      </c>
      <c r="R56" s="85">
        <v>0</v>
      </c>
    </row>
    <row r="57" spans="1:18" s="4" customFormat="1">
      <c r="A57" s="237" t="s">
        <v>191</v>
      </c>
      <c r="B57" s="236" t="s">
        <v>26</v>
      </c>
      <c r="C57" s="19" t="s">
        <v>37</v>
      </c>
      <c r="D57" s="20" t="s">
        <v>26</v>
      </c>
      <c r="E57" s="73">
        <v>33.317004514700017</v>
      </c>
      <c r="F57" s="74">
        <v>31.344666539100018</v>
      </c>
      <c r="G57" s="75">
        <v>27.046586209000015</v>
      </c>
      <c r="H57" s="74">
        <v>0</v>
      </c>
      <c r="I57" s="74">
        <v>0</v>
      </c>
      <c r="J57" s="74">
        <v>0</v>
      </c>
      <c r="K57" s="82">
        <v>27.49675871560002</v>
      </c>
      <c r="L57" s="18">
        <v>27.339797925200021</v>
      </c>
      <c r="M57" s="83">
        <v>26.898798005600014</v>
      </c>
      <c r="N57" s="93"/>
      <c r="O57" s="82">
        <v>22.8453875939</v>
      </c>
      <c r="P57" s="612">
        <v>21.891610786499996</v>
      </c>
      <c r="Q57" s="612">
        <v>33.978082593700002</v>
      </c>
      <c r="R57" s="83">
        <v>0</v>
      </c>
    </row>
    <row r="58" spans="1:18" outlineLevel="1">
      <c r="A58" s="237" t="s">
        <v>191</v>
      </c>
      <c r="B58" s="236" t="s">
        <v>235</v>
      </c>
      <c r="C58" s="21" t="s">
        <v>37</v>
      </c>
      <c r="D58" s="65" t="s">
        <v>28</v>
      </c>
      <c r="E58" s="76">
        <v>3.4876260877999998</v>
      </c>
      <c r="F58" s="7">
        <v>3.4876260877999998</v>
      </c>
      <c r="G58" s="77">
        <v>4.9960976534999997</v>
      </c>
      <c r="H58" s="7">
        <v>0</v>
      </c>
      <c r="I58" s="7">
        <v>0</v>
      </c>
      <c r="J58" s="7">
        <v>0</v>
      </c>
      <c r="K58" s="84">
        <v>3.4248286002999997</v>
      </c>
      <c r="L58" s="5">
        <v>3.3398378843999996</v>
      </c>
      <c r="M58" s="85">
        <v>4.8483094500999995</v>
      </c>
      <c r="N58" s="94"/>
      <c r="O58" s="84">
        <v>3.4777946332000007</v>
      </c>
      <c r="P58" s="614">
        <v>3.0859319492000008</v>
      </c>
      <c r="Q58" s="614">
        <v>4.2604165626000015</v>
      </c>
      <c r="R58" s="85">
        <v>0</v>
      </c>
    </row>
    <row r="59" spans="1:18" outlineLevel="1">
      <c r="A59" s="237" t="s">
        <v>191</v>
      </c>
      <c r="B59" s="236" t="s">
        <v>106</v>
      </c>
      <c r="C59" s="21" t="s">
        <v>37</v>
      </c>
      <c r="D59" s="65" t="s">
        <v>27</v>
      </c>
      <c r="E59" s="76">
        <v>2.884572831799999</v>
      </c>
      <c r="F59" s="7">
        <v>2.7806860327999998</v>
      </c>
      <c r="G59" s="77">
        <v>2.3335319674999999</v>
      </c>
      <c r="H59" s="7">
        <v>0</v>
      </c>
      <c r="I59" s="7">
        <v>0</v>
      </c>
      <c r="J59" s="7">
        <v>0</v>
      </c>
      <c r="K59" s="84">
        <v>2.884572831799999</v>
      </c>
      <c r="L59" s="5">
        <v>2.7806860327999998</v>
      </c>
      <c r="M59" s="85">
        <v>2.3335319674999999</v>
      </c>
      <c r="N59" s="94"/>
      <c r="O59" s="84">
        <v>1.2600728924</v>
      </c>
      <c r="P59" s="614">
        <v>1.1895949924</v>
      </c>
      <c r="Q59" s="614">
        <v>1.7859212323000002</v>
      </c>
      <c r="R59" s="85">
        <v>0</v>
      </c>
    </row>
    <row r="60" spans="1:18" outlineLevel="1">
      <c r="A60" s="237" t="s">
        <v>191</v>
      </c>
      <c r="B60" s="236" t="s">
        <v>87</v>
      </c>
      <c r="C60" s="21" t="s">
        <v>37</v>
      </c>
      <c r="D60" s="65" t="s">
        <v>30</v>
      </c>
      <c r="E60" s="76">
        <v>0.61233872619999996</v>
      </c>
      <c r="F60" s="7">
        <v>0.61233872619999996</v>
      </c>
      <c r="G60" s="77">
        <v>0.93012109619999994</v>
      </c>
      <c r="H60" s="7">
        <v>0</v>
      </c>
      <c r="I60" s="7">
        <v>0</v>
      </c>
      <c r="J60" s="7">
        <v>0</v>
      </c>
      <c r="K60" s="84">
        <v>0.61233872619999996</v>
      </c>
      <c r="L60" s="5">
        <v>0.61233872619999996</v>
      </c>
      <c r="M60" s="85">
        <v>0.93012109619999994</v>
      </c>
      <c r="N60" s="94"/>
      <c r="O60" s="84">
        <v>5.0200943721</v>
      </c>
      <c r="P60" s="614">
        <v>4.9235812820999998</v>
      </c>
      <c r="Q60" s="614">
        <v>4.9745029668000003</v>
      </c>
      <c r="R60" s="85">
        <v>0</v>
      </c>
    </row>
    <row r="61" spans="1:18" outlineLevel="1">
      <c r="A61" s="237" t="s">
        <v>191</v>
      </c>
      <c r="B61" s="236" t="s">
        <v>107</v>
      </c>
      <c r="C61" s="21" t="s">
        <v>37</v>
      </c>
      <c r="D61" s="65" t="s">
        <v>29</v>
      </c>
      <c r="E61" s="76">
        <v>2.0193427515</v>
      </c>
      <c r="F61" s="7">
        <v>1.7018086704000002</v>
      </c>
      <c r="G61" s="77">
        <v>1.8781461979</v>
      </c>
      <c r="H61" s="7">
        <v>0</v>
      </c>
      <c r="I61" s="7">
        <v>0</v>
      </c>
      <c r="J61" s="7">
        <v>0</v>
      </c>
      <c r="K61" s="84">
        <v>1.7018086703999999</v>
      </c>
      <c r="L61" s="5">
        <v>1.7018086704000002</v>
      </c>
      <c r="M61" s="85">
        <v>1.8781461979</v>
      </c>
      <c r="N61" s="94"/>
      <c r="O61" s="84">
        <v>1.6149772901000001</v>
      </c>
      <c r="P61" s="614">
        <v>1.5887891220000001</v>
      </c>
      <c r="Q61" s="614">
        <v>1.9521268419999998</v>
      </c>
      <c r="R61" s="85">
        <v>0</v>
      </c>
    </row>
    <row r="62" spans="1:18" outlineLevel="1">
      <c r="A62" s="237" t="s">
        <v>191</v>
      </c>
      <c r="B62" s="236" t="s">
        <v>236</v>
      </c>
      <c r="C62" s="21" t="s">
        <v>37</v>
      </c>
      <c r="D62" s="65" t="s">
        <v>31</v>
      </c>
      <c r="E62" s="76">
        <v>11.235183052499998</v>
      </c>
      <c r="F62" s="7">
        <v>9.6842659569999991</v>
      </c>
      <c r="G62" s="77">
        <v>4.3177860654</v>
      </c>
      <c r="H62" s="7">
        <v>0</v>
      </c>
      <c r="I62" s="7">
        <v>0</v>
      </c>
      <c r="J62" s="7">
        <v>0</v>
      </c>
      <c r="K62" s="84">
        <v>5.8482256740999992</v>
      </c>
      <c r="L62" s="5">
        <v>5.8271855464999991</v>
      </c>
      <c r="M62" s="85">
        <v>4.3177860654</v>
      </c>
      <c r="N62" s="94"/>
      <c r="O62" s="84">
        <v>2.7735228946000006</v>
      </c>
      <c r="P62" s="614">
        <v>2.8917907088000003</v>
      </c>
      <c r="Q62" s="614">
        <v>2.9570904075000009</v>
      </c>
      <c r="R62" s="85">
        <v>0</v>
      </c>
    </row>
    <row r="63" spans="1:18" outlineLevel="1">
      <c r="A63" s="237" t="s">
        <v>191</v>
      </c>
      <c r="B63" s="236" t="s">
        <v>237</v>
      </c>
      <c r="C63" s="21" t="s">
        <v>37</v>
      </c>
      <c r="D63" s="65" t="s">
        <v>394</v>
      </c>
      <c r="E63" s="76">
        <v>7.5138675608000005</v>
      </c>
      <c r="F63" s="7">
        <v>7.5138675608000005</v>
      </c>
      <c r="G63" s="77">
        <v>5.8856591725999996</v>
      </c>
      <c r="H63" s="7">
        <v>0</v>
      </c>
      <c r="I63" s="7">
        <v>0</v>
      </c>
      <c r="J63" s="7">
        <v>0</v>
      </c>
      <c r="K63" s="84">
        <v>7.4609107087000002</v>
      </c>
      <c r="L63" s="5">
        <v>7.5138675608000005</v>
      </c>
      <c r="M63" s="85">
        <v>5.8856591725999996</v>
      </c>
      <c r="N63" s="94"/>
      <c r="O63" s="84">
        <v>2.9175054925999997</v>
      </c>
      <c r="P63" s="614">
        <v>2.9065363992999997</v>
      </c>
      <c r="Q63" s="614">
        <v>9.9773681960999987</v>
      </c>
      <c r="R63" s="85">
        <v>0</v>
      </c>
    </row>
    <row r="64" spans="1:18" outlineLevel="1">
      <c r="A64" s="237" t="s">
        <v>191</v>
      </c>
      <c r="B64" s="236" t="s">
        <v>163</v>
      </c>
      <c r="C64" s="21" t="s">
        <v>37</v>
      </c>
      <c r="D64" s="65" t="s">
        <v>403</v>
      </c>
      <c r="E64" s="76">
        <v>5.5640735040999996</v>
      </c>
      <c r="F64" s="7">
        <v>5.5640735040999996</v>
      </c>
      <c r="G64" s="77">
        <v>6.7052440559000006</v>
      </c>
      <c r="H64" s="7">
        <v>0</v>
      </c>
      <c r="I64" s="7">
        <v>0</v>
      </c>
      <c r="J64" s="7">
        <v>0</v>
      </c>
      <c r="K64" s="84">
        <v>5.5640735040999996</v>
      </c>
      <c r="L64" s="5">
        <v>5.5640735040999996</v>
      </c>
      <c r="M64" s="85">
        <v>6.7052440559000006</v>
      </c>
      <c r="N64" s="94"/>
      <c r="O64" s="84">
        <v>5.7814200188999996</v>
      </c>
      <c r="P64" s="614">
        <v>5.3053863326999995</v>
      </c>
      <c r="Q64" s="614">
        <v>8.0706563863999996</v>
      </c>
      <c r="R64" s="85">
        <v>0</v>
      </c>
    </row>
    <row r="65" spans="1:20" outlineLevel="1">
      <c r="A65" s="237" t="s">
        <v>191</v>
      </c>
      <c r="B65" s="236" t="s">
        <v>404</v>
      </c>
      <c r="C65" s="21" t="s">
        <v>37</v>
      </c>
      <c r="D65" s="65" t="s">
        <v>395</v>
      </c>
      <c r="E65" s="76">
        <v>0</v>
      </c>
      <c r="F65" s="7">
        <v>0</v>
      </c>
      <c r="G65" s="77">
        <v>0</v>
      </c>
      <c r="H65" s="7">
        <v>0</v>
      </c>
      <c r="I65" s="7">
        <v>0</v>
      </c>
      <c r="J65" s="7">
        <v>0</v>
      </c>
      <c r="K65" s="84">
        <v>0</v>
      </c>
      <c r="L65" s="5">
        <v>0</v>
      </c>
      <c r="M65" s="85">
        <v>0</v>
      </c>
      <c r="N65" s="94"/>
      <c r="O65" s="84">
        <v>0</v>
      </c>
      <c r="P65" s="614">
        <v>0</v>
      </c>
      <c r="Q65" s="614">
        <v>0</v>
      </c>
      <c r="R65" s="85">
        <v>0</v>
      </c>
    </row>
    <row r="66" spans="1:20" s="4" customFormat="1">
      <c r="A66" s="237" t="s">
        <v>191</v>
      </c>
      <c r="B66" s="236" t="s">
        <v>59</v>
      </c>
      <c r="C66" s="19" t="s">
        <v>37</v>
      </c>
      <c r="D66" s="61" t="s">
        <v>33</v>
      </c>
      <c r="E66" s="73">
        <v>16.121618462500003</v>
      </c>
      <c r="F66" s="74">
        <v>15.778451964</v>
      </c>
      <c r="G66" s="75">
        <v>15.995220877600001</v>
      </c>
      <c r="H66" s="74">
        <v>3.69889594E-2</v>
      </c>
      <c r="I66" s="74">
        <v>3.69889594E-2</v>
      </c>
      <c r="J66" s="74">
        <v>3.69889594E-2</v>
      </c>
      <c r="K66" s="82">
        <v>14.658778019200001</v>
      </c>
      <c r="L66" s="18">
        <v>14.658778009200001</v>
      </c>
      <c r="M66" s="83">
        <v>15.010965479300001</v>
      </c>
      <c r="N66" s="93"/>
      <c r="O66" s="82">
        <v>4.2602697134999987</v>
      </c>
      <c r="P66" s="612">
        <v>7.246562152000001</v>
      </c>
      <c r="Q66" s="612">
        <v>12.873507616600001</v>
      </c>
      <c r="R66" s="83">
        <v>0</v>
      </c>
    </row>
    <row r="67" spans="1:20" s="4" customFormat="1">
      <c r="A67" s="237" t="s">
        <v>191</v>
      </c>
      <c r="B67" s="236" t="s">
        <v>34</v>
      </c>
      <c r="C67" s="19" t="s">
        <v>37</v>
      </c>
      <c r="D67" s="61" t="s">
        <v>34</v>
      </c>
      <c r="E67" s="73">
        <v>13.891207969100003</v>
      </c>
      <c r="F67" s="74">
        <v>13.830244281600004</v>
      </c>
      <c r="G67" s="75">
        <v>13.274271549600002</v>
      </c>
      <c r="H67" s="74">
        <v>0</v>
      </c>
      <c r="I67" s="74">
        <v>0</v>
      </c>
      <c r="J67" s="74">
        <v>0</v>
      </c>
      <c r="K67" s="82">
        <v>9.2941475727000036</v>
      </c>
      <c r="L67" s="18">
        <v>9.2331838852000043</v>
      </c>
      <c r="M67" s="83">
        <v>10.730891280300002</v>
      </c>
      <c r="N67" s="93"/>
      <c r="O67" s="82">
        <v>11.223047375900002</v>
      </c>
      <c r="P67" s="612">
        <v>15.548827145100004</v>
      </c>
      <c r="Q67" s="612">
        <v>23.284943676400008</v>
      </c>
      <c r="R67" s="83">
        <v>0</v>
      </c>
    </row>
    <row r="68" spans="1:20" outlineLevel="1">
      <c r="A68" s="237" t="s">
        <v>191</v>
      </c>
      <c r="B68" s="236" t="s">
        <v>399</v>
      </c>
      <c r="C68" s="21" t="s">
        <v>37</v>
      </c>
      <c r="D68" s="65" t="s">
        <v>296</v>
      </c>
      <c r="E68" s="76">
        <v>5.2196543235999995</v>
      </c>
      <c r="F68" s="7">
        <v>5.2196543235999995</v>
      </c>
      <c r="G68" s="77">
        <v>3.4193356908999997</v>
      </c>
      <c r="H68" s="7">
        <v>0</v>
      </c>
      <c r="I68" s="7">
        <v>0</v>
      </c>
      <c r="J68" s="7">
        <v>0</v>
      </c>
      <c r="K68" s="84">
        <v>5.2196543235999995</v>
      </c>
      <c r="L68" s="5">
        <v>5.2196543235999995</v>
      </c>
      <c r="M68" s="85">
        <v>3.4193356908999997</v>
      </c>
      <c r="N68" s="94"/>
      <c r="O68" s="84">
        <v>3.7695054924</v>
      </c>
      <c r="P68" s="614">
        <v>5.7094846975000006</v>
      </c>
      <c r="Q68" s="614">
        <v>6.3845007490999972</v>
      </c>
      <c r="R68" s="85">
        <v>0</v>
      </c>
    </row>
    <row r="69" spans="1:20" outlineLevel="1">
      <c r="A69" s="237" t="s">
        <v>191</v>
      </c>
      <c r="B69" s="236" t="s">
        <v>400</v>
      </c>
      <c r="C69" s="21" t="s">
        <v>37</v>
      </c>
      <c r="D69" s="65" t="s">
        <v>396</v>
      </c>
      <c r="E69" s="76">
        <v>0.43985423070000007</v>
      </c>
      <c r="F69" s="7">
        <v>0.43985423070000007</v>
      </c>
      <c r="G69" s="77">
        <v>0.52608377070000012</v>
      </c>
      <c r="H69" s="7">
        <v>0</v>
      </c>
      <c r="I69" s="7">
        <v>0</v>
      </c>
      <c r="J69" s="7">
        <v>0</v>
      </c>
      <c r="K69" s="84">
        <v>0.43985423070000007</v>
      </c>
      <c r="L69" s="5">
        <v>0.43985423070000007</v>
      </c>
      <c r="M69" s="85">
        <v>0.52608377070000012</v>
      </c>
      <c r="N69" s="94"/>
      <c r="O69" s="84">
        <v>0.16968262200000001</v>
      </c>
      <c r="P69" s="614">
        <v>0.25115070200000006</v>
      </c>
      <c r="Q69" s="614">
        <v>0.43382337730000003</v>
      </c>
      <c r="R69" s="85">
        <v>0</v>
      </c>
    </row>
    <row r="70" spans="1:20" outlineLevel="1">
      <c r="A70" s="237" t="s">
        <v>191</v>
      </c>
      <c r="B70" s="236" t="s">
        <v>401</v>
      </c>
      <c r="C70" s="21" t="s">
        <v>37</v>
      </c>
      <c r="D70" s="65" t="s">
        <v>397</v>
      </c>
      <c r="E70" s="76">
        <v>6.5712911258000002</v>
      </c>
      <c r="F70" s="7">
        <v>6.5103274383</v>
      </c>
      <c r="G70" s="77">
        <v>5.2075106184000006</v>
      </c>
      <c r="H70" s="7">
        <v>0</v>
      </c>
      <c r="I70" s="7">
        <v>0</v>
      </c>
      <c r="J70" s="7">
        <v>0</v>
      </c>
      <c r="K70" s="84">
        <v>1.9742307293999999</v>
      </c>
      <c r="L70" s="5">
        <v>1.9132670419</v>
      </c>
      <c r="M70" s="85">
        <v>2.6641303491000006</v>
      </c>
      <c r="N70" s="94"/>
      <c r="O70" s="84">
        <v>3.3746741441999997</v>
      </c>
      <c r="P70" s="614">
        <v>3.4715987441999996</v>
      </c>
      <c r="Q70" s="614">
        <v>12.2659625345</v>
      </c>
      <c r="R70" s="85">
        <v>0</v>
      </c>
    </row>
    <row r="71" spans="1:20" outlineLevel="1">
      <c r="A71" s="237" t="s">
        <v>191</v>
      </c>
      <c r="B71" s="236" t="s">
        <v>93</v>
      </c>
      <c r="C71" s="21" t="s">
        <v>37</v>
      </c>
      <c r="D71" s="65" t="s">
        <v>35</v>
      </c>
      <c r="E71" s="76">
        <v>0.56562500899999968</v>
      </c>
      <c r="F71" s="7">
        <v>0.56562500899999968</v>
      </c>
      <c r="G71" s="77">
        <v>2.6837043595999996</v>
      </c>
      <c r="H71" s="7">
        <v>0</v>
      </c>
      <c r="I71" s="7">
        <v>0</v>
      </c>
      <c r="J71" s="7">
        <v>0</v>
      </c>
      <c r="K71" s="84">
        <v>0.56562500899999968</v>
      </c>
      <c r="L71" s="5">
        <v>0.56562500899999968</v>
      </c>
      <c r="M71" s="85">
        <v>2.6837043595999996</v>
      </c>
      <c r="N71" s="94"/>
      <c r="O71" s="84">
        <v>1.4317660973000004</v>
      </c>
      <c r="P71" s="614">
        <v>3.3101095813999999</v>
      </c>
      <c r="Q71" s="614">
        <v>1.6226662555000004</v>
      </c>
      <c r="R71" s="85">
        <v>0</v>
      </c>
    </row>
    <row r="72" spans="1:20" outlineLevel="1">
      <c r="A72" s="237" t="s">
        <v>191</v>
      </c>
      <c r="B72" s="236" t="s">
        <v>238</v>
      </c>
      <c r="C72" s="21" t="s">
        <v>37</v>
      </c>
      <c r="D72" s="65" t="s">
        <v>36</v>
      </c>
      <c r="E72" s="76">
        <v>1.0947832799999999</v>
      </c>
      <c r="F72" s="7">
        <v>1.0947832799999999</v>
      </c>
      <c r="G72" s="77">
        <v>1.4376371099999996</v>
      </c>
      <c r="H72" s="7">
        <v>0</v>
      </c>
      <c r="I72" s="7">
        <v>0</v>
      </c>
      <c r="J72" s="7">
        <v>0</v>
      </c>
      <c r="K72" s="84">
        <v>1.0947832799999999</v>
      </c>
      <c r="L72" s="5">
        <v>1.0947832799999999</v>
      </c>
      <c r="M72" s="85">
        <v>1.4376371099999996</v>
      </c>
      <c r="N72" s="94"/>
      <c r="O72" s="84">
        <v>2.4774190200000006</v>
      </c>
      <c r="P72" s="614">
        <v>2.8064834200000002</v>
      </c>
      <c r="Q72" s="614">
        <v>2.5779907600000005</v>
      </c>
      <c r="R72" s="85">
        <v>0</v>
      </c>
    </row>
    <row r="73" spans="1:20" outlineLevel="1">
      <c r="A73" s="237" t="s">
        <v>191</v>
      </c>
      <c r="B73" s="236" t="s">
        <v>402</v>
      </c>
      <c r="C73" s="21" t="s">
        <v>37</v>
      </c>
      <c r="D73" s="65" t="s">
        <v>398</v>
      </c>
      <c r="E73" s="76">
        <v>0</v>
      </c>
      <c r="F73" s="7">
        <v>0</v>
      </c>
      <c r="G73" s="77">
        <v>0</v>
      </c>
      <c r="H73" s="7">
        <v>0</v>
      </c>
      <c r="I73" s="7">
        <v>0</v>
      </c>
      <c r="J73" s="7">
        <v>0</v>
      </c>
      <c r="K73" s="84">
        <v>0</v>
      </c>
      <c r="L73" s="5">
        <v>0</v>
      </c>
      <c r="M73" s="85">
        <v>0</v>
      </c>
      <c r="N73" s="94"/>
      <c r="O73" s="84">
        <v>0</v>
      </c>
      <c r="P73" s="614">
        <v>0</v>
      </c>
      <c r="Q73" s="614">
        <v>0</v>
      </c>
      <c r="R73" s="85">
        <v>0</v>
      </c>
    </row>
    <row r="74" spans="1:20">
      <c r="B74" s="236"/>
      <c r="C74" s="580"/>
      <c r="D74" s="581"/>
      <c r="E74" s="76"/>
      <c r="F74" s="7"/>
      <c r="G74" s="77"/>
      <c r="H74" s="7"/>
      <c r="I74" s="7"/>
      <c r="J74" s="7"/>
      <c r="K74" s="84"/>
      <c r="L74" s="5"/>
      <c r="M74" s="85"/>
      <c r="N74" s="94"/>
      <c r="O74" s="84"/>
      <c r="P74" s="614"/>
      <c r="Q74" s="614"/>
      <c r="R74" s="85"/>
    </row>
    <row r="75" spans="1:20" s="4" customFormat="1">
      <c r="A75" s="237" t="s">
        <v>218</v>
      </c>
      <c r="B75" s="236" t="s">
        <v>13</v>
      </c>
      <c r="C75" s="20" t="s">
        <v>38</v>
      </c>
      <c r="D75" s="16" t="s">
        <v>12</v>
      </c>
      <c r="E75" s="78">
        <v>233.99971098570003</v>
      </c>
      <c r="F75" s="74">
        <v>224.84425204569999</v>
      </c>
      <c r="G75" s="75">
        <v>214.07240918729994</v>
      </c>
      <c r="H75" s="74">
        <v>2.2409883100000001</v>
      </c>
      <c r="I75" s="74">
        <v>2.13721315</v>
      </c>
      <c r="J75" s="74">
        <v>2.1107719899999999</v>
      </c>
      <c r="K75" s="82">
        <v>193.22002309570004</v>
      </c>
      <c r="L75" s="18">
        <v>190.7532973088</v>
      </c>
      <c r="M75" s="83">
        <v>199.34784277729995</v>
      </c>
      <c r="N75" s="93"/>
      <c r="O75" s="82">
        <v>103.82560624070013</v>
      </c>
      <c r="P75" s="612">
        <v>117.58628458290011</v>
      </c>
      <c r="Q75" s="612">
        <v>211.71549633730041</v>
      </c>
      <c r="R75" s="613">
        <v>0</v>
      </c>
    </row>
    <row r="76" spans="1:20" s="4" customFormat="1" ht="18">
      <c r="A76" s="237" t="s">
        <v>218</v>
      </c>
      <c r="B76" s="236" t="s">
        <v>243</v>
      </c>
      <c r="C76" s="578"/>
      <c r="D76" s="579"/>
      <c r="E76" s="73"/>
      <c r="F76" s="74"/>
      <c r="G76" s="75"/>
      <c r="H76" s="74"/>
      <c r="I76" s="74"/>
      <c r="J76" s="74"/>
      <c r="K76" s="82"/>
      <c r="L76" s="18"/>
      <c r="M76" s="83"/>
      <c r="N76" s="93"/>
      <c r="O76" s="82"/>
      <c r="P76" s="612"/>
      <c r="Q76" s="612"/>
      <c r="R76" s="613"/>
    </row>
    <row r="77" spans="1:20" s="4" customFormat="1">
      <c r="A77" s="237" t="s">
        <v>218</v>
      </c>
      <c r="B77" s="236" t="s">
        <v>234</v>
      </c>
      <c r="C77" s="20" t="s">
        <v>38</v>
      </c>
      <c r="D77" s="61" t="s">
        <v>14</v>
      </c>
      <c r="E77" s="73">
        <v>0</v>
      </c>
      <c r="F77" s="74">
        <v>0</v>
      </c>
      <c r="G77" s="75">
        <v>0</v>
      </c>
      <c r="H77" s="74">
        <v>0</v>
      </c>
      <c r="I77" s="74">
        <v>0</v>
      </c>
      <c r="J77" s="74">
        <v>0</v>
      </c>
      <c r="K77" s="82">
        <v>0</v>
      </c>
      <c r="L77" s="18">
        <v>0</v>
      </c>
      <c r="M77" s="83">
        <v>0</v>
      </c>
      <c r="N77" s="93"/>
      <c r="O77" s="82">
        <v>0</v>
      </c>
      <c r="P77" s="612">
        <v>0</v>
      </c>
      <c r="Q77" s="612">
        <v>0</v>
      </c>
      <c r="R77" s="83">
        <v>0</v>
      </c>
      <c r="T77" s="239"/>
    </row>
    <row r="78" spans="1:20" s="4" customFormat="1">
      <c r="A78" s="237" t="s">
        <v>218</v>
      </c>
      <c r="B78" s="236" t="s">
        <v>58</v>
      </c>
      <c r="C78" s="20" t="s">
        <v>38</v>
      </c>
      <c r="D78" s="20" t="s">
        <v>15</v>
      </c>
      <c r="E78" s="73">
        <v>97.061502254100077</v>
      </c>
      <c r="F78" s="74">
        <v>93.815251534100071</v>
      </c>
      <c r="G78" s="75">
        <v>93.85701183260008</v>
      </c>
      <c r="H78" s="74">
        <v>0.22607436999999997</v>
      </c>
      <c r="I78" s="74">
        <v>0.21197213999999998</v>
      </c>
      <c r="J78" s="74">
        <v>0.21197213999999998</v>
      </c>
      <c r="K78" s="82">
        <v>80.958071054100074</v>
      </c>
      <c r="L78" s="18">
        <v>80.531454064100075</v>
      </c>
      <c r="M78" s="83">
        <v>81.594212102600082</v>
      </c>
      <c r="N78" s="93"/>
      <c r="O78" s="82">
        <v>37.502210114699977</v>
      </c>
      <c r="P78" s="612">
        <v>39.136634434300007</v>
      </c>
      <c r="Q78" s="612">
        <v>90.402434967599959</v>
      </c>
      <c r="R78" s="83">
        <v>0</v>
      </c>
    </row>
    <row r="79" spans="1:20" outlineLevel="1">
      <c r="A79" s="237" t="s">
        <v>218</v>
      </c>
      <c r="B79" s="236" t="s">
        <v>17</v>
      </c>
      <c r="C79" s="23" t="s">
        <v>38</v>
      </c>
      <c r="D79" s="426" t="s">
        <v>17</v>
      </c>
      <c r="E79" s="76">
        <v>30.183916118699997</v>
      </c>
      <c r="F79" s="7">
        <v>27.410167438699997</v>
      </c>
      <c r="G79" s="77">
        <v>28.499693368699994</v>
      </c>
      <c r="H79" s="7">
        <v>0</v>
      </c>
      <c r="I79" s="7">
        <v>0</v>
      </c>
      <c r="J79" s="7">
        <v>0</v>
      </c>
      <c r="K79" s="84">
        <v>17.132635058699996</v>
      </c>
      <c r="L79" s="5">
        <v>17.132635058699996</v>
      </c>
      <c r="M79" s="85">
        <v>18.222653368699994</v>
      </c>
      <c r="N79" s="94"/>
      <c r="O79" s="84">
        <v>6.9298060806000006</v>
      </c>
      <c r="P79" s="614">
        <v>6.9676845306000006</v>
      </c>
      <c r="Q79" s="614">
        <v>11.061762460599999</v>
      </c>
      <c r="R79" s="85">
        <v>0</v>
      </c>
    </row>
    <row r="80" spans="1:20" outlineLevel="1">
      <c r="A80" s="237" t="s">
        <v>218</v>
      </c>
      <c r="B80" s="236" t="s">
        <v>18</v>
      </c>
      <c r="C80" s="23" t="s">
        <v>38</v>
      </c>
      <c r="D80" s="426" t="s">
        <v>18</v>
      </c>
      <c r="E80" s="76">
        <v>5.1177149999999998E-2</v>
      </c>
      <c r="F80" s="7">
        <v>5.1177149999999998E-2</v>
      </c>
      <c r="G80" s="77">
        <v>5.2543279999999998E-2</v>
      </c>
      <c r="H80" s="7">
        <v>0</v>
      </c>
      <c r="I80" s="7">
        <v>0</v>
      </c>
      <c r="J80" s="7">
        <v>0</v>
      </c>
      <c r="K80" s="84">
        <v>5.1177149999999998E-2</v>
      </c>
      <c r="L80" s="5">
        <v>5.1177149999999998E-2</v>
      </c>
      <c r="M80" s="85">
        <v>5.2543279999999998E-2</v>
      </c>
      <c r="N80" s="94"/>
      <c r="O80" s="84">
        <v>4.5879386900000005</v>
      </c>
      <c r="P80" s="614">
        <v>4.6840463400000001</v>
      </c>
      <c r="Q80" s="614">
        <v>7.7947293200000001</v>
      </c>
      <c r="R80" s="85">
        <v>0</v>
      </c>
    </row>
    <row r="81" spans="1:18" outlineLevel="1">
      <c r="A81" s="237" t="s">
        <v>218</v>
      </c>
      <c r="B81" s="236" t="s">
        <v>19</v>
      </c>
      <c r="C81" s="23" t="s">
        <v>38</v>
      </c>
      <c r="D81" s="426" t="s">
        <v>19</v>
      </c>
      <c r="E81" s="76">
        <v>24.64793845469999</v>
      </c>
      <c r="F81" s="7">
        <v>24.354137234699987</v>
      </c>
      <c r="G81" s="77">
        <v>22.713692883199993</v>
      </c>
      <c r="H81" s="7">
        <v>0</v>
      </c>
      <c r="I81" s="7">
        <v>0</v>
      </c>
      <c r="J81" s="7">
        <v>0</v>
      </c>
      <c r="K81" s="84">
        <v>22.581043504699988</v>
      </c>
      <c r="L81" s="5">
        <v>22.297716484699986</v>
      </c>
      <c r="M81" s="85">
        <v>20.937640653199992</v>
      </c>
      <c r="N81" s="94"/>
      <c r="O81" s="84">
        <v>5.5528253363000015</v>
      </c>
      <c r="P81" s="614">
        <v>8.1925453862999955</v>
      </c>
      <c r="Q81" s="614">
        <v>17.196822346299999</v>
      </c>
      <c r="R81" s="85">
        <v>0</v>
      </c>
    </row>
    <row r="82" spans="1:18" outlineLevel="1">
      <c r="A82" s="237" t="s">
        <v>218</v>
      </c>
      <c r="B82" s="236" t="s">
        <v>77</v>
      </c>
      <c r="C82" s="23" t="s">
        <v>38</v>
      </c>
      <c r="D82" s="426" t="s">
        <v>77</v>
      </c>
      <c r="E82" s="76">
        <v>16.214778402700002</v>
      </c>
      <c r="F82" s="7">
        <v>16.214778402700002</v>
      </c>
      <c r="G82" s="77">
        <v>16.4203640727</v>
      </c>
      <c r="H82" s="7">
        <v>0</v>
      </c>
      <c r="I82" s="7">
        <v>0</v>
      </c>
      <c r="J82" s="7">
        <v>0</v>
      </c>
      <c r="K82" s="84">
        <v>16.214778402700002</v>
      </c>
      <c r="L82" s="5">
        <v>16.214778402700002</v>
      </c>
      <c r="M82" s="85">
        <v>16.4203640727</v>
      </c>
      <c r="N82" s="94"/>
      <c r="O82" s="84">
        <v>6.3486122945999997</v>
      </c>
      <c r="P82" s="614">
        <v>6.2594192541999991</v>
      </c>
      <c r="Q82" s="614">
        <v>21.5378147642</v>
      </c>
      <c r="R82" s="85">
        <v>0</v>
      </c>
    </row>
    <row r="83" spans="1:18" outlineLevel="1">
      <c r="A83" s="237" t="s">
        <v>218</v>
      </c>
      <c r="B83" s="236" t="s">
        <v>78</v>
      </c>
      <c r="C83" s="23" t="s">
        <v>38</v>
      </c>
      <c r="D83" s="426" t="s">
        <v>78</v>
      </c>
      <c r="E83" s="76">
        <v>1.9831018200000001</v>
      </c>
      <c r="F83" s="7">
        <v>1.97895479</v>
      </c>
      <c r="G83" s="77">
        <v>2.8287434899999999</v>
      </c>
      <c r="H83" s="7">
        <v>0</v>
      </c>
      <c r="I83" s="7">
        <v>0</v>
      </c>
      <c r="J83" s="7">
        <v>0</v>
      </c>
      <c r="K83" s="84">
        <v>1.8502541100000001</v>
      </c>
      <c r="L83" s="5">
        <v>1.8502541100000001</v>
      </c>
      <c r="M83" s="85">
        <v>2.8287434899999999</v>
      </c>
      <c r="N83" s="94"/>
      <c r="O83" s="84">
        <v>1.2701439957999998</v>
      </c>
      <c r="P83" s="614">
        <v>1.2820566858</v>
      </c>
      <c r="Q83" s="614">
        <v>2.4611210557999987</v>
      </c>
      <c r="R83" s="85">
        <v>0</v>
      </c>
    </row>
    <row r="84" spans="1:18" outlineLevel="1">
      <c r="A84" s="237" t="s">
        <v>218</v>
      </c>
      <c r="B84" s="236" t="s">
        <v>393</v>
      </c>
      <c r="C84" s="23" t="s">
        <v>38</v>
      </c>
      <c r="D84" s="426" t="s">
        <v>393</v>
      </c>
      <c r="E84" s="76">
        <v>9.4218040099999971</v>
      </c>
      <c r="F84" s="7">
        <v>9.4218040099999971</v>
      </c>
      <c r="G84" s="77">
        <v>7.5866269099999997</v>
      </c>
      <c r="H84" s="7">
        <v>0</v>
      </c>
      <c r="I84" s="7">
        <v>0</v>
      </c>
      <c r="J84" s="7">
        <v>0</v>
      </c>
      <c r="K84" s="84">
        <v>9.4182129499999974</v>
      </c>
      <c r="L84" s="5">
        <v>9.4182129499999974</v>
      </c>
      <c r="M84" s="85">
        <v>7.5866269099999997</v>
      </c>
      <c r="N84" s="94"/>
      <c r="O84" s="84">
        <v>0.92799321000000012</v>
      </c>
      <c r="P84" s="614">
        <v>2.1221365599999995</v>
      </c>
      <c r="Q84" s="614">
        <v>4.1561187145000007</v>
      </c>
      <c r="R84" s="85">
        <v>0</v>
      </c>
    </row>
    <row r="85" spans="1:18" outlineLevel="1">
      <c r="A85" s="237" t="s">
        <v>218</v>
      </c>
      <c r="B85" s="236" t="s">
        <v>80</v>
      </c>
      <c r="C85" s="23" t="s">
        <v>38</v>
      </c>
      <c r="D85" s="426" t="s">
        <v>80</v>
      </c>
      <c r="E85" s="76">
        <v>-2.9409853199999993</v>
      </c>
      <c r="F85" s="7">
        <v>-2.9409853199999993</v>
      </c>
      <c r="G85" s="77">
        <v>-1.8712599999999999</v>
      </c>
      <c r="H85" s="7">
        <v>0</v>
      </c>
      <c r="I85" s="7">
        <v>0</v>
      </c>
      <c r="J85" s="7">
        <v>0</v>
      </c>
      <c r="K85" s="84">
        <v>-2.9409853199999993</v>
      </c>
      <c r="L85" s="5">
        <v>-2.9409853199999993</v>
      </c>
      <c r="M85" s="85">
        <v>-1.8712599999999999</v>
      </c>
      <c r="N85" s="94"/>
      <c r="O85" s="84">
        <v>0.12649994999999997</v>
      </c>
      <c r="P85" s="614">
        <v>-1.1980316499999999</v>
      </c>
      <c r="Q85" s="614">
        <v>-3.5094045200000004</v>
      </c>
      <c r="R85" s="85">
        <v>0</v>
      </c>
    </row>
    <row r="86" spans="1:18" outlineLevel="1">
      <c r="A86" s="237" t="s">
        <v>218</v>
      </c>
      <c r="B86" s="236" t="s">
        <v>104</v>
      </c>
      <c r="C86" s="23" t="s">
        <v>38</v>
      </c>
      <c r="D86" s="64" t="s">
        <v>405</v>
      </c>
      <c r="E86" s="76">
        <v>1.8506284200000003</v>
      </c>
      <c r="F86" s="7">
        <v>1.7930889600000002</v>
      </c>
      <c r="G86" s="77">
        <v>1.7745338900000003</v>
      </c>
      <c r="H86" s="7">
        <v>7.1928069999999997E-2</v>
      </c>
      <c r="I86" s="7">
        <v>5.7825839999999996E-2</v>
      </c>
      <c r="J86" s="7">
        <v>5.7825839999999996E-2</v>
      </c>
      <c r="K86" s="84">
        <v>1.3371652400000003</v>
      </c>
      <c r="L86" s="5">
        <v>1.2880356200000003</v>
      </c>
      <c r="M86" s="85">
        <v>1.7745338900000003</v>
      </c>
      <c r="N86" s="94"/>
      <c r="O86" s="84">
        <v>1.2663335644</v>
      </c>
      <c r="P86" s="614">
        <v>1.1677718744000003</v>
      </c>
      <c r="Q86" s="614">
        <v>2.5690593572000004</v>
      </c>
      <c r="R86" s="85">
        <v>0</v>
      </c>
    </row>
    <row r="87" spans="1:18" outlineLevel="1">
      <c r="A87" s="237" t="s">
        <v>218</v>
      </c>
      <c r="B87" s="236" t="s">
        <v>105</v>
      </c>
      <c r="C87" s="23" t="s">
        <v>38</v>
      </c>
      <c r="D87" s="65" t="s">
        <v>25</v>
      </c>
      <c r="E87" s="417">
        <v>15.649143198000001</v>
      </c>
      <c r="F87" s="7">
        <v>15.532128867999999</v>
      </c>
      <c r="G87" s="77">
        <v>15.852073938</v>
      </c>
      <c r="H87" s="7">
        <v>0.15414629999999999</v>
      </c>
      <c r="I87" s="7">
        <v>0.15414629999999999</v>
      </c>
      <c r="J87" s="7">
        <v>0.15414629999999999</v>
      </c>
      <c r="K87" s="84">
        <v>15.313789958000001</v>
      </c>
      <c r="L87" s="5">
        <v>15.219629608</v>
      </c>
      <c r="M87" s="85">
        <v>15.642366438</v>
      </c>
      <c r="N87" s="94"/>
      <c r="O87" s="84">
        <v>10.492056993000004</v>
      </c>
      <c r="P87" s="614">
        <v>9.6590054530000042</v>
      </c>
      <c r="Q87" s="614">
        <v>27.134411469000007</v>
      </c>
      <c r="R87" s="85">
        <v>0</v>
      </c>
    </row>
    <row r="88" spans="1:18" s="4" customFormat="1">
      <c r="A88" s="237" t="s">
        <v>218</v>
      </c>
      <c r="B88" s="236" t="s">
        <v>26</v>
      </c>
      <c r="C88" s="20" t="s">
        <v>38</v>
      </c>
      <c r="D88" s="61" t="s">
        <v>26</v>
      </c>
      <c r="E88" s="73">
        <v>88.554955938700175</v>
      </c>
      <c r="F88" s="74">
        <v>83.25812013870015</v>
      </c>
      <c r="G88" s="75">
        <v>82.901544971800163</v>
      </c>
      <c r="H88" s="74">
        <v>1.87407458</v>
      </c>
      <c r="I88" s="74">
        <v>1.87407458</v>
      </c>
      <c r="J88" s="74">
        <v>1.87407458</v>
      </c>
      <c r="K88" s="82">
        <v>78.87315771870017</v>
      </c>
      <c r="L88" s="18">
        <v>76.864239351800151</v>
      </c>
      <c r="M88" s="83">
        <v>81.604128251800162</v>
      </c>
      <c r="N88" s="93"/>
      <c r="O88" s="82">
        <v>43.214880476000005</v>
      </c>
      <c r="P88" s="612">
        <v>52.409112108600034</v>
      </c>
      <c r="Q88" s="612">
        <v>80.975606126300079</v>
      </c>
      <c r="R88" s="83">
        <v>0</v>
      </c>
    </row>
    <row r="89" spans="1:18" outlineLevel="1">
      <c r="A89" s="237" t="s">
        <v>218</v>
      </c>
      <c r="B89" s="236" t="s">
        <v>235</v>
      </c>
      <c r="C89" s="23" t="s">
        <v>38</v>
      </c>
      <c r="D89" s="65" t="s">
        <v>28</v>
      </c>
      <c r="E89" s="76">
        <v>20.156543561000007</v>
      </c>
      <c r="F89" s="7">
        <v>19.936534711000007</v>
      </c>
      <c r="G89" s="77">
        <v>21.905462670999995</v>
      </c>
      <c r="H89" s="7">
        <v>6.3390860000000007E-2</v>
      </c>
      <c r="I89" s="7">
        <v>6.3390860000000007E-2</v>
      </c>
      <c r="J89" s="7">
        <v>6.3390860000000007E-2</v>
      </c>
      <c r="K89" s="84">
        <v>18.731350501000009</v>
      </c>
      <c r="L89" s="5">
        <v>18.532852701000007</v>
      </c>
      <c r="M89" s="85">
        <v>21.840192410999997</v>
      </c>
      <c r="N89" s="94"/>
      <c r="O89" s="84">
        <v>7.9334604269999991</v>
      </c>
      <c r="P89" s="614">
        <v>8.7817740971999978</v>
      </c>
      <c r="Q89" s="614">
        <v>13.716243223400001</v>
      </c>
      <c r="R89" s="85">
        <v>0</v>
      </c>
    </row>
    <row r="90" spans="1:18" outlineLevel="1">
      <c r="A90" s="237" t="s">
        <v>218</v>
      </c>
      <c r="B90" s="236" t="s">
        <v>106</v>
      </c>
      <c r="C90" s="23" t="s">
        <v>38</v>
      </c>
      <c r="D90" s="65" t="s">
        <v>27</v>
      </c>
      <c r="E90" s="76">
        <v>10.849738259299993</v>
      </c>
      <c r="F90" s="7">
        <v>10.806901059299996</v>
      </c>
      <c r="G90" s="77">
        <v>10.670611029299998</v>
      </c>
      <c r="H90" s="7">
        <v>6.8372759999999991E-2</v>
      </c>
      <c r="I90" s="7">
        <v>6.8372759999999991E-2</v>
      </c>
      <c r="J90" s="7">
        <v>6.8372759999999991E-2</v>
      </c>
      <c r="K90" s="84">
        <v>10.835984619299994</v>
      </c>
      <c r="L90" s="5">
        <v>10.565501799299996</v>
      </c>
      <c r="M90" s="85">
        <v>10.670611029299998</v>
      </c>
      <c r="N90" s="94"/>
      <c r="O90" s="84">
        <v>1.6985615278999997</v>
      </c>
      <c r="P90" s="614">
        <v>1.8164001764999997</v>
      </c>
      <c r="Q90" s="614">
        <v>3.3599688811000004</v>
      </c>
      <c r="R90" s="85">
        <v>0</v>
      </c>
    </row>
    <row r="91" spans="1:18" outlineLevel="1">
      <c r="A91" s="237" t="s">
        <v>218</v>
      </c>
      <c r="B91" s="236" t="s">
        <v>87</v>
      </c>
      <c r="C91" s="23" t="s">
        <v>38</v>
      </c>
      <c r="D91" s="65" t="s">
        <v>30</v>
      </c>
      <c r="E91" s="76">
        <v>6.4623852685000021</v>
      </c>
      <c r="F91" s="7">
        <v>6.4623852685000021</v>
      </c>
      <c r="G91" s="77">
        <v>6.2892831985000006</v>
      </c>
      <c r="H91" s="7">
        <v>1.3092562400000001</v>
      </c>
      <c r="I91" s="7">
        <v>1.3092562400000001</v>
      </c>
      <c r="J91" s="7">
        <v>1.3092562400000001</v>
      </c>
      <c r="K91" s="84">
        <v>6.4623354085000022</v>
      </c>
      <c r="L91" s="5">
        <v>6.4623354085000022</v>
      </c>
      <c r="M91" s="85">
        <v>6.2892831985000006</v>
      </c>
      <c r="N91" s="94"/>
      <c r="O91" s="84">
        <v>3.1783846299999992</v>
      </c>
      <c r="P91" s="614">
        <v>2.7052633399999992</v>
      </c>
      <c r="Q91" s="614">
        <v>5.7807452269000015</v>
      </c>
      <c r="R91" s="85">
        <v>0</v>
      </c>
    </row>
    <row r="92" spans="1:18" outlineLevel="1">
      <c r="A92" s="237" t="s">
        <v>218</v>
      </c>
      <c r="B92" s="236" t="s">
        <v>107</v>
      </c>
      <c r="C92" s="23" t="s">
        <v>38</v>
      </c>
      <c r="D92" s="65" t="s">
        <v>29</v>
      </c>
      <c r="E92" s="76">
        <v>2.1459607299999996</v>
      </c>
      <c r="F92" s="7">
        <v>2.1434091999999998</v>
      </c>
      <c r="G92" s="77">
        <v>3.9393725100000001</v>
      </c>
      <c r="H92" s="7">
        <v>0</v>
      </c>
      <c r="I92" s="7">
        <v>0</v>
      </c>
      <c r="J92" s="7">
        <v>0</v>
      </c>
      <c r="K92" s="84">
        <v>1.9784492299999996</v>
      </c>
      <c r="L92" s="5">
        <v>1.9758976999999998</v>
      </c>
      <c r="M92" s="85">
        <v>3.9393725100000001</v>
      </c>
      <c r="N92" s="94"/>
      <c r="O92" s="84">
        <v>1.1280956599999996</v>
      </c>
      <c r="P92" s="614">
        <v>5.3716398400000021</v>
      </c>
      <c r="Q92" s="614">
        <v>11.363008320000002</v>
      </c>
      <c r="R92" s="85">
        <v>0</v>
      </c>
    </row>
    <row r="93" spans="1:18" outlineLevel="1">
      <c r="A93" s="237" t="s">
        <v>218</v>
      </c>
      <c r="B93" s="236" t="s">
        <v>236</v>
      </c>
      <c r="C93" s="23" t="s">
        <v>38</v>
      </c>
      <c r="D93" s="65" t="s">
        <v>31</v>
      </c>
      <c r="E93" s="76">
        <v>6.0604724870000002</v>
      </c>
      <c r="F93" s="7">
        <v>5.801144377</v>
      </c>
      <c r="G93" s="77">
        <v>5.3795470501000002</v>
      </c>
      <c r="H93" s="7">
        <v>0</v>
      </c>
      <c r="I93" s="7">
        <v>0</v>
      </c>
      <c r="J93" s="7">
        <v>0</v>
      </c>
      <c r="K93" s="84">
        <v>5.1215237270000005</v>
      </c>
      <c r="L93" s="5">
        <v>4.6160104701</v>
      </c>
      <c r="M93" s="85">
        <v>4.9062978701000004</v>
      </c>
      <c r="N93" s="94"/>
      <c r="O93" s="84">
        <v>1.7676387699999996</v>
      </c>
      <c r="P93" s="614">
        <v>3.1961673499999996</v>
      </c>
      <c r="Q93" s="614">
        <v>4.3613364899999993</v>
      </c>
      <c r="R93" s="85">
        <v>0</v>
      </c>
    </row>
    <row r="94" spans="1:18" outlineLevel="1">
      <c r="A94" s="237" t="s">
        <v>218</v>
      </c>
      <c r="B94" s="236" t="s">
        <v>237</v>
      </c>
      <c r="C94" s="23" t="s">
        <v>38</v>
      </c>
      <c r="D94" s="65" t="s">
        <v>394</v>
      </c>
      <c r="E94" s="76">
        <v>34.600679112199977</v>
      </c>
      <c r="F94" s="7">
        <v>30.177801082199977</v>
      </c>
      <c r="G94" s="77">
        <v>27.804567472199977</v>
      </c>
      <c r="H94" s="7">
        <v>0.43305472</v>
      </c>
      <c r="I94" s="7">
        <v>0.43305472</v>
      </c>
      <c r="J94" s="7">
        <v>0.43305472</v>
      </c>
      <c r="K94" s="84">
        <v>29.473192292199975</v>
      </c>
      <c r="L94" s="5">
        <v>28.685889772199978</v>
      </c>
      <c r="M94" s="85">
        <v>27.045670192199978</v>
      </c>
      <c r="N94" s="94"/>
      <c r="O94" s="84">
        <v>18.795498451100002</v>
      </c>
      <c r="P94" s="614">
        <v>22.023459854900008</v>
      </c>
      <c r="Q94" s="614">
        <v>31.816724844899994</v>
      </c>
      <c r="R94" s="85">
        <v>0</v>
      </c>
    </row>
    <row r="95" spans="1:18" outlineLevel="1">
      <c r="A95" s="237" t="s">
        <v>218</v>
      </c>
      <c r="B95" s="236" t="s">
        <v>163</v>
      </c>
      <c r="C95" s="23" t="s">
        <v>38</v>
      </c>
      <c r="D95" s="65" t="s">
        <v>403</v>
      </c>
      <c r="E95" s="76">
        <v>8.2791765207000019</v>
      </c>
      <c r="F95" s="7">
        <v>7.9299444407000008</v>
      </c>
      <c r="G95" s="77">
        <v>6.9127010407000027</v>
      </c>
      <c r="H95" s="7">
        <v>0</v>
      </c>
      <c r="I95" s="7">
        <v>0</v>
      </c>
      <c r="J95" s="7">
        <v>0</v>
      </c>
      <c r="K95" s="84">
        <v>6.2703219407000015</v>
      </c>
      <c r="L95" s="5">
        <v>6.0257515007000011</v>
      </c>
      <c r="M95" s="85">
        <v>6.9127010407000027</v>
      </c>
      <c r="N95" s="94"/>
      <c r="O95" s="84">
        <v>8.7132410100000008</v>
      </c>
      <c r="P95" s="614">
        <v>8.5144074500000002</v>
      </c>
      <c r="Q95" s="614">
        <v>10.577579139999999</v>
      </c>
      <c r="R95" s="85">
        <v>0</v>
      </c>
    </row>
    <row r="96" spans="1:18" outlineLevel="1">
      <c r="A96" s="237" t="s">
        <v>218</v>
      </c>
      <c r="B96" s="236" t="s">
        <v>404</v>
      </c>
      <c r="C96" s="23" t="s">
        <v>38</v>
      </c>
      <c r="D96" s="65" t="s">
        <v>395</v>
      </c>
      <c r="E96" s="76">
        <v>0</v>
      </c>
      <c r="F96" s="7">
        <v>0</v>
      </c>
      <c r="G96" s="77">
        <v>0</v>
      </c>
      <c r="H96" s="7">
        <v>0</v>
      </c>
      <c r="I96" s="7">
        <v>0</v>
      </c>
      <c r="J96" s="7">
        <v>0</v>
      </c>
      <c r="K96" s="84">
        <v>0</v>
      </c>
      <c r="L96" s="5">
        <v>0</v>
      </c>
      <c r="M96" s="85">
        <v>0</v>
      </c>
      <c r="N96" s="94"/>
      <c r="O96" s="84">
        <v>0</v>
      </c>
      <c r="P96" s="614">
        <v>0</v>
      </c>
      <c r="Q96" s="614">
        <v>0</v>
      </c>
      <c r="R96" s="85">
        <v>0</v>
      </c>
    </row>
    <row r="97" spans="1:18" s="4" customFormat="1">
      <c r="A97" s="237" t="s">
        <v>218</v>
      </c>
      <c r="B97" s="236" t="s">
        <v>59</v>
      </c>
      <c r="C97" s="20" t="s">
        <v>38</v>
      </c>
      <c r="D97" s="61" t="s">
        <v>33</v>
      </c>
      <c r="E97" s="73">
        <v>21.683239751999999</v>
      </c>
      <c r="F97" s="74">
        <v>21.737596531999998</v>
      </c>
      <c r="G97" s="75">
        <v>9.8651927619999995</v>
      </c>
      <c r="H97" s="74">
        <v>0.14083936</v>
      </c>
      <c r="I97" s="74">
        <v>5.1166429999999999E-2</v>
      </c>
      <c r="J97" s="74">
        <v>2.4725270000000001E-2</v>
      </c>
      <c r="K97" s="82">
        <v>8.4466891819999983</v>
      </c>
      <c r="L97" s="18">
        <v>8.4466891619999984</v>
      </c>
      <c r="M97" s="83">
        <v>9.6739348119999988</v>
      </c>
      <c r="N97" s="93"/>
      <c r="O97" s="82">
        <v>9.1837265800000019</v>
      </c>
      <c r="P97" s="612">
        <v>8.8533030900000025</v>
      </c>
      <c r="Q97" s="612">
        <v>19.223209020899994</v>
      </c>
      <c r="R97" s="83">
        <v>0</v>
      </c>
    </row>
    <row r="98" spans="1:18" s="4" customFormat="1">
      <c r="A98" s="237" t="s">
        <v>218</v>
      </c>
      <c r="B98" s="236" t="s">
        <v>34</v>
      </c>
      <c r="C98" s="20" t="s">
        <v>38</v>
      </c>
      <c r="D98" s="61" t="s">
        <v>34</v>
      </c>
      <c r="E98" s="73">
        <v>26.700013040900018</v>
      </c>
      <c r="F98" s="74">
        <v>26.033283840900015</v>
      </c>
      <c r="G98" s="75">
        <v>27.448659620899999</v>
      </c>
      <c r="H98" s="74">
        <v>0</v>
      </c>
      <c r="I98" s="74">
        <v>0</v>
      </c>
      <c r="J98" s="74">
        <v>0</v>
      </c>
      <c r="K98" s="82">
        <v>24.942105140900019</v>
      </c>
      <c r="L98" s="18">
        <v>24.910914730900014</v>
      </c>
      <c r="M98" s="83">
        <v>26.475567610900001</v>
      </c>
      <c r="N98" s="93"/>
      <c r="O98" s="82">
        <v>13.924789070000006</v>
      </c>
      <c r="P98" s="612">
        <v>17.187234949999997</v>
      </c>
      <c r="Q98" s="612">
        <v>21.114246222500022</v>
      </c>
      <c r="R98" s="83">
        <v>0</v>
      </c>
    </row>
    <row r="99" spans="1:18" outlineLevel="1">
      <c r="A99" s="237" t="s">
        <v>218</v>
      </c>
      <c r="B99" s="236" t="s">
        <v>399</v>
      </c>
      <c r="C99" s="23" t="s">
        <v>38</v>
      </c>
      <c r="D99" s="65" t="s">
        <v>296</v>
      </c>
      <c r="E99" s="76">
        <v>6.437625810000001</v>
      </c>
      <c r="F99" s="7">
        <v>5.9448302500000016</v>
      </c>
      <c r="G99" s="77">
        <v>6.1367822000000007</v>
      </c>
      <c r="H99" s="7">
        <v>0</v>
      </c>
      <c r="I99" s="7">
        <v>0</v>
      </c>
      <c r="J99" s="7">
        <v>0</v>
      </c>
      <c r="K99" s="84">
        <v>5.9105097800000008</v>
      </c>
      <c r="L99" s="5">
        <v>5.8949001900000013</v>
      </c>
      <c r="M99" s="85">
        <v>6.1367822000000007</v>
      </c>
      <c r="N99" s="94"/>
      <c r="O99" s="84">
        <v>6.1714811899999988</v>
      </c>
      <c r="P99" s="614">
        <v>6.9924792100000035</v>
      </c>
      <c r="Q99" s="614">
        <v>8.8233381499999979</v>
      </c>
      <c r="R99" s="85">
        <v>0</v>
      </c>
    </row>
    <row r="100" spans="1:18" outlineLevel="1">
      <c r="A100" s="237" t="s">
        <v>218</v>
      </c>
      <c r="B100" s="236" t="s">
        <v>400</v>
      </c>
      <c r="C100" s="23" t="s">
        <v>38</v>
      </c>
      <c r="D100" s="65" t="s">
        <v>396</v>
      </c>
      <c r="E100" s="76">
        <v>1.1547031499999998</v>
      </c>
      <c r="F100" s="7">
        <v>1.1547031499999998</v>
      </c>
      <c r="G100" s="77">
        <v>1.2348080499999998</v>
      </c>
      <c r="H100" s="7">
        <v>0</v>
      </c>
      <c r="I100" s="7">
        <v>0</v>
      </c>
      <c r="J100" s="7">
        <v>0</v>
      </c>
      <c r="K100" s="84">
        <v>1.1547031499999998</v>
      </c>
      <c r="L100" s="5">
        <v>1.1547031499999998</v>
      </c>
      <c r="M100" s="85">
        <v>1.2348080499999998</v>
      </c>
      <c r="N100" s="94"/>
      <c r="O100" s="84">
        <v>0.52504883999999996</v>
      </c>
      <c r="P100" s="614">
        <v>0.61271953999999995</v>
      </c>
      <c r="Q100" s="614">
        <v>1.2822188099999996</v>
      </c>
      <c r="R100" s="85">
        <v>0</v>
      </c>
    </row>
    <row r="101" spans="1:18" outlineLevel="1">
      <c r="A101" s="237" t="s">
        <v>218</v>
      </c>
      <c r="B101" s="236" t="s">
        <v>401</v>
      </c>
      <c r="C101" s="23" t="s">
        <v>38</v>
      </c>
      <c r="D101" s="65" t="s">
        <v>397</v>
      </c>
      <c r="E101" s="76">
        <v>3.6377425571999988</v>
      </c>
      <c r="F101" s="7">
        <v>3.4638089171999993</v>
      </c>
      <c r="G101" s="77">
        <v>3.9735845871999986</v>
      </c>
      <c r="H101" s="7">
        <v>0</v>
      </c>
      <c r="I101" s="7">
        <v>0</v>
      </c>
      <c r="J101" s="7">
        <v>0</v>
      </c>
      <c r="K101" s="84">
        <v>2.9569323671999985</v>
      </c>
      <c r="L101" s="5">
        <v>2.9625770871999992</v>
      </c>
      <c r="M101" s="85">
        <v>3.4723527571999986</v>
      </c>
      <c r="N101" s="94"/>
      <c r="O101" s="84">
        <v>0.61672678999999975</v>
      </c>
      <c r="P101" s="614">
        <v>0.99015362000000007</v>
      </c>
      <c r="Q101" s="614">
        <v>0.82688682679999947</v>
      </c>
      <c r="R101" s="85">
        <v>0</v>
      </c>
    </row>
    <row r="102" spans="1:18" outlineLevel="1">
      <c r="A102" s="237" t="s">
        <v>218</v>
      </c>
      <c r="B102" s="236" t="s">
        <v>93</v>
      </c>
      <c r="C102" s="23" t="s">
        <v>38</v>
      </c>
      <c r="D102" s="65" t="s">
        <v>35</v>
      </c>
      <c r="E102" s="76">
        <v>4.1735432537000001</v>
      </c>
      <c r="F102" s="7">
        <v>4.1735432537000001</v>
      </c>
      <c r="G102" s="77">
        <v>6.6844720537000004</v>
      </c>
      <c r="H102" s="7">
        <v>0</v>
      </c>
      <c r="I102" s="7">
        <v>0</v>
      </c>
      <c r="J102" s="7">
        <v>0</v>
      </c>
      <c r="K102" s="84">
        <v>3.7639590737000006</v>
      </c>
      <c r="L102" s="5">
        <v>3.7639590737000006</v>
      </c>
      <c r="M102" s="85">
        <v>6.2748878737</v>
      </c>
      <c r="N102" s="94"/>
      <c r="O102" s="84">
        <v>0.73220591000000013</v>
      </c>
      <c r="P102" s="614">
        <v>1.4383548300000002</v>
      </c>
      <c r="Q102" s="614">
        <v>0.82162379569999999</v>
      </c>
      <c r="R102" s="85">
        <v>0</v>
      </c>
    </row>
    <row r="103" spans="1:18" outlineLevel="1">
      <c r="A103" s="237" t="s">
        <v>218</v>
      </c>
      <c r="B103" s="236" t="s">
        <v>238</v>
      </c>
      <c r="C103" s="23" t="s">
        <v>38</v>
      </c>
      <c r="D103" s="65" t="s">
        <v>36</v>
      </c>
      <c r="E103" s="76">
        <v>11.296398270000005</v>
      </c>
      <c r="F103" s="7">
        <v>11.296398270000003</v>
      </c>
      <c r="G103" s="77">
        <v>9.4190127300000022</v>
      </c>
      <c r="H103" s="7">
        <v>0</v>
      </c>
      <c r="I103" s="7">
        <v>0</v>
      </c>
      <c r="J103" s="7">
        <v>0</v>
      </c>
      <c r="K103" s="84">
        <v>11.156000770000004</v>
      </c>
      <c r="L103" s="5">
        <v>11.134775230000002</v>
      </c>
      <c r="M103" s="85">
        <v>9.3567367300000015</v>
      </c>
      <c r="N103" s="94"/>
      <c r="O103" s="84">
        <v>5.8793263399999987</v>
      </c>
      <c r="P103" s="614">
        <v>7.1535277499999967</v>
      </c>
      <c r="Q103" s="614">
        <v>9.3601786399999973</v>
      </c>
      <c r="R103" s="85">
        <v>0</v>
      </c>
    </row>
    <row r="104" spans="1:18" outlineLevel="1">
      <c r="A104" s="237" t="s">
        <v>218</v>
      </c>
      <c r="B104" s="236" t="s">
        <v>402</v>
      </c>
      <c r="C104" s="23" t="s">
        <v>38</v>
      </c>
      <c r="D104" s="65" t="s">
        <v>398</v>
      </c>
      <c r="E104" s="76">
        <v>0</v>
      </c>
      <c r="F104" s="7">
        <v>0</v>
      </c>
      <c r="G104" s="77">
        <v>0</v>
      </c>
      <c r="H104" s="7">
        <v>0</v>
      </c>
      <c r="I104" s="7">
        <v>0</v>
      </c>
      <c r="J104" s="7">
        <v>0</v>
      </c>
      <c r="K104" s="84">
        <v>0</v>
      </c>
      <c r="L104" s="5">
        <v>0</v>
      </c>
      <c r="M104" s="85">
        <v>0</v>
      </c>
      <c r="N104" s="94"/>
      <c r="O104" s="84">
        <v>0</v>
      </c>
      <c r="P104" s="614">
        <v>0</v>
      </c>
      <c r="Q104" s="614">
        <v>0</v>
      </c>
      <c r="R104" s="85">
        <v>0</v>
      </c>
    </row>
    <row r="105" spans="1:18">
      <c r="C105" s="580"/>
      <c r="D105" s="581"/>
      <c r="E105" s="76"/>
      <c r="F105" s="7"/>
      <c r="G105" s="77"/>
      <c r="H105" s="7"/>
      <c r="I105" s="7"/>
      <c r="J105" s="7"/>
      <c r="K105" s="84"/>
      <c r="L105" s="5"/>
      <c r="M105" s="85"/>
      <c r="N105" s="94"/>
      <c r="O105" s="84"/>
      <c r="P105" s="614"/>
      <c r="Q105" s="614"/>
      <c r="R105" s="85"/>
    </row>
    <row r="106" spans="1:18">
      <c r="A106" s="237" t="s">
        <v>57</v>
      </c>
      <c r="B106" s="236" t="s">
        <v>13</v>
      </c>
      <c r="C106" s="580"/>
      <c r="D106" s="581"/>
      <c r="E106" s="76"/>
      <c r="F106" s="7"/>
      <c r="G106" s="77"/>
      <c r="H106" s="7"/>
      <c r="I106" s="7"/>
      <c r="J106" s="7"/>
      <c r="K106" s="84"/>
      <c r="L106" s="5"/>
      <c r="M106" s="85"/>
      <c r="N106" s="94"/>
      <c r="O106" s="84"/>
      <c r="P106" s="614"/>
      <c r="Q106" s="614"/>
      <c r="R106" s="85"/>
    </row>
    <row r="107" spans="1:18" s="4" customFormat="1">
      <c r="A107" s="237" t="s">
        <v>39</v>
      </c>
      <c r="B107" s="236" t="s">
        <v>13</v>
      </c>
      <c r="C107" s="20" t="s">
        <v>354</v>
      </c>
      <c r="D107" s="16" t="s">
        <v>12</v>
      </c>
      <c r="E107" s="73">
        <v>5.5241985599999994</v>
      </c>
      <c r="F107" s="74">
        <v>5.5241985599999994</v>
      </c>
      <c r="G107" s="75">
        <v>5.5241985599999994</v>
      </c>
      <c r="H107" s="74">
        <v>0</v>
      </c>
      <c r="I107" s="74">
        <v>0</v>
      </c>
      <c r="J107" s="74">
        <v>0</v>
      </c>
      <c r="K107" s="82">
        <v>4.2655385599999995</v>
      </c>
      <c r="L107" s="18">
        <v>4.2655385599999995</v>
      </c>
      <c r="M107" s="83">
        <v>4.2655385599999995</v>
      </c>
      <c r="N107" s="93"/>
      <c r="O107" s="82">
        <v>9.7238309799999989</v>
      </c>
      <c r="P107" s="612">
        <v>9.7238309799999989</v>
      </c>
      <c r="Q107" s="612">
        <v>16.426108289999998</v>
      </c>
      <c r="R107" s="83">
        <v>0</v>
      </c>
    </row>
    <row r="108" spans="1:18" s="4" customFormat="1" outlineLevel="1">
      <c r="A108" s="237"/>
      <c r="B108" s="236"/>
      <c r="C108" s="369" t="s">
        <v>355</v>
      </c>
      <c r="D108" s="16" t="s">
        <v>12</v>
      </c>
      <c r="E108" s="73">
        <v>0.27676855999999994</v>
      </c>
      <c r="F108" s="74">
        <v>0.27676855999999994</v>
      </c>
      <c r="G108" s="75">
        <v>0.27676855999999994</v>
      </c>
      <c r="H108" s="74">
        <v>0</v>
      </c>
      <c r="I108" s="74">
        <v>0</v>
      </c>
      <c r="J108" s="74">
        <v>0</v>
      </c>
      <c r="K108" s="82">
        <v>0.27676855999999994</v>
      </c>
      <c r="L108" s="18">
        <v>0.27676855999999994</v>
      </c>
      <c r="M108" s="83">
        <v>0.27676855999999994</v>
      </c>
      <c r="N108" s="93"/>
      <c r="O108" s="82">
        <v>7.35</v>
      </c>
      <c r="P108" s="612">
        <v>7.35</v>
      </c>
      <c r="Q108" s="612">
        <v>8.4752550000000006</v>
      </c>
      <c r="R108" s="83">
        <v>0</v>
      </c>
    </row>
    <row r="109" spans="1:18" s="4" customFormat="1" outlineLevel="1">
      <c r="A109" s="237"/>
      <c r="B109" s="236"/>
      <c r="C109" s="369" t="s">
        <v>356</v>
      </c>
      <c r="D109" s="16" t="s">
        <v>12</v>
      </c>
      <c r="E109" s="73">
        <v>2.8407999999999998</v>
      </c>
      <c r="F109" s="74">
        <v>2.8407999999999998</v>
      </c>
      <c r="G109" s="75">
        <v>2.8407999999999998</v>
      </c>
      <c r="H109" s="74">
        <v>0</v>
      </c>
      <c r="I109" s="74">
        <v>0</v>
      </c>
      <c r="J109" s="74">
        <v>0</v>
      </c>
      <c r="K109" s="82">
        <v>2.3807999999999998</v>
      </c>
      <c r="L109" s="18">
        <v>2.3807999999999998</v>
      </c>
      <c r="M109" s="83">
        <v>2.3807999999999998</v>
      </c>
      <c r="N109" s="93"/>
      <c r="O109" s="82">
        <v>0.61108017999999997</v>
      </c>
      <c r="P109" s="612">
        <v>0.61108017999999997</v>
      </c>
      <c r="Q109" s="612">
        <v>3.4306491599999998</v>
      </c>
      <c r="R109" s="83">
        <v>0</v>
      </c>
    </row>
    <row r="110" spans="1:18" s="4" customFormat="1" outlineLevel="1">
      <c r="A110" s="237"/>
      <c r="B110" s="236"/>
      <c r="C110" s="369" t="s">
        <v>357</v>
      </c>
      <c r="D110" s="16" t="s">
        <v>12</v>
      </c>
      <c r="E110" s="73">
        <v>0.14697000000000005</v>
      </c>
      <c r="F110" s="74">
        <v>0.14697000000000005</v>
      </c>
      <c r="G110" s="75">
        <v>0.14697000000000005</v>
      </c>
      <c r="H110" s="74">
        <v>0</v>
      </c>
      <c r="I110" s="74">
        <v>0</v>
      </c>
      <c r="J110" s="74">
        <v>0</v>
      </c>
      <c r="K110" s="82">
        <v>0.13197000000000003</v>
      </c>
      <c r="L110" s="18">
        <v>0.13197000000000003</v>
      </c>
      <c r="M110" s="83">
        <v>0.13197000000000003</v>
      </c>
      <c r="N110" s="93"/>
      <c r="O110" s="82">
        <v>1.0297508</v>
      </c>
      <c r="P110" s="612">
        <v>1.0297508</v>
      </c>
      <c r="Q110" s="612">
        <v>2.4022041299999999</v>
      </c>
      <c r="R110" s="83">
        <v>0</v>
      </c>
    </row>
    <row r="111" spans="1:18" s="4" customFormat="1" outlineLevel="1">
      <c r="A111" s="237"/>
      <c r="B111" s="236"/>
      <c r="C111" s="369" t="s">
        <v>358</v>
      </c>
      <c r="D111" s="16" t="s">
        <v>12</v>
      </c>
      <c r="E111" s="73">
        <v>2.2596599999999998</v>
      </c>
      <c r="F111" s="74">
        <v>2.2596599999999998</v>
      </c>
      <c r="G111" s="75">
        <v>2.2596599999999998</v>
      </c>
      <c r="H111" s="74">
        <v>0</v>
      </c>
      <c r="I111" s="74">
        <v>0</v>
      </c>
      <c r="J111" s="74">
        <v>0</v>
      </c>
      <c r="K111" s="82">
        <v>1.4759999999999998</v>
      </c>
      <c r="L111" s="18">
        <v>1.4759999999999998</v>
      </c>
      <c r="M111" s="83">
        <v>1.4759999999999998</v>
      </c>
      <c r="N111" s="93"/>
      <c r="O111" s="82">
        <v>0.73299999999999998</v>
      </c>
      <c r="P111" s="612">
        <v>0.73299999999999998</v>
      </c>
      <c r="Q111" s="612">
        <v>2.1179999999999999</v>
      </c>
      <c r="R111" s="83">
        <v>0</v>
      </c>
    </row>
    <row r="112" spans="1:18" s="4" customFormat="1" outlineLevel="1">
      <c r="A112" s="237"/>
      <c r="B112" s="236"/>
      <c r="C112" s="369" t="s">
        <v>359</v>
      </c>
      <c r="D112" s="16" t="s">
        <v>12</v>
      </c>
      <c r="E112" s="73">
        <v>0</v>
      </c>
      <c r="F112" s="74">
        <v>0</v>
      </c>
      <c r="G112" s="75">
        <v>0</v>
      </c>
      <c r="H112" s="74">
        <v>0</v>
      </c>
      <c r="I112" s="74">
        <v>0</v>
      </c>
      <c r="J112" s="74">
        <v>0</v>
      </c>
      <c r="K112" s="82">
        <v>0</v>
      </c>
      <c r="L112" s="18">
        <v>0</v>
      </c>
      <c r="M112" s="83">
        <v>0</v>
      </c>
      <c r="N112" s="93"/>
      <c r="O112" s="82">
        <v>0</v>
      </c>
      <c r="P112" s="612">
        <v>0</v>
      </c>
      <c r="Q112" s="612">
        <v>0</v>
      </c>
      <c r="R112" s="83">
        <v>0</v>
      </c>
    </row>
    <row r="113" spans="1:18" s="4" customFormat="1">
      <c r="A113" s="237"/>
      <c r="B113" s="236"/>
      <c r="C113" s="582"/>
      <c r="D113" s="582"/>
      <c r="E113" s="73"/>
      <c r="F113" s="74"/>
      <c r="G113" s="75"/>
      <c r="H113" s="74"/>
      <c r="I113" s="74"/>
      <c r="J113" s="74"/>
      <c r="K113" s="82"/>
      <c r="L113" s="18"/>
      <c r="M113" s="83"/>
      <c r="N113" s="93"/>
      <c r="O113" s="82"/>
      <c r="P113" s="612"/>
      <c r="Q113" s="612"/>
      <c r="R113" s="83"/>
    </row>
    <row r="114" spans="1:18" s="4" customFormat="1" ht="18">
      <c r="A114" s="237"/>
      <c r="B114" s="236"/>
      <c r="C114" s="24" t="s">
        <v>40</v>
      </c>
      <c r="D114" s="60" t="s">
        <v>12</v>
      </c>
      <c r="E114" s="78">
        <v>448.5896167965991</v>
      </c>
      <c r="F114" s="74">
        <v>416.87527765769954</v>
      </c>
      <c r="G114" s="75">
        <v>361.87232668019942</v>
      </c>
      <c r="H114" s="74">
        <v>2.2779772694</v>
      </c>
      <c r="I114" s="74">
        <v>2.1742021093999999</v>
      </c>
      <c r="J114" s="74">
        <v>2.1477609493999998</v>
      </c>
      <c r="K114" s="82">
        <v>326.86944344079905</v>
      </c>
      <c r="L114" s="18">
        <v>304.00238112869948</v>
      </c>
      <c r="M114" s="83">
        <v>301.65465928839944</v>
      </c>
      <c r="N114" s="93"/>
      <c r="O114" s="82">
        <v>211.4149014152996</v>
      </c>
      <c r="P114" s="612">
        <v>226.07751584849939</v>
      </c>
      <c r="Q114" s="612">
        <v>386.7683560349995</v>
      </c>
      <c r="R114" s="613">
        <v>0</v>
      </c>
    </row>
    <row r="115" spans="1:18" s="4" customFormat="1" ht="18">
      <c r="A115" s="237"/>
      <c r="B115" s="236"/>
      <c r="C115" s="578"/>
      <c r="D115" s="579"/>
      <c r="E115" s="73"/>
      <c r="F115" s="74"/>
      <c r="G115" s="75"/>
      <c r="H115" s="74"/>
      <c r="I115" s="74"/>
      <c r="J115" s="74"/>
      <c r="K115" s="82"/>
      <c r="L115" s="18"/>
      <c r="M115" s="83"/>
      <c r="N115" s="93"/>
      <c r="O115" s="82"/>
      <c r="P115" s="612"/>
      <c r="Q115" s="612"/>
      <c r="R115" s="83"/>
    </row>
    <row r="116" spans="1:18" s="4" customFormat="1">
      <c r="A116" s="237"/>
      <c r="B116" s="236"/>
      <c r="C116" s="16" t="s">
        <v>40</v>
      </c>
      <c r="D116" s="61" t="s">
        <v>14</v>
      </c>
      <c r="E116" s="73">
        <v>0</v>
      </c>
      <c r="F116" s="74">
        <v>0</v>
      </c>
      <c r="G116" s="75">
        <v>0</v>
      </c>
      <c r="H116" s="74">
        <v>0</v>
      </c>
      <c r="I116" s="74">
        <v>0</v>
      </c>
      <c r="J116" s="74">
        <v>0</v>
      </c>
      <c r="K116" s="82">
        <v>0</v>
      </c>
      <c r="L116" s="18">
        <v>0</v>
      </c>
      <c r="M116" s="83">
        <v>0</v>
      </c>
      <c r="N116" s="93"/>
      <c r="O116" s="82">
        <v>0</v>
      </c>
      <c r="P116" s="612">
        <v>0</v>
      </c>
      <c r="Q116" s="612">
        <v>0</v>
      </c>
      <c r="R116" s="83">
        <v>0</v>
      </c>
    </row>
    <row r="117" spans="1:18" s="4" customFormat="1">
      <c r="A117" s="237"/>
      <c r="B117" s="236"/>
      <c r="C117" s="16" t="s">
        <v>40</v>
      </c>
      <c r="D117" s="61" t="s">
        <v>15</v>
      </c>
      <c r="E117" s="73">
        <v>167.11006965869981</v>
      </c>
      <c r="F117" s="74">
        <v>143.97980729140008</v>
      </c>
      <c r="G117" s="75">
        <v>126.68660199930009</v>
      </c>
      <c r="H117" s="74">
        <v>0.22607436999999997</v>
      </c>
      <c r="I117" s="74">
        <v>0.21197213999999998</v>
      </c>
      <c r="J117" s="74">
        <v>0.21197213999999998</v>
      </c>
      <c r="K117" s="82">
        <v>147.98714876169981</v>
      </c>
      <c r="L117" s="18">
        <v>127.67652012440008</v>
      </c>
      <c r="M117" s="83">
        <v>111.4124617385001</v>
      </c>
      <c r="N117" s="93"/>
      <c r="O117" s="82">
        <v>75.409198173000036</v>
      </c>
      <c r="P117" s="612">
        <v>71.799382044300003</v>
      </c>
      <c r="Q117" s="612">
        <v>135.97622665559987</v>
      </c>
      <c r="R117" s="83">
        <v>0</v>
      </c>
    </row>
    <row r="118" spans="1:18" outlineLevel="1">
      <c r="B118" s="236"/>
      <c r="C118" s="25" t="s">
        <v>40</v>
      </c>
      <c r="D118" s="426" t="s">
        <v>17</v>
      </c>
      <c r="E118" s="76">
        <v>43.452737643199988</v>
      </c>
      <c r="F118" s="7">
        <v>36.178014553200001</v>
      </c>
      <c r="G118" s="77">
        <v>34.772052816899993</v>
      </c>
      <c r="H118" s="7">
        <v>0</v>
      </c>
      <c r="I118" s="7">
        <v>0</v>
      </c>
      <c r="J118" s="7">
        <v>0</v>
      </c>
      <c r="K118" s="84">
        <v>30.401456583199987</v>
      </c>
      <c r="L118" s="5">
        <v>25.900482173200004</v>
      </c>
      <c r="M118" s="85">
        <v>24.495012816899994</v>
      </c>
      <c r="N118" s="94"/>
      <c r="O118" s="84">
        <v>12.071773804199998</v>
      </c>
      <c r="P118" s="614">
        <v>11.836241424199995</v>
      </c>
      <c r="Q118" s="614">
        <v>19.114452655899999</v>
      </c>
      <c r="R118" s="85">
        <v>0</v>
      </c>
    </row>
    <row r="119" spans="1:18" outlineLevel="1">
      <c r="B119" s="236"/>
      <c r="C119" s="25" t="s">
        <v>40</v>
      </c>
      <c r="D119" s="426" t="s">
        <v>18</v>
      </c>
      <c r="E119" s="76">
        <v>0.13187364530000001</v>
      </c>
      <c r="F119" s="7">
        <v>0.13187364530000001</v>
      </c>
      <c r="G119" s="77">
        <v>0.1355537453</v>
      </c>
      <c r="H119" s="7">
        <v>0</v>
      </c>
      <c r="I119" s="7">
        <v>0</v>
      </c>
      <c r="J119" s="7">
        <v>0</v>
      </c>
      <c r="K119" s="84">
        <v>0.13187364530000001</v>
      </c>
      <c r="L119" s="5">
        <v>0.13187364530000001</v>
      </c>
      <c r="M119" s="85">
        <v>0.1355537453</v>
      </c>
      <c r="N119" s="94"/>
      <c r="O119" s="84">
        <v>5.8119284653000003</v>
      </c>
      <c r="P119" s="614">
        <v>5.7588620253</v>
      </c>
      <c r="Q119" s="614">
        <v>13.828069304800003</v>
      </c>
      <c r="R119" s="85">
        <v>0</v>
      </c>
    </row>
    <row r="120" spans="1:18" outlineLevel="1">
      <c r="B120" s="236"/>
      <c r="C120" s="25" t="s">
        <v>40</v>
      </c>
      <c r="D120" s="426" t="s">
        <v>19</v>
      </c>
      <c r="E120" s="76">
        <v>37.447742405399993</v>
      </c>
      <c r="F120" s="7">
        <v>37.014420361599996</v>
      </c>
      <c r="G120" s="77">
        <v>33.132177781699987</v>
      </c>
      <c r="H120" s="7">
        <v>0</v>
      </c>
      <c r="I120" s="7">
        <v>0</v>
      </c>
      <c r="J120" s="7">
        <v>0</v>
      </c>
      <c r="K120" s="84">
        <v>32.716289360799991</v>
      </c>
      <c r="L120" s="5">
        <v>32.293441516999998</v>
      </c>
      <c r="M120" s="85">
        <v>28.699716623299988</v>
      </c>
      <c r="N120" s="94"/>
      <c r="O120" s="84">
        <v>10.092942691799994</v>
      </c>
      <c r="P120" s="614">
        <v>12.297929946999995</v>
      </c>
      <c r="Q120" s="614">
        <v>25.541099352900002</v>
      </c>
      <c r="R120" s="85">
        <v>0</v>
      </c>
    </row>
    <row r="121" spans="1:18" outlineLevel="1">
      <c r="B121" s="236"/>
      <c r="C121" s="25" t="s">
        <v>40</v>
      </c>
      <c r="D121" s="426" t="s">
        <v>77</v>
      </c>
      <c r="E121" s="76">
        <v>38.408688079700006</v>
      </c>
      <c r="F121" s="7">
        <v>23.176516679699997</v>
      </c>
      <c r="G121" s="77">
        <v>22.648985389699995</v>
      </c>
      <c r="H121" s="7">
        <v>0</v>
      </c>
      <c r="I121" s="7">
        <v>0</v>
      </c>
      <c r="J121" s="7">
        <v>0</v>
      </c>
      <c r="K121" s="84">
        <v>38.408688079700006</v>
      </c>
      <c r="L121" s="5">
        <v>23.176516679699997</v>
      </c>
      <c r="M121" s="85">
        <v>22.648985389699995</v>
      </c>
      <c r="N121" s="94"/>
      <c r="O121" s="84">
        <v>9.5377159650999985</v>
      </c>
      <c r="P121" s="614">
        <v>7.6108889547</v>
      </c>
      <c r="Q121" s="614">
        <v>21.872768774699999</v>
      </c>
      <c r="R121" s="85">
        <v>0</v>
      </c>
    </row>
    <row r="122" spans="1:18" outlineLevel="1">
      <c r="B122" s="236"/>
      <c r="C122" s="25" t="s">
        <v>40</v>
      </c>
      <c r="D122" s="426" t="s">
        <v>78</v>
      </c>
      <c r="E122" s="76">
        <v>4.9666432474000013</v>
      </c>
      <c r="F122" s="7">
        <v>4.9624962174000009</v>
      </c>
      <c r="G122" s="77">
        <v>5.2631574552000009</v>
      </c>
      <c r="H122" s="7">
        <v>0</v>
      </c>
      <c r="I122" s="7">
        <v>0</v>
      </c>
      <c r="J122" s="7">
        <v>0</v>
      </c>
      <c r="K122" s="84">
        <v>4.8337955374000012</v>
      </c>
      <c r="L122" s="5">
        <v>4.8337955374000012</v>
      </c>
      <c r="M122" s="85">
        <v>5.2631574552000009</v>
      </c>
      <c r="N122" s="94"/>
      <c r="O122" s="84">
        <v>2.4674813274000011</v>
      </c>
      <c r="P122" s="614">
        <v>1.9118527373999998</v>
      </c>
      <c r="Q122" s="614">
        <v>4.0998970051000017</v>
      </c>
      <c r="R122" s="85">
        <v>0</v>
      </c>
    </row>
    <row r="123" spans="1:18" outlineLevel="1">
      <c r="B123" s="236"/>
      <c r="C123" s="25" t="s">
        <v>40</v>
      </c>
      <c r="D123" s="426" t="s">
        <v>393</v>
      </c>
      <c r="E123" s="76">
        <v>10.259919447199998</v>
      </c>
      <c r="F123" s="7">
        <v>10.259919447199998</v>
      </c>
      <c r="G123" s="77">
        <v>8.4770574171999993</v>
      </c>
      <c r="H123" s="7">
        <v>0</v>
      </c>
      <c r="I123" s="7">
        <v>0</v>
      </c>
      <c r="J123" s="7">
        <v>0</v>
      </c>
      <c r="K123" s="84">
        <v>10.256328387199998</v>
      </c>
      <c r="L123" s="5">
        <v>10.256328387199998</v>
      </c>
      <c r="M123" s="85">
        <v>8.4770574171999993</v>
      </c>
      <c r="N123" s="94"/>
      <c r="O123" s="84">
        <v>0.98974477460000032</v>
      </c>
      <c r="P123" s="614">
        <v>2.2165616710999996</v>
      </c>
      <c r="Q123" s="614">
        <v>4.388901476800001</v>
      </c>
      <c r="R123" s="85">
        <v>0</v>
      </c>
    </row>
    <row r="124" spans="1:18" outlineLevel="1">
      <c r="B124" s="236"/>
      <c r="C124" s="25" t="s">
        <v>40</v>
      </c>
      <c r="D124" s="426" t="s">
        <v>80</v>
      </c>
      <c r="E124" s="76">
        <v>-8.1713891800000003</v>
      </c>
      <c r="F124" s="7">
        <v>-8.1713891800000003</v>
      </c>
      <c r="G124" s="77">
        <v>-6.2922929666000007</v>
      </c>
      <c r="H124" s="7">
        <v>0</v>
      </c>
      <c r="I124" s="7">
        <v>0</v>
      </c>
      <c r="J124" s="7">
        <v>0</v>
      </c>
      <c r="K124" s="84">
        <v>-8.4463891800000006</v>
      </c>
      <c r="L124" s="5">
        <v>-8.4463891800000006</v>
      </c>
      <c r="M124" s="85">
        <v>-6.5672929666000011</v>
      </c>
      <c r="N124" s="94"/>
      <c r="O124" s="84">
        <v>7.9815091800000006</v>
      </c>
      <c r="P124" s="614">
        <v>5.0650014900000011</v>
      </c>
      <c r="Q124" s="614">
        <v>1.6259255947999973</v>
      </c>
      <c r="R124" s="85">
        <v>0</v>
      </c>
    </row>
    <row r="125" spans="1:18" outlineLevel="1">
      <c r="B125" s="236"/>
      <c r="C125" s="25" t="s">
        <v>40</v>
      </c>
      <c r="D125" s="581"/>
      <c r="E125" s="76"/>
      <c r="F125" s="7"/>
      <c r="G125" s="77"/>
      <c r="H125" s="7"/>
      <c r="I125" s="7"/>
      <c r="J125" s="7"/>
      <c r="K125" s="84"/>
      <c r="L125" s="5"/>
      <c r="M125" s="85"/>
      <c r="N125" s="94"/>
      <c r="O125" s="84"/>
      <c r="P125" s="614"/>
      <c r="Q125" s="614"/>
      <c r="R125" s="85"/>
    </row>
    <row r="126" spans="1:18" outlineLevel="1">
      <c r="B126" s="236"/>
      <c r="C126" s="25" t="s">
        <v>40</v>
      </c>
      <c r="D126" s="581"/>
      <c r="E126" s="76"/>
      <c r="F126" s="7"/>
      <c r="G126" s="77"/>
      <c r="H126" s="7"/>
      <c r="I126" s="7"/>
      <c r="J126" s="7"/>
      <c r="K126" s="84"/>
      <c r="L126" s="5"/>
      <c r="M126" s="85"/>
      <c r="N126" s="94"/>
      <c r="O126" s="84"/>
      <c r="P126" s="614"/>
      <c r="Q126" s="614"/>
      <c r="R126" s="85"/>
    </row>
    <row r="127" spans="1:18" outlineLevel="1">
      <c r="B127" s="236"/>
      <c r="C127" s="25" t="s">
        <v>40</v>
      </c>
      <c r="D127" s="581"/>
      <c r="E127" s="76"/>
      <c r="F127" s="7"/>
      <c r="G127" s="77"/>
      <c r="H127" s="7"/>
      <c r="I127" s="7"/>
      <c r="J127" s="7"/>
      <c r="K127" s="84"/>
      <c r="L127" s="5"/>
      <c r="M127" s="85"/>
      <c r="N127" s="94"/>
      <c r="O127" s="84"/>
      <c r="P127" s="614"/>
      <c r="Q127" s="614"/>
      <c r="R127" s="85"/>
    </row>
    <row r="128" spans="1:18" outlineLevel="1">
      <c r="B128" s="236"/>
      <c r="C128" s="25" t="s">
        <v>40</v>
      </c>
      <c r="D128" s="64" t="s">
        <v>405</v>
      </c>
      <c r="E128" s="76">
        <v>2.4176245639999996</v>
      </c>
      <c r="F128" s="7">
        <v>2.3600851039999995</v>
      </c>
      <c r="G128" s="77">
        <v>1.9539712684000001</v>
      </c>
      <c r="H128" s="7">
        <v>7.1928069999999997E-2</v>
      </c>
      <c r="I128" s="7">
        <v>5.7825839999999996E-2</v>
      </c>
      <c r="J128" s="7">
        <v>5.7825839999999996E-2</v>
      </c>
      <c r="K128" s="84">
        <v>1.9041613839999998</v>
      </c>
      <c r="L128" s="5">
        <v>1.8550317639999996</v>
      </c>
      <c r="M128" s="85">
        <v>1.9539712684000001</v>
      </c>
      <c r="N128" s="94"/>
      <c r="O128" s="84">
        <v>4.9236395512000009</v>
      </c>
      <c r="P128" s="614">
        <v>4.6816044412000011</v>
      </c>
      <c r="Q128" s="614">
        <v>5.504643055599999</v>
      </c>
      <c r="R128" s="85">
        <v>0</v>
      </c>
    </row>
    <row r="129" spans="1:18" outlineLevel="1">
      <c r="B129" s="236"/>
      <c r="C129" s="25" t="s">
        <v>40</v>
      </c>
      <c r="D129" s="65" t="s">
        <v>25</v>
      </c>
      <c r="E129" s="76">
        <v>38.196229806499993</v>
      </c>
      <c r="F129" s="7">
        <v>38.067870463000013</v>
      </c>
      <c r="G129" s="77">
        <v>26.5959390915</v>
      </c>
      <c r="H129" s="7">
        <v>0.15414629999999999</v>
      </c>
      <c r="I129" s="7">
        <v>0.15414629999999999</v>
      </c>
      <c r="J129" s="7">
        <v>0.15414629999999999</v>
      </c>
      <c r="K129" s="84">
        <v>37.780944964099994</v>
      </c>
      <c r="L129" s="5">
        <v>37.675439600600015</v>
      </c>
      <c r="M129" s="85">
        <v>26.306299989100001</v>
      </c>
      <c r="N129" s="94"/>
      <c r="O129" s="84">
        <v>21.532462413400008</v>
      </c>
      <c r="P129" s="614">
        <v>20.42043935340001</v>
      </c>
      <c r="Q129" s="614">
        <v>40.000469435000042</v>
      </c>
      <c r="R129" s="85">
        <v>0</v>
      </c>
    </row>
    <row r="130" spans="1:18" s="4" customFormat="1">
      <c r="A130" s="237"/>
      <c r="B130" s="236"/>
      <c r="C130" s="16" t="s">
        <v>40</v>
      </c>
      <c r="D130" s="61" t="s">
        <v>26</v>
      </c>
      <c r="E130" s="73">
        <v>176.25338095340015</v>
      </c>
      <c r="F130" s="74">
        <v>168.68580678780012</v>
      </c>
      <c r="G130" s="75">
        <v>140.91891130080006</v>
      </c>
      <c r="H130" s="74">
        <v>1.87407458</v>
      </c>
      <c r="I130" s="74">
        <v>1.87407458</v>
      </c>
      <c r="J130" s="74">
        <v>1.87407458</v>
      </c>
      <c r="K130" s="82">
        <v>122.41377302430014</v>
      </c>
      <c r="L130" s="18">
        <v>119.94949347700013</v>
      </c>
      <c r="M130" s="83">
        <v>112.53968680740007</v>
      </c>
      <c r="N130" s="93"/>
      <c r="O130" s="82">
        <v>77.622546982900005</v>
      </c>
      <c r="P130" s="612">
        <v>85.418769007100011</v>
      </c>
      <c r="Q130" s="612">
        <v>132.97611078300014</v>
      </c>
      <c r="R130" s="83">
        <v>0</v>
      </c>
    </row>
    <row r="131" spans="1:18" outlineLevel="1">
      <c r="B131" s="236"/>
      <c r="C131" s="25" t="s">
        <v>40</v>
      </c>
      <c r="D131" s="65" t="s">
        <v>28</v>
      </c>
      <c r="E131" s="76">
        <v>28.273675758800014</v>
      </c>
      <c r="F131" s="7">
        <v>28.053666898800014</v>
      </c>
      <c r="G131" s="77">
        <v>27.0924796945</v>
      </c>
      <c r="H131" s="7">
        <v>6.3390860000000007E-2</v>
      </c>
      <c r="I131" s="7">
        <v>6.3390860000000007E-2</v>
      </c>
      <c r="J131" s="7">
        <v>6.3390860000000007E-2</v>
      </c>
      <c r="K131" s="84">
        <v>26.785685211300013</v>
      </c>
      <c r="L131" s="5">
        <v>26.502196685400015</v>
      </c>
      <c r="M131" s="85">
        <v>26.8794212311</v>
      </c>
      <c r="N131" s="94"/>
      <c r="O131" s="84">
        <v>10.951183690200001</v>
      </c>
      <c r="P131" s="614">
        <v>11.362003168400003</v>
      </c>
      <c r="Q131" s="614">
        <v>17.856437156000002</v>
      </c>
      <c r="R131" s="85">
        <v>0</v>
      </c>
    </row>
    <row r="132" spans="1:18" outlineLevel="1">
      <c r="B132" s="236"/>
      <c r="C132" s="25" t="s">
        <v>40</v>
      </c>
      <c r="D132" s="65" t="s">
        <v>27</v>
      </c>
      <c r="E132" s="76">
        <v>14.075385461099991</v>
      </c>
      <c r="F132" s="7">
        <v>13.928661452099995</v>
      </c>
      <c r="G132" s="77">
        <v>13.385745426799994</v>
      </c>
      <c r="H132" s="7">
        <v>6.8372759999999991E-2</v>
      </c>
      <c r="I132" s="7">
        <v>6.8372759999999991E-2</v>
      </c>
      <c r="J132" s="7">
        <v>6.8372759999999991E-2</v>
      </c>
      <c r="K132" s="84">
        <v>13.677266821099991</v>
      </c>
      <c r="L132" s="5">
        <v>13.302897192099994</v>
      </c>
      <c r="M132" s="85">
        <v>13.001380426799994</v>
      </c>
      <c r="N132" s="94"/>
      <c r="O132" s="84">
        <v>3.0324200003000006</v>
      </c>
      <c r="P132" s="614">
        <v>3.0059952188999994</v>
      </c>
      <c r="Q132" s="614">
        <v>5.2196756933999984</v>
      </c>
      <c r="R132" s="85">
        <v>0</v>
      </c>
    </row>
    <row r="133" spans="1:18" outlineLevel="1">
      <c r="B133" s="236"/>
      <c r="C133" s="25" t="s">
        <v>40</v>
      </c>
      <c r="D133" s="65" t="s">
        <v>30</v>
      </c>
      <c r="E133" s="76">
        <v>6.7185063147000017</v>
      </c>
      <c r="F133" s="7">
        <v>6.7185063147000017</v>
      </c>
      <c r="G133" s="77">
        <v>7.1941567447000017</v>
      </c>
      <c r="H133" s="7">
        <v>1.3092562400000001</v>
      </c>
      <c r="I133" s="7">
        <v>1.3092562400000001</v>
      </c>
      <c r="J133" s="7">
        <v>1.3092562400000001</v>
      </c>
      <c r="K133" s="84">
        <v>6.7184564547000019</v>
      </c>
      <c r="L133" s="5">
        <v>6.7184564547000019</v>
      </c>
      <c r="M133" s="85">
        <v>7.1941567447000017</v>
      </c>
      <c r="N133" s="94"/>
      <c r="O133" s="84">
        <v>8.3170896521</v>
      </c>
      <c r="P133" s="614">
        <v>7.7425608621000004</v>
      </c>
      <c r="Q133" s="614">
        <v>11.575255193700004</v>
      </c>
      <c r="R133" s="85">
        <v>0</v>
      </c>
    </row>
    <row r="134" spans="1:18" outlineLevel="1">
      <c r="B134" s="236"/>
      <c r="C134" s="25" t="s">
        <v>40</v>
      </c>
      <c r="D134" s="65" t="s">
        <v>29</v>
      </c>
      <c r="E134" s="76">
        <v>33.369014701499999</v>
      </c>
      <c r="F134" s="7">
        <v>33.048929090400001</v>
      </c>
      <c r="G134" s="77">
        <v>23.566779567899999</v>
      </c>
      <c r="H134" s="7">
        <v>0</v>
      </c>
      <c r="I134" s="7">
        <v>0</v>
      </c>
      <c r="J134" s="7">
        <v>0</v>
      </c>
      <c r="K134" s="84">
        <v>3.6632892304000002</v>
      </c>
      <c r="L134" s="5">
        <v>3.6607377004000003</v>
      </c>
      <c r="M134" s="85">
        <v>5.7496440179000015</v>
      </c>
      <c r="N134" s="94"/>
      <c r="O134" s="84">
        <v>2.8833213600999992</v>
      </c>
      <c r="P134" s="614">
        <v>7.1034290820000026</v>
      </c>
      <c r="Q134" s="614">
        <v>13.455383572000004</v>
      </c>
      <c r="R134" s="85">
        <v>0</v>
      </c>
    </row>
    <row r="135" spans="1:18" outlineLevel="1">
      <c r="B135" s="236"/>
      <c r="C135" s="25" t="s">
        <v>40</v>
      </c>
      <c r="D135" s="65" t="s">
        <v>31</v>
      </c>
      <c r="E135" s="76">
        <v>18.620437829499998</v>
      </c>
      <c r="F135" s="7">
        <v>16.788545373999998</v>
      </c>
      <c r="G135" s="77">
        <v>10.9731179255</v>
      </c>
      <c r="H135" s="7">
        <v>0</v>
      </c>
      <c r="I135" s="7">
        <v>0</v>
      </c>
      <c r="J135" s="7">
        <v>0</v>
      </c>
      <c r="K135" s="84">
        <v>12.105839691099996</v>
      </c>
      <c r="L135" s="5">
        <v>11.557639056599998</v>
      </c>
      <c r="M135" s="85">
        <v>10.311176745500001</v>
      </c>
      <c r="N135" s="94"/>
      <c r="O135" s="84">
        <v>4.5784659645999994</v>
      </c>
      <c r="P135" s="614">
        <v>6.1284756387999986</v>
      </c>
      <c r="Q135" s="614">
        <v>8.3742279974999985</v>
      </c>
      <c r="R135" s="85">
        <v>0</v>
      </c>
    </row>
    <row r="136" spans="1:18" outlineLevel="1">
      <c r="B136" s="236"/>
      <c r="C136" s="25" t="s">
        <v>40</v>
      </c>
      <c r="D136" s="65" t="s">
        <v>394</v>
      </c>
      <c r="E136" s="76">
        <v>43.221803662999989</v>
      </c>
      <c r="F136" s="7">
        <v>38.522172512999994</v>
      </c>
      <c r="G136" s="77">
        <v>34.242110844799996</v>
      </c>
      <c r="H136" s="7">
        <v>0.43305472</v>
      </c>
      <c r="I136" s="7">
        <v>0.43305472</v>
      </c>
      <c r="J136" s="7">
        <v>0.43305472</v>
      </c>
      <c r="K136" s="84">
        <v>38.041359990899991</v>
      </c>
      <c r="L136" s="5">
        <v>37.030261202999995</v>
      </c>
      <c r="M136" s="85">
        <v>33.483213564799996</v>
      </c>
      <c r="N136" s="94"/>
      <c r="O136" s="84">
        <v>30.686534643700011</v>
      </c>
      <c r="P136" s="614">
        <v>33.83692207419999</v>
      </c>
      <c r="Q136" s="614">
        <v>50.849144760999991</v>
      </c>
      <c r="R136" s="85">
        <v>0</v>
      </c>
    </row>
    <row r="137" spans="1:18" outlineLevel="1">
      <c r="B137" s="236"/>
      <c r="C137" s="25" t="s">
        <v>40</v>
      </c>
      <c r="D137" s="65" t="s">
        <v>403</v>
      </c>
      <c r="E137" s="76">
        <v>29.0345572248</v>
      </c>
      <c r="F137" s="7">
        <v>28.6853251448</v>
      </c>
      <c r="G137" s="77">
        <v>21.524521096599994</v>
      </c>
      <c r="H137" s="7">
        <v>0</v>
      </c>
      <c r="I137" s="7">
        <v>0</v>
      </c>
      <c r="J137" s="7">
        <v>0</v>
      </c>
      <c r="K137" s="84">
        <v>19.031875624799998</v>
      </c>
      <c r="L137" s="5">
        <v>18.787305184799997</v>
      </c>
      <c r="M137" s="85">
        <v>13.530694076599994</v>
      </c>
      <c r="N137" s="94"/>
      <c r="O137" s="84">
        <v>16.349531671899999</v>
      </c>
      <c r="P137" s="614">
        <v>15.415382962700006</v>
      </c>
      <c r="Q137" s="614">
        <v>20.518711499400009</v>
      </c>
      <c r="R137" s="85">
        <v>0</v>
      </c>
    </row>
    <row r="138" spans="1:18" s="367" customFormat="1">
      <c r="A138" s="237"/>
      <c r="B138" s="236"/>
      <c r="C138" s="16" t="s">
        <v>40</v>
      </c>
      <c r="D138" s="65" t="s">
        <v>395</v>
      </c>
      <c r="E138" s="360">
        <v>2.9400000000000004</v>
      </c>
      <c r="F138" s="361">
        <v>2.9400000000000004</v>
      </c>
      <c r="G138" s="362">
        <v>2.9400000000000004</v>
      </c>
      <c r="H138" s="361">
        <v>0</v>
      </c>
      <c r="I138" s="361">
        <v>0</v>
      </c>
      <c r="J138" s="361">
        <v>0</v>
      </c>
      <c r="K138" s="363">
        <v>2.39</v>
      </c>
      <c r="L138" s="364">
        <v>2.39</v>
      </c>
      <c r="M138" s="365">
        <v>2.39</v>
      </c>
      <c r="N138" s="366"/>
      <c r="O138" s="363">
        <v>0.82400000000000007</v>
      </c>
      <c r="P138" s="615">
        <v>0.82400000000000007</v>
      </c>
      <c r="Q138" s="615">
        <v>5.1272749100000006</v>
      </c>
      <c r="R138" s="365">
        <v>0</v>
      </c>
    </row>
    <row r="139" spans="1:18" s="4" customFormat="1">
      <c r="A139" s="237"/>
      <c r="B139" s="236"/>
      <c r="C139" s="16" t="s">
        <v>40</v>
      </c>
      <c r="D139" s="61" t="s">
        <v>33</v>
      </c>
      <c r="E139" s="73">
        <v>60.706007734500005</v>
      </c>
      <c r="F139" s="74">
        <v>60.417198016000015</v>
      </c>
      <c r="G139" s="75">
        <v>48.76156342960001</v>
      </c>
      <c r="H139" s="74">
        <v>0.17782831939999999</v>
      </c>
      <c r="I139" s="74">
        <v>8.8155389400000006E-2</v>
      </c>
      <c r="J139" s="74">
        <v>6.1714229400000001E-2</v>
      </c>
      <c r="K139" s="82">
        <v>18.636991501200004</v>
      </c>
      <c r="L139" s="18">
        <v>18.636991471200002</v>
      </c>
      <c r="M139" s="83">
        <v>36.047393071300007</v>
      </c>
      <c r="N139" s="93"/>
      <c r="O139" s="82">
        <v>28.861528283499997</v>
      </c>
      <c r="P139" s="612">
        <v>31.517413161999997</v>
      </c>
      <c r="Q139" s="612">
        <v>67.257894287500008</v>
      </c>
      <c r="R139" s="83">
        <v>0</v>
      </c>
    </row>
    <row r="140" spans="1:18" s="4" customFormat="1">
      <c r="A140" s="237"/>
      <c r="B140" s="236"/>
      <c r="C140" s="16" t="s">
        <v>40</v>
      </c>
      <c r="D140" s="61" t="s">
        <v>34</v>
      </c>
      <c r="E140" s="73">
        <v>44.520158450000054</v>
      </c>
      <c r="F140" s="74">
        <v>43.792465562500041</v>
      </c>
      <c r="G140" s="75">
        <v>45.505249950500044</v>
      </c>
      <c r="H140" s="74">
        <v>0</v>
      </c>
      <c r="I140" s="74">
        <v>0</v>
      </c>
      <c r="J140" s="74">
        <v>0</v>
      </c>
      <c r="K140" s="82">
        <v>37.831530153600056</v>
      </c>
      <c r="L140" s="18">
        <v>37.739376056100042</v>
      </c>
      <c r="M140" s="83">
        <v>41.655117671200045</v>
      </c>
      <c r="N140" s="93"/>
      <c r="O140" s="82">
        <v>29.521627975900003</v>
      </c>
      <c r="P140" s="612">
        <v>37.341951635100038</v>
      </c>
      <c r="Q140" s="612">
        <v>50.55812430889997</v>
      </c>
      <c r="R140" s="83">
        <v>0</v>
      </c>
    </row>
    <row r="141" spans="1:18">
      <c r="B141" s="236"/>
      <c r="C141" s="25" t="s">
        <v>40</v>
      </c>
      <c r="D141" s="65" t="s">
        <v>296</v>
      </c>
      <c r="E141" s="76">
        <v>11.595991683599996</v>
      </c>
      <c r="F141" s="7">
        <v>11.103196123599998</v>
      </c>
      <c r="G141" s="77">
        <v>9.5561179508999992</v>
      </c>
      <c r="H141" s="7">
        <v>0</v>
      </c>
      <c r="I141" s="7">
        <v>0</v>
      </c>
      <c r="J141" s="7">
        <v>0</v>
      </c>
      <c r="K141" s="84">
        <v>11.068875653599996</v>
      </c>
      <c r="L141" s="5">
        <v>11.053266063599999</v>
      </c>
      <c r="M141" s="85">
        <v>9.5561179508999992</v>
      </c>
      <c r="N141" s="94"/>
      <c r="O141" s="84">
        <v>13.150462992400007</v>
      </c>
      <c r="P141" s="614">
        <v>16.1249009175</v>
      </c>
      <c r="Q141" s="614">
        <v>18.248367349100018</v>
      </c>
      <c r="R141" s="85">
        <v>0</v>
      </c>
    </row>
    <row r="142" spans="1:18">
      <c r="B142" s="236"/>
      <c r="C142" s="25" t="s">
        <v>40</v>
      </c>
      <c r="D142" s="65" t="s">
        <v>396</v>
      </c>
      <c r="E142" s="76">
        <v>1.6552567606999997</v>
      </c>
      <c r="F142" s="7">
        <v>1.6552567606999997</v>
      </c>
      <c r="G142" s="77">
        <v>1.8515659206999997</v>
      </c>
      <c r="H142" s="7">
        <v>0</v>
      </c>
      <c r="I142" s="7">
        <v>0</v>
      </c>
      <c r="J142" s="7">
        <v>0</v>
      </c>
      <c r="K142" s="84">
        <v>1.6552567606999997</v>
      </c>
      <c r="L142" s="5">
        <v>1.6552567606999997</v>
      </c>
      <c r="M142" s="85">
        <v>1.8515659206999997</v>
      </c>
      <c r="N142" s="94"/>
      <c r="O142" s="84">
        <v>0.69599391199999983</v>
      </c>
      <c r="P142" s="614">
        <v>0.83918411199999987</v>
      </c>
      <c r="Q142" s="614">
        <v>2.7271985373000001</v>
      </c>
      <c r="R142" s="85">
        <v>0</v>
      </c>
    </row>
    <row r="143" spans="1:18">
      <c r="B143" s="236"/>
      <c r="C143" s="25" t="s">
        <v>40</v>
      </c>
      <c r="D143" s="65" t="s">
        <v>397</v>
      </c>
      <c r="E143" s="76">
        <v>10.209033682999999</v>
      </c>
      <c r="F143" s="7">
        <v>9.9741363555000007</v>
      </c>
      <c r="G143" s="77">
        <v>9.1810952055999984</v>
      </c>
      <c r="H143" s="7">
        <v>0</v>
      </c>
      <c r="I143" s="7">
        <v>0</v>
      </c>
      <c r="J143" s="7">
        <v>0</v>
      </c>
      <c r="K143" s="84">
        <v>4.9311630965999997</v>
      </c>
      <c r="L143" s="5">
        <v>4.8758441290999999</v>
      </c>
      <c r="M143" s="85">
        <v>6.1364831062999992</v>
      </c>
      <c r="N143" s="94"/>
      <c r="O143" s="84">
        <v>3.991400934200001</v>
      </c>
      <c r="P143" s="614">
        <v>4.4617523642000014</v>
      </c>
      <c r="Q143" s="614">
        <v>13.092849361300001</v>
      </c>
      <c r="R143" s="85">
        <v>0</v>
      </c>
    </row>
    <row r="144" spans="1:18">
      <c r="B144" s="236"/>
      <c r="C144" s="25" t="s">
        <v>40</v>
      </c>
      <c r="D144" s="65" t="s">
        <v>35</v>
      </c>
      <c r="E144" s="76">
        <v>5.5696155126999987</v>
      </c>
      <c r="F144" s="7">
        <v>5.5696155126999987</v>
      </c>
      <c r="G144" s="77">
        <v>10.232839123300002</v>
      </c>
      <c r="H144" s="7">
        <v>0</v>
      </c>
      <c r="I144" s="7">
        <v>0</v>
      </c>
      <c r="J144" s="7">
        <v>0</v>
      </c>
      <c r="K144" s="84">
        <v>5.1600313326999983</v>
      </c>
      <c r="L144" s="5">
        <v>5.1600313326999983</v>
      </c>
      <c r="M144" s="85">
        <v>9.823254943300002</v>
      </c>
      <c r="N144" s="94"/>
      <c r="O144" s="84">
        <v>2.1639720073000022</v>
      </c>
      <c r="P144" s="614">
        <v>4.7484644113999996</v>
      </c>
      <c r="Q144" s="614">
        <v>2.4442900512000025</v>
      </c>
      <c r="R144" s="85">
        <v>0</v>
      </c>
    </row>
    <row r="145" spans="1:18">
      <c r="B145" s="236"/>
      <c r="C145" s="25" t="s">
        <v>40</v>
      </c>
      <c r="D145" s="65" t="s">
        <v>36</v>
      </c>
      <c r="E145" s="76">
        <v>14.533630810000012</v>
      </c>
      <c r="F145" s="7">
        <v>14.533630810000011</v>
      </c>
      <c r="G145" s="77">
        <v>13.727001750000005</v>
      </c>
      <c r="H145" s="7">
        <v>0</v>
      </c>
      <c r="I145" s="7">
        <v>0</v>
      </c>
      <c r="J145" s="7">
        <v>0</v>
      </c>
      <c r="K145" s="84">
        <v>14.393233310000012</v>
      </c>
      <c r="L145" s="5">
        <v>14.37200777000001</v>
      </c>
      <c r="M145" s="85">
        <v>13.664725750000004</v>
      </c>
      <c r="N145" s="94"/>
      <c r="O145" s="84">
        <v>8.9513941299999988</v>
      </c>
      <c r="P145" s="614">
        <v>10.599245829999999</v>
      </c>
      <c r="Q145" s="614">
        <v>12.517492589999998</v>
      </c>
      <c r="R145" s="85">
        <v>0</v>
      </c>
    </row>
    <row r="146" spans="1:18" ht="15" thickBot="1">
      <c r="B146" s="236"/>
      <c r="C146" s="25" t="s">
        <v>40</v>
      </c>
      <c r="D146" s="65" t="s">
        <v>398</v>
      </c>
      <c r="E146" s="79">
        <v>0.95662999999999987</v>
      </c>
      <c r="F146" s="80">
        <v>0.95662999999999987</v>
      </c>
      <c r="G146" s="81">
        <v>0.95662999999999987</v>
      </c>
      <c r="H146" s="80">
        <v>0</v>
      </c>
      <c r="I146" s="80">
        <v>0</v>
      </c>
      <c r="J146" s="80">
        <v>0</v>
      </c>
      <c r="K146" s="86">
        <v>0.62296999999999991</v>
      </c>
      <c r="L146" s="87">
        <v>0.62296999999999991</v>
      </c>
      <c r="M146" s="88">
        <v>0.62296999999999991</v>
      </c>
      <c r="N146" s="94"/>
      <c r="O146" s="86">
        <v>0.56840400000000002</v>
      </c>
      <c r="P146" s="87">
        <v>0.56840400000000002</v>
      </c>
      <c r="Q146" s="87">
        <v>1.52792642</v>
      </c>
      <c r="R146" s="88">
        <v>0</v>
      </c>
    </row>
    <row r="147" spans="1:18">
      <c r="B147" s="236"/>
      <c r="K147" s="5">
        <f>+K114-M114</f>
        <v>25.214784152399602</v>
      </c>
      <c r="L147" s="1"/>
      <c r="M147" s="1"/>
      <c r="N147" s="91"/>
    </row>
    <row r="148" spans="1:18">
      <c r="B148" s="236" t="s">
        <v>194</v>
      </c>
      <c r="K148" s="5">
        <f>+K116-M116</f>
        <v>0</v>
      </c>
      <c r="L148" s="1"/>
      <c r="M148" s="1"/>
      <c r="N148" s="91"/>
    </row>
    <row r="149" spans="1:18">
      <c r="E149" t="s">
        <v>353</v>
      </c>
      <c r="K149" s="5">
        <f>+K117-M117</f>
        <v>36.574687023199715</v>
      </c>
      <c r="L149" s="1"/>
      <c r="M149" s="1"/>
      <c r="N149" s="91"/>
    </row>
    <row r="150" spans="1:18">
      <c r="E150" s="3" t="e">
        <f>+#REF!-E116</f>
        <v>#REF!</v>
      </c>
      <c r="K150" s="5">
        <f>+K130-M130</f>
        <v>9.8740862169000678</v>
      </c>
      <c r="L150" s="1"/>
      <c r="M150" s="1"/>
      <c r="N150" s="91"/>
    </row>
    <row r="151" spans="1:18">
      <c r="K151" s="5">
        <f>+K139-M139</f>
        <v>-17.410401570100003</v>
      </c>
      <c r="L151" s="1"/>
      <c r="M151" s="1"/>
      <c r="N151" s="91"/>
    </row>
    <row r="152" spans="1:18">
      <c r="K152" s="5">
        <f>+K140-M140</f>
        <v>-3.8235875175999894</v>
      </c>
      <c r="L152" s="1"/>
      <c r="M152" s="1"/>
      <c r="N152" s="91"/>
    </row>
    <row r="153" spans="1:18">
      <c r="K153" s="1"/>
      <c r="L153" s="1"/>
      <c r="M153" s="1"/>
      <c r="N153" s="91"/>
    </row>
    <row r="154" spans="1:18" ht="18">
      <c r="A154" s="237" t="s">
        <v>242</v>
      </c>
      <c r="B154" s="236" t="s">
        <v>13</v>
      </c>
      <c r="C154" s="24" t="s">
        <v>360</v>
      </c>
      <c r="D154" s="60" t="s">
        <v>12</v>
      </c>
      <c r="E154" s="7">
        <f t="shared" ref="E154:R154" si="0">SUM(E13,E44,E75)</f>
        <v>443.06541823660007</v>
      </c>
      <c r="F154" s="7">
        <f t="shared" si="0"/>
        <v>411.35107909770005</v>
      </c>
      <c r="G154" s="7">
        <f t="shared" si="0"/>
        <v>356.34812812019993</v>
      </c>
      <c r="H154" s="7">
        <f t="shared" ref="H154:J154" si="1">SUM(H13,H44,H75)</f>
        <v>2.2779772694</v>
      </c>
      <c r="I154" s="7">
        <f t="shared" si="1"/>
        <v>2.1742021093999999</v>
      </c>
      <c r="J154" s="7">
        <f t="shared" si="1"/>
        <v>2.1477609493999998</v>
      </c>
      <c r="K154" s="7">
        <f t="shared" si="0"/>
        <v>322.60390488080009</v>
      </c>
      <c r="L154" s="7">
        <f t="shared" si="0"/>
        <v>299.73684256870001</v>
      </c>
      <c r="M154" s="7">
        <f t="shared" si="0"/>
        <v>297.38912072839997</v>
      </c>
      <c r="N154" s="7">
        <f t="shared" si="0"/>
        <v>0</v>
      </c>
      <c r="O154" s="7">
        <f t="shared" si="0"/>
        <v>201.69107043530011</v>
      </c>
      <c r="P154" s="7">
        <f t="shared" si="0"/>
        <v>216.3536848685001</v>
      </c>
      <c r="Q154" s="7">
        <f t="shared" si="0"/>
        <v>370.34224774500046</v>
      </c>
      <c r="R154" s="7">
        <f t="shared" si="0"/>
        <v>0</v>
      </c>
    </row>
    <row r="155" spans="1:18" ht="18">
      <c r="B155" s="236"/>
      <c r="C155" s="378"/>
      <c r="D155" s="379"/>
      <c r="N155"/>
      <c r="O155"/>
      <c r="P155"/>
      <c r="Q155"/>
      <c r="R155"/>
    </row>
    <row r="156" spans="1:18">
      <c r="A156" s="237" t="s">
        <v>242</v>
      </c>
      <c r="B156" s="236" t="s">
        <v>234</v>
      </c>
      <c r="C156" s="16" t="s">
        <v>360</v>
      </c>
      <c r="D156" s="61" t="s">
        <v>14</v>
      </c>
      <c r="E156" s="7">
        <f t="shared" ref="E156:R156" si="2">SUM(E15,E46,E77)</f>
        <v>0</v>
      </c>
      <c r="F156" s="7">
        <f t="shared" si="2"/>
        <v>0</v>
      </c>
      <c r="G156" s="7">
        <f t="shared" si="2"/>
        <v>0</v>
      </c>
      <c r="H156" s="7">
        <f t="shared" ref="H156:J156" si="3">SUM(H15,H46,H77)</f>
        <v>0</v>
      </c>
      <c r="I156" s="7">
        <f t="shared" si="3"/>
        <v>0</v>
      </c>
      <c r="J156" s="7">
        <f t="shared" si="3"/>
        <v>0</v>
      </c>
      <c r="K156" s="7">
        <f t="shared" si="2"/>
        <v>0</v>
      </c>
      <c r="L156" s="7">
        <f t="shared" si="2"/>
        <v>0</v>
      </c>
      <c r="M156" s="7">
        <f t="shared" si="2"/>
        <v>0</v>
      </c>
      <c r="N156" s="7">
        <f t="shared" si="2"/>
        <v>0</v>
      </c>
      <c r="O156" s="7">
        <f t="shared" si="2"/>
        <v>0</v>
      </c>
      <c r="P156" s="7">
        <f t="shared" si="2"/>
        <v>0</v>
      </c>
      <c r="Q156" s="7">
        <f t="shared" si="2"/>
        <v>0</v>
      </c>
      <c r="R156" s="7">
        <f t="shared" si="2"/>
        <v>0</v>
      </c>
    </row>
    <row r="157" spans="1:18" s="132" customFormat="1">
      <c r="A157" s="237" t="s">
        <v>242</v>
      </c>
      <c r="B157" s="236" t="s">
        <v>58</v>
      </c>
      <c r="C157" s="16" t="s">
        <v>360</v>
      </c>
      <c r="D157" s="61" t="s">
        <v>15</v>
      </c>
      <c r="E157" s="419">
        <f t="shared" ref="E157:R157" si="4">SUM(E16,E47,E78)</f>
        <v>166.08076965870009</v>
      </c>
      <c r="F157" s="419">
        <f t="shared" si="4"/>
        <v>142.95050729140007</v>
      </c>
      <c r="G157" s="419">
        <f t="shared" si="4"/>
        <v>125.65730199930007</v>
      </c>
      <c r="H157" s="419">
        <f t="shared" ref="H157:J157" si="5">SUM(H16,H47,H78)</f>
        <v>0.22607436999999997</v>
      </c>
      <c r="I157" s="419">
        <f t="shared" si="5"/>
        <v>0.21197213999999998</v>
      </c>
      <c r="J157" s="419">
        <f t="shared" si="5"/>
        <v>0.21197213999999998</v>
      </c>
      <c r="K157" s="419">
        <f t="shared" si="4"/>
        <v>147.2328487617001</v>
      </c>
      <c r="L157" s="419">
        <f t="shared" si="4"/>
        <v>126.92222012440007</v>
      </c>
      <c r="M157" s="419">
        <f t="shared" si="4"/>
        <v>110.65816173850008</v>
      </c>
      <c r="N157" s="419">
        <f t="shared" si="4"/>
        <v>0</v>
      </c>
      <c r="O157" s="419">
        <f t="shared" si="4"/>
        <v>67.235771172999975</v>
      </c>
      <c r="P157" s="419">
        <f t="shared" si="4"/>
        <v>63.625955044300007</v>
      </c>
      <c r="Q157" s="419">
        <f t="shared" si="4"/>
        <v>126.81219965559995</v>
      </c>
      <c r="R157" s="419">
        <f t="shared" si="4"/>
        <v>0</v>
      </c>
    </row>
    <row r="158" spans="1:18" outlineLevel="1">
      <c r="A158" s="237" t="s">
        <v>242</v>
      </c>
      <c r="B158" s="236" t="s">
        <v>17</v>
      </c>
      <c r="C158" s="25" t="s">
        <v>360</v>
      </c>
      <c r="D158" s="62"/>
      <c r="E158" s="7">
        <f t="shared" ref="E158:R158" si="6">SUM(E17,E48,E79)</f>
        <v>43.452737643199995</v>
      </c>
      <c r="F158" s="7">
        <f t="shared" si="6"/>
        <v>36.178014553200001</v>
      </c>
      <c r="G158" s="7">
        <f t="shared" si="6"/>
        <v>34.772052816899993</v>
      </c>
      <c r="H158" s="7">
        <f t="shared" ref="H158:J158" si="7">SUM(H17,H48,H79)</f>
        <v>0</v>
      </c>
      <c r="I158" s="7">
        <f t="shared" si="7"/>
        <v>0</v>
      </c>
      <c r="J158" s="7">
        <f t="shared" si="7"/>
        <v>0</v>
      </c>
      <c r="K158" s="7">
        <f t="shared" si="6"/>
        <v>30.401456583199995</v>
      </c>
      <c r="L158" s="7">
        <f t="shared" si="6"/>
        <v>25.900482173199997</v>
      </c>
      <c r="M158" s="7">
        <f t="shared" si="6"/>
        <v>24.495012816899994</v>
      </c>
      <c r="N158" s="7">
        <f t="shared" si="6"/>
        <v>0</v>
      </c>
      <c r="O158" s="7">
        <f t="shared" si="6"/>
        <v>12.071773804200001</v>
      </c>
      <c r="P158" s="7">
        <f t="shared" si="6"/>
        <v>11.836241424200001</v>
      </c>
      <c r="Q158" s="7">
        <f t="shared" si="6"/>
        <v>19.114452655899999</v>
      </c>
      <c r="R158" s="7">
        <f t="shared" si="6"/>
        <v>0</v>
      </c>
    </row>
    <row r="159" spans="1:18" outlineLevel="1">
      <c r="A159" s="237" t="s">
        <v>242</v>
      </c>
      <c r="B159" s="236" t="s">
        <v>18</v>
      </c>
      <c r="C159" s="25" t="s">
        <v>360</v>
      </c>
      <c r="D159" s="62"/>
      <c r="E159" s="7">
        <f t="shared" ref="E159:R159" si="8">SUM(E18,E49,E80)</f>
        <v>0.13187364530000001</v>
      </c>
      <c r="F159" s="7">
        <f t="shared" si="8"/>
        <v>0.13187364530000001</v>
      </c>
      <c r="G159" s="7">
        <f t="shared" si="8"/>
        <v>0.1355537453</v>
      </c>
      <c r="H159" s="7">
        <f t="shared" ref="H159:J159" si="9">SUM(H18,H49,H80)</f>
        <v>0</v>
      </c>
      <c r="I159" s="7">
        <f t="shared" si="9"/>
        <v>0</v>
      </c>
      <c r="J159" s="7">
        <f t="shared" si="9"/>
        <v>0</v>
      </c>
      <c r="K159" s="7">
        <f t="shared" si="8"/>
        <v>0.13187364530000001</v>
      </c>
      <c r="L159" s="7">
        <f t="shared" si="8"/>
        <v>0.13187364530000001</v>
      </c>
      <c r="M159" s="7">
        <f t="shared" si="8"/>
        <v>0.1355537453</v>
      </c>
      <c r="N159" s="7">
        <f t="shared" si="8"/>
        <v>0</v>
      </c>
      <c r="O159" s="7">
        <f t="shared" si="8"/>
        <v>5.8119284653000003</v>
      </c>
      <c r="P159" s="7">
        <f t="shared" si="8"/>
        <v>5.7588620253</v>
      </c>
      <c r="Q159" s="7">
        <f t="shared" si="8"/>
        <v>13.8280693048</v>
      </c>
      <c r="R159" s="7">
        <f t="shared" si="8"/>
        <v>0</v>
      </c>
    </row>
    <row r="160" spans="1:18" outlineLevel="1">
      <c r="A160" s="237" t="s">
        <v>242</v>
      </c>
      <c r="B160" s="236" t="s">
        <v>19</v>
      </c>
      <c r="C160" s="25" t="s">
        <v>360</v>
      </c>
      <c r="D160" s="62"/>
      <c r="E160" s="7">
        <f t="shared" ref="E160:R160" si="10">SUM(E19,E50,E81)</f>
        <v>37.447742405399993</v>
      </c>
      <c r="F160" s="7">
        <f t="shared" si="10"/>
        <v>37.014420361599988</v>
      </c>
      <c r="G160" s="7">
        <f t="shared" si="10"/>
        <v>33.132177781699994</v>
      </c>
      <c r="H160" s="7">
        <f t="shared" ref="H160:J160" si="11">SUM(H19,H50,H81)</f>
        <v>0</v>
      </c>
      <c r="I160" s="7">
        <f t="shared" si="11"/>
        <v>0</v>
      </c>
      <c r="J160" s="7">
        <f t="shared" si="11"/>
        <v>0</v>
      </c>
      <c r="K160" s="7">
        <f t="shared" si="10"/>
        <v>32.716289360799991</v>
      </c>
      <c r="L160" s="7">
        <f t="shared" si="10"/>
        <v>32.293441516999991</v>
      </c>
      <c r="M160" s="7">
        <f t="shared" si="10"/>
        <v>28.699716623299992</v>
      </c>
      <c r="N160" s="7">
        <f t="shared" si="10"/>
        <v>0</v>
      </c>
      <c r="O160" s="7">
        <f t="shared" si="10"/>
        <v>10.092942691800001</v>
      </c>
      <c r="P160" s="7">
        <f t="shared" si="10"/>
        <v>12.297929946999997</v>
      </c>
      <c r="Q160" s="7">
        <f t="shared" si="10"/>
        <v>25.541099352899998</v>
      </c>
      <c r="R160" s="7">
        <f t="shared" si="10"/>
        <v>0</v>
      </c>
    </row>
    <row r="161" spans="1:18" outlineLevel="1">
      <c r="A161" s="237" t="s">
        <v>242</v>
      </c>
      <c r="B161" s="236" t="s">
        <v>77</v>
      </c>
      <c r="C161" s="25" t="s">
        <v>360</v>
      </c>
      <c r="D161" s="62"/>
      <c r="E161" s="7">
        <f t="shared" ref="E161:R161" si="12">SUM(E20,E51,E82)</f>
        <v>38.408688079700006</v>
      </c>
      <c r="F161" s="7">
        <f t="shared" si="12"/>
        <v>23.176516679700001</v>
      </c>
      <c r="G161" s="7">
        <f t="shared" si="12"/>
        <v>22.648985389700002</v>
      </c>
      <c r="H161" s="7">
        <f t="shared" ref="H161:J161" si="13">SUM(H20,H51,H82)</f>
        <v>0</v>
      </c>
      <c r="I161" s="7">
        <f t="shared" si="13"/>
        <v>0</v>
      </c>
      <c r="J161" s="7">
        <f t="shared" si="13"/>
        <v>0</v>
      </c>
      <c r="K161" s="7">
        <f t="shared" si="12"/>
        <v>38.408688079700006</v>
      </c>
      <c r="L161" s="7">
        <f t="shared" si="12"/>
        <v>23.176516679700001</v>
      </c>
      <c r="M161" s="7">
        <f t="shared" si="12"/>
        <v>22.648985389700002</v>
      </c>
      <c r="N161" s="7">
        <f t="shared" si="12"/>
        <v>0</v>
      </c>
      <c r="O161" s="7">
        <f t="shared" si="12"/>
        <v>9.5377159651000003</v>
      </c>
      <c r="P161" s="7">
        <f t="shared" si="12"/>
        <v>7.6108889547</v>
      </c>
      <c r="Q161" s="7">
        <f t="shared" si="12"/>
        <v>21.872768774700003</v>
      </c>
      <c r="R161" s="7">
        <f t="shared" si="12"/>
        <v>0</v>
      </c>
    </row>
    <row r="162" spans="1:18" outlineLevel="1">
      <c r="A162" s="237" t="s">
        <v>242</v>
      </c>
      <c r="B162" s="236" t="s">
        <v>78</v>
      </c>
      <c r="C162" s="25" t="s">
        <v>360</v>
      </c>
      <c r="D162" s="62"/>
      <c r="E162" s="7">
        <f t="shared" ref="E162:R162" si="14">SUM(E21,E52,E83)</f>
        <v>4.9666432474000004</v>
      </c>
      <c r="F162" s="7">
        <f t="shared" si="14"/>
        <v>4.9624962174</v>
      </c>
      <c r="G162" s="7">
        <f t="shared" si="14"/>
        <v>5.2631574552</v>
      </c>
      <c r="H162" s="7">
        <f t="shared" ref="H162:J162" si="15">SUM(H21,H52,H83)</f>
        <v>0</v>
      </c>
      <c r="I162" s="7">
        <f t="shared" si="15"/>
        <v>0</v>
      </c>
      <c r="J162" s="7">
        <f t="shared" si="15"/>
        <v>0</v>
      </c>
      <c r="K162" s="7">
        <f t="shared" si="14"/>
        <v>4.8337955374000003</v>
      </c>
      <c r="L162" s="7">
        <f t="shared" si="14"/>
        <v>4.8337955374000003</v>
      </c>
      <c r="M162" s="7">
        <f t="shared" si="14"/>
        <v>5.2631574552</v>
      </c>
      <c r="N162" s="7">
        <f t="shared" si="14"/>
        <v>0</v>
      </c>
      <c r="O162" s="7">
        <f t="shared" si="14"/>
        <v>2.4674813273999998</v>
      </c>
      <c r="P162" s="7">
        <f t="shared" si="14"/>
        <v>1.9118527374000001</v>
      </c>
      <c r="Q162" s="7">
        <f t="shared" si="14"/>
        <v>4.099897005099999</v>
      </c>
      <c r="R162" s="7">
        <f t="shared" si="14"/>
        <v>0</v>
      </c>
    </row>
    <row r="163" spans="1:18" outlineLevel="1">
      <c r="A163" s="237" t="s">
        <v>242</v>
      </c>
      <c r="B163" s="236" t="s">
        <v>393</v>
      </c>
      <c r="C163" s="25" t="s">
        <v>360</v>
      </c>
      <c r="D163" s="62"/>
      <c r="E163" s="7">
        <f t="shared" ref="E163:R163" si="16">SUM(E22,E53,E84)</f>
        <v>10.259919447199998</v>
      </c>
      <c r="F163" s="7">
        <f t="shared" si="16"/>
        <v>10.259919447199998</v>
      </c>
      <c r="G163" s="7">
        <f t="shared" si="16"/>
        <v>8.4770574171999993</v>
      </c>
      <c r="H163" s="7">
        <f t="shared" ref="H163:J163" si="17">SUM(H22,H53,H84)</f>
        <v>0</v>
      </c>
      <c r="I163" s="7">
        <f t="shared" si="17"/>
        <v>0</v>
      </c>
      <c r="J163" s="7">
        <f t="shared" si="17"/>
        <v>0</v>
      </c>
      <c r="K163" s="7">
        <f t="shared" si="16"/>
        <v>10.256328387199996</v>
      </c>
      <c r="L163" s="7">
        <f t="shared" si="16"/>
        <v>10.256328387199996</v>
      </c>
      <c r="M163" s="7">
        <f t="shared" si="16"/>
        <v>8.4770574171999993</v>
      </c>
      <c r="N163" s="7">
        <f t="shared" si="16"/>
        <v>0</v>
      </c>
      <c r="O163" s="7">
        <f t="shared" si="16"/>
        <v>0.9897447746000001</v>
      </c>
      <c r="P163" s="7">
        <f t="shared" si="16"/>
        <v>2.2165616710999996</v>
      </c>
      <c r="Q163" s="7">
        <f t="shared" si="16"/>
        <v>4.388901476800001</v>
      </c>
      <c r="R163" s="7">
        <f t="shared" si="16"/>
        <v>0</v>
      </c>
    </row>
    <row r="164" spans="1:18" outlineLevel="1">
      <c r="A164" s="237" t="s">
        <v>242</v>
      </c>
      <c r="B164" s="236" t="s">
        <v>80</v>
      </c>
      <c r="C164" s="25" t="s">
        <v>360</v>
      </c>
      <c r="D164" s="62"/>
      <c r="E164" s="7">
        <f t="shared" ref="E164:R164" si="18">SUM(E23,E54,E85)</f>
        <v>-9.2006891799999995</v>
      </c>
      <c r="F164" s="7">
        <f t="shared" si="18"/>
        <v>-9.2006891799999995</v>
      </c>
      <c r="G164" s="7">
        <f t="shared" si="18"/>
        <v>-7.3215929666000008</v>
      </c>
      <c r="H164" s="7">
        <f t="shared" ref="H164:J164" si="19">SUM(H23,H54,H85)</f>
        <v>0</v>
      </c>
      <c r="I164" s="7">
        <f t="shared" si="19"/>
        <v>0</v>
      </c>
      <c r="J164" s="7">
        <f t="shared" si="19"/>
        <v>0</v>
      </c>
      <c r="K164" s="7">
        <f t="shared" si="18"/>
        <v>-9.2006891799999995</v>
      </c>
      <c r="L164" s="7">
        <f t="shared" si="18"/>
        <v>-9.2006891799999995</v>
      </c>
      <c r="M164" s="7">
        <f t="shared" si="18"/>
        <v>-7.3215929666000008</v>
      </c>
      <c r="N164" s="7">
        <f t="shared" si="18"/>
        <v>0</v>
      </c>
      <c r="O164" s="7">
        <f t="shared" si="18"/>
        <v>-0.19191782000000002</v>
      </c>
      <c r="P164" s="7">
        <f t="shared" si="18"/>
        <v>-3.10842551</v>
      </c>
      <c r="Q164" s="7">
        <f t="shared" si="18"/>
        <v>-7.5381014051999999</v>
      </c>
      <c r="R164" s="7">
        <f t="shared" si="18"/>
        <v>0</v>
      </c>
    </row>
    <row r="165" spans="1:18" outlineLevel="1">
      <c r="A165" s="237" t="s">
        <v>242</v>
      </c>
      <c r="B165" s="236" t="s">
        <v>104</v>
      </c>
      <c r="C165" s="25" t="s">
        <v>360</v>
      </c>
      <c r="D165" s="64" t="s">
        <v>405</v>
      </c>
      <c r="E165" s="7">
        <f t="shared" ref="E165:R165" si="20">SUM(E24,E55,E86)</f>
        <v>2.4176245640000005</v>
      </c>
      <c r="F165" s="7">
        <f t="shared" si="20"/>
        <v>2.3600851040000004</v>
      </c>
      <c r="G165" s="7">
        <f t="shared" si="20"/>
        <v>1.9539712684000003</v>
      </c>
      <c r="H165" s="7">
        <f t="shared" ref="H165:J165" si="21">SUM(H24,H55,H86)</f>
        <v>7.1928069999999997E-2</v>
      </c>
      <c r="I165" s="7">
        <f t="shared" si="21"/>
        <v>5.7825839999999996E-2</v>
      </c>
      <c r="J165" s="7">
        <f t="shared" si="21"/>
        <v>5.7825839999999996E-2</v>
      </c>
      <c r="K165" s="7">
        <f t="shared" si="20"/>
        <v>1.9041613840000005</v>
      </c>
      <c r="L165" s="7">
        <f t="shared" si="20"/>
        <v>1.8550317640000005</v>
      </c>
      <c r="M165" s="7">
        <f t="shared" si="20"/>
        <v>1.9539712684000003</v>
      </c>
      <c r="N165" s="7">
        <f t="shared" si="20"/>
        <v>0</v>
      </c>
      <c r="O165" s="7">
        <f t="shared" si="20"/>
        <v>4.9236395512</v>
      </c>
      <c r="P165" s="7">
        <f t="shared" si="20"/>
        <v>4.6816044412000002</v>
      </c>
      <c r="Q165" s="7">
        <f t="shared" si="20"/>
        <v>5.5046430555999999</v>
      </c>
      <c r="R165" s="7">
        <f t="shared" si="20"/>
        <v>0</v>
      </c>
    </row>
    <row r="166" spans="1:18" outlineLevel="1">
      <c r="A166" s="237" t="s">
        <v>242</v>
      </c>
      <c r="B166" s="236" t="s">
        <v>105</v>
      </c>
      <c r="C166" s="25" t="s">
        <v>360</v>
      </c>
      <c r="D166" s="65" t="s">
        <v>25</v>
      </c>
      <c r="E166" s="7">
        <f t="shared" ref="E166:R166" si="22">SUM(E25,E56,E87)</f>
        <v>38.1962298065</v>
      </c>
      <c r="F166" s="7">
        <f t="shared" si="22"/>
        <v>38.067870463000006</v>
      </c>
      <c r="G166" s="7">
        <f t="shared" si="22"/>
        <v>26.5959390915</v>
      </c>
      <c r="H166" s="7">
        <f t="shared" ref="H166:J166" si="23">SUM(H25,H56,H87)</f>
        <v>0.15414629999999999</v>
      </c>
      <c r="I166" s="7">
        <f t="shared" si="23"/>
        <v>0.15414629999999999</v>
      </c>
      <c r="J166" s="7">
        <f t="shared" si="23"/>
        <v>0.15414629999999999</v>
      </c>
      <c r="K166" s="7">
        <f t="shared" si="22"/>
        <v>37.780944964100001</v>
      </c>
      <c r="L166" s="7">
        <f t="shared" si="22"/>
        <v>37.675439600600001</v>
      </c>
      <c r="M166" s="7">
        <f t="shared" si="22"/>
        <v>26.306299989099998</v>
      </c>
      <c r="N166" s="7">
        <f t="shared" si="22"/>
        <v>0</v>
      </c>
      <c r="O166" s="7">
        <f t="shared" si="22"/>
        <v>21.532462413400005</v>
      </c>
      <c r="P166" s="7">
        <f t="shared" si="22"/>
        <v>20.420439353400003</v>
      </c>
      <c r="Q166" s="7">
        <f t="shared" si="22"/>
        <v>40.000469435000007</v>
      </c>
      <c r="R166" s="7">
        <f t="shared" si="22"/>
        <v>0</v>
      </c>
    </row>
    <row r="167" spans="1:18" s="132" customFormat="1">
      <c r="A167" s="237" t="s">
        <v>242</v>
      </c>
      <c r="B167" s="236" t="s">
        <v>26</v>
      </c>
      <c r="C167" s="16" t="s">
        <v>360</v>
      </c>
      <c r="D167" s="61" t="s">
        <v>26</v>
      </c>
      <c r="E167" s="419">
        <f t="shared" ref="E167:R167" si="24">SUM(E26,E57,E88)</f>
        <v>173.31338095340021</v>
      </c>
      <c r="F167" s="419">
        <f t="shared" si="24"/>
        <v>165.74580678780018</v>
      </c>
      <c r="G167" s="419">
        <f t="shared" si="24"/>
        <v>137.97891130080018</v>
      </c>
      <c r="H167" s="419">
        <f t="shared" ref="H167:J167" si="25">SUM(H26,H57,H88)</f>
        <v>1.87407458</v>
      </c>
      <c r="I167" s="419">
        <f t="shared" si="25"/>
        <v>1.87407458</v>
      </c>
      <c r="J167" s="419">
        <f t="shared" si="25"/>
        <v>1.87407458</v>
      </c>
      <c r="K167" s="419">
        <f t="shared" si="24"/>
        <v>120.0237730243002</v>
      </c>
      <c r="L167" s="419">
        <f t="shared" si="24"/>
        <v>117.55949347700017</v>
      </c>
      <c r="M167" s="419">
        <f t="shared" si="24"/>
        <v>110.14968680740017</v>
      </c>
      <c r="N167" s="419">
        <f t="shared" si="24"/>
        <v>0</v>
      </c>
      <c r="O167" s="419">
        <f t="shared" si="24"/>
        <v>76.798546982900007</v>
      </c>
      <c r="P167" s="419">
        <f t="shared" si="24"/>
        <v>84.594769007100041</v>
      </c>
      <c r="Q167" s="419">
        <f t="shared" si="24"/>
        <v>127.84883587300007</v>
      </c>
      <c r="R167" s="419">
        <f t="shared" si="24"/>
        <v>0</v>
      </c>
    </row>
    <row r="168" spans="1:18" outlineLevel="1">
      <c r="A168" s="237" t="s">
        <v>242</v>
      </c>
      <c r="B168" s="236" t="s">
        <v>235</v>
      </c>
      <c r="C168" s="25" t="s">
        <v>360</v>
      </c>
      <c r="D168" s="65" t="s">
        <v>28</v>
      </c>
      <c r="E168" s="7">
        <f t="shared" ref="E168:R168" si="26">SUM(E27,E58,E89)</f>
        <v>28.273675758800007</v>
      </c>
      <c r="F168" s="7">
        <f t="shared" si="26"/>
        <v>28.053666898800007</v>
      </c>
      <c r="G168" s="7">
        <f t="shared" si="26"/>
        <v>27.092479694499993</v>
      </c>
      <c r="H168" s="7">
        <f t="shared" ref="H168:J168" si="27">SUM(H27,H58,H89)</f>
        <v>6.3390860000000007E-2</v>
      </c>
      <c r="I168" s="7">
        <f t="shared" si="27"/>
        <v>6.3390860000000007E-2</v>
      </c>
      <c r="J168" s="7">
        <f t="shared" si="27"/>
        <v>6.3390860000000007E-2</v>
      </c>
      <c r="K168" s="7">
        <f t="shared" si="26"/>
        <v>26.785685211300006</v>
      </c>
      <c r="L168" s="7">
        <f t="shared" si="26"/>
        <v>26.502196685400005</v>
      </c>
      <c r="M168" s="7">
        <f t="shared" si="26"/>
        <v>26.879421231099997</v>
      </c>
      <c r="N168" s="7">
        <f t="shared" si="26"/>
        <v>0</v>
      </c>
      <c r="O168" s="7">
        <f t="shared" si="26"/>
        <v>10.951183690200001</v>
      </c>
      <c r="P168" s="7">
        <f t="shared" si="26"/>
        <v>11.362003168399998</v>
      </c>
      <c r="Q168" s="7">
        <f t="shared" si="26"/>
        <v>17.856437156000002</v>
      </c>
      <c r="R168" s="7">
        <f t="shared" si="26"/>
        <v>0</v>
      </c>
    </row>
    <row r="169" spans="1:18" outlineLevel="1">
      <c r="A169" s="237" t="s">
        <v>242</v>
      </c>
      <c r="B169" s="236" t="s">
        <v>106</v>
      </c>
      <c r="C169" s="25" t="s">
        <v>360</v>
      </c>
      <c r="D169" s="65" t="s">
        <v>27</v>
      </c>
      <c r="E169" s="7">
        <f t="shared" ref="E169:R169" si="28">SUM(E28,E59,E90)</f>
        <v>14.075385461099993</v>
      </c>
      <c r="F169" s="7">
        <f t="shared" si="28"/>
        <v>13.928661452099995</v>
      </c>
      <c r="G169" s="7">
        <f t="shared" si="28"/>
        <v>13.385745426799998</v>
      </c>
      <c r="H169" s="7">
        <f t="shared" ref="H169:J169" si="29">SUM(H28,H59,H90)</f>
        <v>6.8372759999999991E-2</v>
      </c>
      <c r="I169" s="7">
        <f t="shared" si="29"/>
        <v>6.8372759999999991E-2</v>
      </c>
      <c r="J169" s="7">
        <f t="shared" si="29"/>
        <v>6.8372759999999991E-2</v>
      </c>
      <c r="K169" s="7">
        <f t="shared" si="28"/>
        <v>13.677266821099993</v>
      </c>
      <c r="L169" s="7">
        <f t="shared" si="28"/>
        <v>13.302897192099996</v>
      </c>
      <c r="M169" s="7">
        <f t="shared" si="28"/>
        <v>13.001380426799997</v>
      </c>
      <c r="N169" s="7">
        <f t="shared" si="28"/>
        <v>0</v>
      </c>
      <c r="O169" s="7">
        <f t="shared" si="28"/>
        <v>3.0324200002999997</v>
      </c>
      <c r="P169" s="7">
        <f t="shared" si="28"/>
        <v>3.0059952188999999</v>
      </c>
      <c r="Q169" s="7">
        <f t="shared" si="28"/>
        <v>5.219675693400001</v>
      </c>
      <c r="R169" s="7">
        <f t="shared" si="28"/>
        <v>0</v>
      </c>
    </row>
    <row r="170" spans="1:18" outlineLevel="1">
      <c r="A170" s="237" t="s">
        <v>242</v>
      </c>
      <c r="B170" s="236" t="s">
        <v>87</v>
      </c>
      <c r="C170" s="25" t="s">
        <v>360</v>
      </c>
      <c r="D170" s="65" t="s">
        <v>30</v>
      </c>
      <c r="E170" s="7">
        <f t="shared" ref="E170:R170" si="30">SUM(E29,E60,E91)</f>
        <v>6.7185063147000017</v>
      </c>
      <c r="F170" s="7">
        <f t="shared" si="30"/>
        <v>6.7185063147000017</v>
      </c>
      <c r="G170" s="7">
        <f t="shared" si="30"/>
        <v>7.1941567447000008</v>
      </c>
      <c r="H170" s="7">
        <f t="shared" ref="H170:J170" si="31">SUM(H29,H60,H91)</f>
        <v>1.3092562400000001</v>
      </c>
      <c r="I170" s="7">
        <f t="shared" si="31"/>
        <v>1.3092562400000001</v>
      </c>
      <c r="J170" s="7">
        <f t="shared" si="31"/>
        <v>1.3092562400000001</v>
      </c>
      <c r="K170" s="7">
        <f t="shared" si="30"/>
        <v>6.7184564547000019</v>
      </c>
      <c r="L170" s="7">
        <f t="shared" si="30"/>
        <v>6.7184564547000019</v>
      </c>
      <c r="M170" s="7">
        <f t="shared" si="30"/>
        <v>7.1941567447000008</v>
      </c>
      <c r="N170" s="7">
        <f t="shared" si="30"/>
        <v>0</v>
      </c>
      <c r="O170" s="7">
        <f t="shared" si="30"/>
        <v>8.3170896520999982</v>
      </c>
      <c r="P170" s="7">
        <f t="shared" si="30"/>
        <v>7.7425608620999986</v>
      </c>
      <c r="Q170" s="7">
        <f t="shared" si="30"/>
        <v>11.575255193700002</v>
      </c>
      <c r="R170" s="7">
        <f t="shared" si="30"/>
        <v>0</v>
      </c>
    </row>
    <row r="171" spans="1:18" outlineLevel="1">
      <c r="A171" s="237" t="s">
        <v>242</v>
      </c>
      <c r="B171" s="236" t="s">
        <v>107</v>
      </c>
      <c r="C171" s="25" t="s">
        <v>360</v>
      </c>
      <c r="D171" s="65" t="s">
        <v>29</v>
      </c>
      <c r="E171" s="7">
        <f t="shared" ref="E171:R171" si="32">SUM(E30,E61,E92)</f>
        <v>33.369014701499999</v>
      </c>
      <c r="F171" s="7">
        <f t="shared" si="32"/>
        <v>33.048929090400001</v>
      </c>
      <c r="G171" s="7">
        <f t="shared" si="32"/>
        <v>23.566779567899999</v>
      </c>
      <c r="H171" s="7">
        <f t="shared" ref="H171:J171" si="33">SUM(H30,H61,H92)</f>
        <v>0</v>
      </c>
      <c r="I171" s="7">
        <f t="shared" si="33"/>
        <v>0</v>
      </c>
      <c r="J171" s="7">
        <f t="shared" si="33"/>
        <v>0</v>
      </c>
      <c r="K171" s="7">
        <f t="shared" si="32"/>
        <v>3.6632892303999993</v>
      </c>
      <c r="L171" s="7">
        <f t="shared" si="32"/>
        <v>3.6607377003999999</v>
      </c>
      <c r="M171" s="7">
        <f t="shared" si="32"/>
        <v>5.7496440178999997</v>
      </c>
      <c r="N171" s="7">
        <f t="shared" si="32"/>
        <v>0</v>
      </c>
      <c r="O171" s="7">
        <f t="shared" si="32"/>
        <v>2.8833213601000001</v>
      </c>
      <c r="P171" s="7">
        <f t="shared" si="32"/>
        <v>7.1034290820000017</v>
      </c>
      <c r="Q171" s="7">
        <f t="shared" si="32"/>
        <v>13.455383572000002</v>
      </c>
      <c r="R171" s="7">
        <f t="shared" si="32"/>
        <v>0</v>
      </c>
    </row>
    <row r="172" spans="1:18" outlineLevel="1">
      <c r="A172" s="237" t="s">
        <v>242</v>
      </c>
      <c r="B172" s="236" t="s">
        <v>236</v>
      </c>
      <c r="C172" s="25" t="s">
        <v>360</v>
      </c>
      <c r="D172" s="65" t="s">
        <v>31</v>
      </c>
      <c r="E172" s="7">
        <f t="shared" ref="E172:R172" si="34">SUM(E31,E62,E93)</f>
        <v>18.620437829499998</v>
      </c>
      <c r="F172" s="7">
        <f t="shared" si="34"/>
        <v>16.788545374000002</v>
      </c>
      <c r="G172" s="7">
        <f t="shared" si="34"/>
        <v>10.9731179255</v>
      </c>
      <c r="H172" s="7">
        <f t="shared" ref="H172:J172" si="35">SUM(H31,H62,H93)</f>
        <v>0</v>
      </c>
      <c r="I172" s="7">
        <f t="shared" si="35"/>
        <v>0</v>
      </c>
      <c r="J172" s="7">
        <f t="shared" si="35"/>
        <v>0</v>
      </c>
      <c r="K172" s="7">
        <f t="shared" si="34"/>
        <v>12.1058396911</v>
      </c>
      <c r="L172" s="7">
        <f t="shared" si="34"/>
        <v>11.557639056599999</v>
      </c>
      <c r="M172" s="7">
        <f t="shared" si="34"/>
        <v>10.311176745499999</v>
      </c>
      <c r="N172" s="7">
        <f t="shared" si="34"/>
        <v>0</v>
      </c>
      <c r="O172" s="7">
        <f t="shared" si="34"/>
        <v>4.5784659646000003</v>
      </c>
      <c r="P172" s="7">
        <f t="shared" si="34"/>
        <v>6.1284756387999995</v>
      </c>
      <c r="Q172" s="7">
        <f t="shared" si="34"/>
        <v>8.3742279975000002</v>
      </c>
      <c r="R172" s="7">
        <f t="shared" si="34"/>
        <v>0</v>
      </c>
    </row>
    <row r="173" spans="1:18" outlineLevel="1">
      <c r="A173" s="237" t="s">
        <v>242</v>
      </c>
      <c r="B173" s="236" t="s">
        <v>237</v>
      </c>
      <c r="C173" s="25" t="s">
        <v>360</v>
      </c>
      <c r="D173" s="65" t="s">
        <v>394</v>
      </c>
      <c r="E173" s="7">
        <f t="shared" ref="E173:R173" si="36">SUM(E32,E63,E94)</f>
        <v>43.221803662999974</v>
      </c>
      <c r="F173" s="7">
        <f t="shared" si="36"/>
        <v>38.52217251299998</v>
      </c>
      <c r="G173" s="7">
        <f t="shared" si="36"/>
        <v>34.242110844799974</v>
      </c>
      <c r="H173" s="7">
        <f t="shared" ref="H173:J173" si="37">SUM(H32,H63,H94)</f>
        <v>0.43305472</v>
      </c>
      <c r="I173" s="7">
        <f t="shared" si="37"/>
        <v>0.43305472</v>
      </c>
      <c r="J173" s="7">
        <f t="shared" si="37"/>
        <v>0.43305472</v>
      </c>
      <c r="K173" s="7">
        <f t="shared" si="36"/>
        <v>38.041359990899977</v>
      </c>
      <c r="L173" s="7">
        <f t="shared" si="36"/>
        <v>37.030261202999981</v>
      </c>
      <c r="M173" s="7">
        <f t="shared" si="36"/>
        <v>33.483213564799975</v>
      </c>
      <c r="N173" s="7">
        <f t="shared" si="36"/>
        <v>0</v>
      </c>
      <c r="O173" s="7">
        <f t="shared" si="36"/>
        <v>30.686534643700003</v>
      </c>
      <c r="P173" s="7">
        <f t="shared" si="36"/>
        <v>33.836922074200011</v>
      </c>
      <c r="Q173" s="7">
        <f t="shared" si="36"/>
        <v>50.849144760999991</v>
      </c>
      <c r="R173" s="7">
        <f t="shared" si="36"/>
        <v>0</v>
      </c>
    </row>
    <row r="174" spans="1:18" outlineLevel="1">
      <c r="A174" s="237" t="s">
        <v>242</v>
      </c>
      <c r="B174" s="236" t="s">
        <v>163</v>
      </c>
      <c r="C174" s="25" t="s">
        <v>360</v>
      </c>
      <c r="D174" s="65" t="s">
        <v>403</v>
      </c>
      <c r="E174" s="7">
        <f t="shared" ref="E174:R174" si="38">SUM(E33,E64,E95)</f>
        <v>29.0345572248</v>
      </c>
      <c r="F174" s="7">
        <f t="shared" si="38"/>
        <v>28.6853251448</v>
      </c>
      <c r="G174" s="7">
        <f t="shared" si="38"/>
        <v>21.524521096600004</v>
      </c>
      <c r="H174" s="7">
        <f t="shared" ref="H174:J174" si="39">SUM(H33,H64,H95)</f>
        <v>0</v>
      </c>
      <c r="I174" s="7">
        <f t="shared" si="39"/>
        <v>0</v>
      </c>
      <c r="J174" s="7">
        <f t="shared" si="39"/>
        <v>0</v>
      </c>
      <c r="K174" s="7">
        <f t="shared" si="38"/>
        <v>19.031875624800001</v>
      </c>
      <c r="L174" s="7">
        <f t="shared" si="38"/>
        <v>18.787305184800001</v>
      </c>
      <c r="M174" s="7">
        <f t="shared" si="38"/>
        <v>13.530694076600003</v>
      </c>
      <c r="N174" s="7">
        <f t="shared" si="38"/>
        <v>0</v>
      </c>
      <c r="O174" s="7">
        <f t="shared" si="38"/>
        <v>16.349531671899999</v>
      </c>
      <c r="P174" s="7">
        <f t="shared" si="38"/>
        <v>15.415382962700001</v>
      </c>
      <c r="Q174" s="7">
        <f t="shared" si="38"/>
        <v>20.518711499399998</v>
      </c>
      <c r="R174" s="7">
        <f t="shared" si="38"/>
        <v>0</v>
      </c>
    </row>
    <row r="175" spans="1:18" outlineLevel="1">
      <c r="A175" s="237" t="s">
        <v>242</v>
      </c>
      <c r="B175" s="236" t="s">
        <v>404</v>
      </c>
      <c r="C175" s="25" t="s">
        <v>360</v>
      </c>
      <c r="D175" s="65" t="s">
        <v>395</v>
      </c>
      <c r="E175" s="7">
        <f t="shared" ref="E175:R175" si="40">SUM(E34,E65,E96)</f>
        <v>0</v>
      </c>
      <c r="F175" s="7">
        <f t="shared" si="40"/>
        <v>0</v>
      </c>
      <c r="G175" s="7">
        <f t="shared" si="40"/>
        <v>0</v>
      </c>
      <c r="H175" s="7">
        <f t="shared" ref="H175:J175" si="41">SUM(H34,H65,H96)</f>
        <v>0</v>
      </c>
      <c r="I175" s="7">
        <f t="shared" si="41"/>
        <v>0</v>
      </c>
      <c r="J175" s="7">
        <f t="shared" si="41"/>
        <v>0</v>
      </c>
      <c r="K175" s="7">
        <f t="shared" si="40"/>
        <v>0</v>
      </c>
      <c r="L175" s="7">
        <f t="shared" si="40"/>
        <v>0</v>
      </c>
      <c r="M175" s="7">
        <f t="shared" si="40"/>
        <v>0</v>
      </c>
      <c r="N175" s="7">
        <f t="shared" si="40"/>
        <v>0</v>
      </c>
      <c r="O175" s="7">
        <f t="shared" si="40"/>
        <v>0</v>
      </c>
      <c r="P175" s="7">
        <f t="shared" si="40"/>
        <v>0</v>
      </c>
      <c r="Q175" s="7">
        <f t="shared" si="40"/>
        <v>0</v>
      </c>
      <c r="R175" s="7">
        <f t="shared" si="40"/>
        <v>0</v>
      </c>
    </row>
    <row r="176" spans="1:18" s="132" customFormat="1">
      <c r="A176" s="237" t="s">
        <v>242</v>
      </c>
      <c r="B176" s="236" t="s">
        <v>59</v>
      </c>
      <c r="C176" s="16" t="s">
        <v>360</v>
      </c>
      <c r="D176" s="61" t="s">
        <v>33</v>
      </c>
      <c r="E176" s="419">
        <f t="shared" ref="E176:R176" si="42">SUM(E35,E66,E97)</f>
        <v>60.107739174500004</v>
      </c>
      <c r="F176" s="419">
        <f t="shared" si="42"/>
        <v>59.818929455999999</v>
      </c>
      <c r="G176" s="419">
        <f t="shared" si="42"/>
        <v>48.163294869600001</v>
      </c>
      <c r="H176" s="419">
        <f t="shared" ref="H176:J176" si="43">SUM(H35,H66,H97)</f>
        <v>0.17782831939999999</v>
      </c>
      <c r="I176" s="419">
        <f t="shared" si="43"/>
        <v>8.8155389400000006E-2</v>
      </c>
      <c r="J176" s="419">
        <f t="shared" si="43"/>
        <v>6.1714229400000001E-2</v>
      </c>
      <c r="K176" s="419">
        <f t="shared" si="42"/>
        <v>18.138722941199998</v>
      </c>
      <c r="L176" s="419">
        <f t="shared" si="42"/>
        <v>18.138722911199999</v>
      </c>
      <c r="M176" s="419">
        <f t="shared" si="42"/>
        <v>35.549124511300001</v>
      </c>
      <c r="N176" s="419">
        <f t="shared" si="42"/>
        <v>0</v>
      </c>
      <c r="O176" s="419">
        <f t="shared" si="42"/>
        <v>28.703528303499997</v>
      </c>
      <c r="P176" s="419">
        <f t="shared" si="42"/>
        <v>31.359413182000004</v>
      </c>
      <c r="Q176" s="419">
        <f t="shared" si="42"/>
        <v>66.651014327499993</v>
      </c>
      <c r="R176" s="419">
        <f t="shared" si="42"/>
        <v>0</v>
      </c>
    </row>
    <row r="177" spans="1:18" s="132" customFormat="1">
      <c r="A177" s="237" t="s">
        <v>242</v>
      </c>
      <c r="B177" s="236" t="s">
        <v>34</v>
      </c>
      <c r="C177" s="16" t="s">
        <v>360</v>
      </c>
      <c r="D177" s="61" t="s">
        <v>34</v>
      </c>
      <c r="E177" s="419">
        <f t="shared" ref="E177:R177" si="44">SUM(E36,E67,E98)</f>
        <v>43.563528450000021</v>
      </c>
      <c r="F177" s="419">
        <f t="shared" si="44"/>
        <v>42.835835562500023</v>
      </c>
      <c r="G177" s="419">
        <f t="shared" si="44"/>
        <v>44.548619950499997</v>
      </c>
      <c r="H177" s="419">
        <f t="shared" ref="H177:J177" si="45">SUM(H36,H67,H98)</f>
        <v>0</v>
      </c>
      <c r="I177" s="419">
        <f t="shared" si="45"/>
        <v>0</v>
      </c>
      <c r="J177" s="419">
        <f t="shared" si="45"/>
        <v>0</v>
      </c>
      <c r="K177" s="419">
        <f t="shared" si="44"/>
        <v>37.208560153600018</v>
      </c>
      <c r="L177" s="419">
        <f t="shared" si="44"/>
        <v>37.116406056100018</v>
      </c>
      <c r="M177" s="419">
        <f t="shared" si="44"/>
        <v>41.032147671200001</v>
      </c>
      <c r="N177" s="419">
        <f t="shared" si="44"/>
        <v>0</v>
      </c>
      <c r="O177" s="419">
        <f t="shared" si="44"/>
        <v>28.953223975900009</v>
      </c>
      <c r="P177" s="419">
        <f t="shared" si="44"/>
        <v>36.773547635100002</v>
      </c>
      <c r="Q177" s="419">
        <f t="shared" si="44"/>
        <v>49.030197888900034</v>
      </c>
      <c r="R177" s="419">
        <f t="shared" si="44"/>
        <v>0</v>
      </c>
    </row>
    <row r="178" spans="1:18" outlineLevel="1">
      <c r="A178" s="237" t="s">
        <v>242</v>
      </c>
      <c r="B178" s="236" t="s">
        <v>399</v>
      </c>
      <c r="C178" s="16" t="s">
        <v>360</v>
      </c>
      <c r="D178" s="65" t="s">
        <v>296</v>
      </c>
      <c r="E178" s="7">
        <f t="shared" ref="E178:R178" si="46">SUM(E37,E68,E99)</f>
        <v>11.595991683600001</v>
      </c>
      <c r="F178" s="7">
        <f t="shared" si="46"/>
        <v>11.1031961236</v>
      </c>
      <c r="G178" s="7">
        <f t="shared" si="46"/>
        <v>9.5561179509000009</v>
      </c>
      <c r="H178" s="7">
        <f t="shared" ref="H178:J178" si="47">SUM(H37,H68,H99)</f>
        <v>0</v>
      </c>
      <c r="I178" s="7">
        <f t="shared" si="47"/>
        <v>0</v>
      </c>
      <c r="J178" s="7">
        <f t="shared" si="47"/>
        <v>0</v>
      </c>
      <c r="K178" s="7">
        <f t="shared" si="46"/>
        <v>11.068875653599999</v>
      </c>
      <c r="L178" s="7">
        <f t="shared" si="46"/>
        <v>11.053266063600001</v>
      </c>
      <c r="M178" s="7">
        <f t="shared" si="46"/>
        <v>9.5561179509000009</v>
      </c>
      <c r="N178" s="7">
        <f t="shared" si="46"/>
        <v>0</v>
      </c>
      <c r="O178" s="7">
        <f t="shared" si="46"/>
        <v>13.150462992399998</v>
      </c>
      <c r="P178" s="7">
        <f t="shared" si="46"/>
        <v>16.124900917500003</v>
      </c>
      <c r="Q178" s="7">
        <f t="shared" si="46"/>
        <v>18.248367349099993</v>
      </c>
      <c r="R178" s="7">
        <f t="shared" si="46"/>
        <v>0</v>
      </c>
    </row>
    <row r="179" spans="1:18" outlineLevel="1">
      <c r="A179" s="237" t="s">
        <v>242</v>
      </c>
      <c r="B179" s="236" t="s">
        <v>400</v>
      </c>
      <c r="C179" s="16" t="s">
        <v>360</v>
      </c>
      <c r="D179" s="65" t="s">
        <v>396</v>
      </c>
      <c r="E179" s="7">
        <f t="shared" ref="E179:R179" si="48">SUM(E38,E69,E100)</f>
        <v>1.6552567606999999</v>
      </c>
      <c r="F179" s="7">
        <f t="shared" si="48"/>
        <v>1.6552567606999999</v>
      </c>
      <c r="G179" s="7">
        <f t="shared" si="48"/>
        <v>1.8515659206999999</v>
      </c>
      <c r="H179" s="7">
        <f t="shared" ref="H179:J179" si="49">SUM(H38,H69,H100)</f>
        <v>0</v>
      </c>
      <c r="I179" s="7">
        <f t="shared" si="49"/>
        <v>0</v>
      </c>
      <c r="J179" s="7">
        <f t="shared" si="49"/>
        <v>0</v>
      </c>
      <c r="K179" s="7">
        <f t="shared" si="48"/>
        <v>1.6552567606999999</v>
      </c>
      <c r="L179" s="7">
        <f t="shared" si="48"/>
        <v>1.6552567606999999</v>
      </c>
      <c r="M179" s="7">
        <f t="shared" si="48"/>
        <v>1.8515659206999999</v>
      </c>
      <c r="N179" s="7">
        <f t="shared" si="48"/>
        <v>0</v>
      </c>
      <c r="O179" s="7">
        <f t="shared" si="48"/>
        <v>0.69599391199999994</v>
      </c>
      <c r="P179" s="7">
        <f t="shared" si="48"/>
        <v>0.83918411199999998</v>
      </c>
      <c r="Q179" s="7">
        <f t="shared" si="48"/>
        <v>2.7271985372999996</v>
      </c>
      <c r="R179" s="7">
        <f t="shared" si="48"/>
        <v>0</v>
      </c>
    </row>
    <row r="180" spans="1:18" outlineLevel="1">
      <c r="A180" s="237" t="s">
        <v>242</v>
      </c>
      <c r="B180" s="236" t="s">
        <v>401</v>
      </c>
      <c r="C180" s="16" t="s">
        <v>360</v>
      </c>
      <c r="D180" s="65" t="s">
        <v>397</v>
      </c>
      <c r="E180" s="7">
        <f t="shared" ref="E180:R180" si="50">SUM(E39,E70,E101)</f>
        <v>10.209033682999999</v>
      </c>
      <c r="F180" s="7">
        <f t="shared" si="50"/>
        <v>9.9741363554999989</v>
      </c>
      <c r="G180" s="7">
        <f t="shared" si="50"/>
        <v>9.1810952055999984</v>
      </c>
      <c r="H180" s="7">
        <f t="shared" ref="H180:J180" si="51">SUM(H39,H70,H101)</f>
        <v>0</v>
      </c>
      <c r="I180" s="7">
        <f t="shared" si="51"/>
        <v>0</v>
      </c>
      <c r="J180" s="7">
        <f t="shared" si="51"/>
        <v>0</v>
      </c>
      <c r="K180" s="7">
        <f t="shared" si="50"/>
        <v>4.9311630965999989</v>
      </c>
      <c r="L180" s="7">
        <f t="shared" si="50"/>
        <v>4.875844129099999</v>
      </c>
      <c r="M180" s="7">
        <f t="shared" si="50"/>
        <v>6.1364831062999992</v>
      </c>
      <c r="N180" s="7">
        <f t="shared" si="50"/>
        <v>0</v>
      </c>
      <c r="O180" s="7">
        <f t="shared" si="50"/>
        <v>3.9914009341999996</v>
      </c>
      <c r="P180" s="7">
        <f t="shared" si="50"/>
        <v>4.4617523641999997</v>
      </c>
      <c r="Q180" s="7">
        <f t="shared" si="50"/>
        <v>13.092849361299999</v>
      </c>
      <c r="R180" s="7">
        <f t="shared" si="50"/>
        <v>0</v>
      </c>
    </row>
    <row r="181" spans="1:18" outlineLevel="1">
      <c r="A181" s="237" t="s">
        <v>242</v>
      </c>
      <c r="B181" s="236" t="s">
        <v>93</v>
      </c>
      <c r="C181" s="25" t="s">
        <v>360</v>
      </c>
      <c r="D181" s="65" t="s">
        <v>35</v>
      </c>
      <c r="E181" s="7">
        <f t="shared" ref="E181:R181" si="52">SUM(E40,E71,E102)</f>
        <v>5.5696155126999995</v>
      </c>
      <c r="F181" s="7">
        <f t="shared" si="52"/>
        <v>5.5696155126999995</v>
      </c>
      <c r="G181" s="7">
        <f t="shared" si="52"/>
        <v>10.2328391233</v>
      </c>
      <c r="H181" s="7">
        <f t="shared" ref="H181:J181" si="53">SUM(H40,H71,H102)</f>
        <v>0</v>
      </c>
      <c r="I181" s="7">
        <f t="shared" si="53"/>
        <v>0</v>
      </c>
      <c r="J181" s="7">
        <f t="shared" si="53"/>
        <v>0</v>
      </c>
      <c r="K181" s="7">
        <f t="shared" si="52"/>
        <v>5.1600313327</v>
      </c>
      <c r="L181" s="7">
        <f t="shared" si="52"/>
        <v>5.1600313327</v>
      </c>
      <c r="M181" s="7">
        <f t="shared" si="52"/>
        <v>9.8232549433000003</v>
      </c>
      <c r="N181" s="7">
        <f t="shared" si="52"/>
        <v>0</v>
      </c>
      <c r="O181" s="7">
        <f t="shared" si="52"/>
        <v>2.1639720073000004</v>
      </c>
      <c r="P181" s="7">
        <f t="shared" si="52"/>
        <v>4.7484644114000005</v>
      </c>
      <c r="Q181" s="7">
        <f t="shared" si="52"/>
        <v>2.4442900512000003</v>
      </c>
      <c r="R181" s="7">
        <f t="shared" si="52"/>
        <v>0</v>
      </c>
    </row>
    <row r="182" spans="1:18" outlineLevel="1">
      <c r="A182" s="237" t="s">
        <v>242</v>
      </c>
      <c r="B182" s="236" t="s">
        <v>238</v>
      </c>
      <c r="C182" s="25" t="s">
        <v>360</v>
      </c>
      <c r="D182" s="65" t="s">
        <v>36</v>
      </c>
      <c r="E182" s="7">
        <f t="shared" ref="E182:R182" si="54">SUM(E41,E72,E103)</f>
        <v>14.533630810000005</v>
      </c>
      <c r="F182" s="7">
        <f t="shared" si="54"/>
        <v>14.533630810000002</v>
      </c>
      <c r="G182" s="7">
        <f t="shared" si="54"/>
        <v>13.727001750000001</v>
      </c>
      <c r="H182" s="7">
        <f t="shared" ref="H182:J182" si="55">SUM(H41,H72,H103)</f>
        <v>0</v>
      </c>
      <c r="I182" s="7">
        <f t="shared" si="55"/>
        <v>0</v>
      </c>
      <c r="J182" s="7">
        <f t="shared" si="55"/>
        <v>0</v>
      </c>
      <c r="K182" s="7">
        <f t="shared" si="54"/>
        <v>14.393233310000003</v>
      </c>
      <c r="L182" s="7">
        <f t="shared" si="54"/>
        <v>14.372007770000003</v>
      </c>
      <c r="M182" s="7">
        <f t="shared" si="54"/>
        <v>13.664725750000001</v>
      </c>
      <c r="N182" s="7">
        <f t="shared" si="54"/>
        <v>0</v>
      </c>
      <c r="O182" s="7">
        <f t="shared" si="54"/>
        <v>8.9513941299999988</v>
      </c>
      <c r="P182" s="7">
        <f t="shared" si="54"/>
        <v>10.599245829999997</v>
      </c>
      <c r="Q182" s="7">
        <f t="shared" si="54"/>
        <v>12.517492589999998</v>
      </c>
      <c r="R182" s="7">
        <f t="shared" si="54"/>
        <v>0</v>
      </c>
    </row>
    <row r="183" spans="1:18" outlineLevel="1">
      <c r="A183" s="237" t="s">
        <v>242</v>
      </c>
      <c r="B183" s="236" t="s">
        <v>402</v>
      </c>
      <c r="C183" s="25" t="s">
        <v>360</v>
      </c>
      <c r="D183" s="65" t="s">
        <v>398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</sheetData>
  <autoFilter ref="C12:D152" xr:uid="{FBA03D81-6969-4452-BACF-6B59E0ADFC1E}"/>
  <mergeCells count="4">
    <mergeCell ref="E7:G7"/>
    <mergeCell ref="H7:J7"/>
    <mergeCell ref="K7:M7"/>
    <mergeCell ref="O7:R7"/>
  </mergeCells>
  <phoneticPr fontId="49" type="noConversion"/>
  <pageMargins left="0.7" right="0.7" top="0.75" bottom="0.75" header="0.3" footer="0.3"/>
  <pageSetup orientation="portrait" r:id="rId1"/>
  <customProperties>
    <customPr name="COR_MapSheets" r:id="rId2"/>
    <customPr name="Serialized_Sheet_Mapping" r:id="rId3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E22A-8D7A-4B28-B559-A91240722D1C}">
  <sheetPr>
    <tabColor theme="4" tint="-0.249977111117893"/>
  </sheetPr>
  <dimension ref="A1:BZ305"/>
  <sheetViews>
    <sheetView zoomScale="80" zoomScaleNormal="80" workbookViewId="0">
      <pane xSplit="4" ySplit="12" topLeftCell="E13" activePane="bottomRight" state="frozen"/>
      <selection pane="topRight" activeCell="D1" sqref="D1"/>
      <selection pane="bottomLeft" activeCell="A15" sqref="A15"/>
      <selection pane="bottomRight" activeCell="F13" sqref="F13"/>
    </sheetView>
  </sheetViews>
  <sheetFormatPr defaultColWidth="9" defaultRowHeight="14.4" outlineLevelRow="1"/>
  <cols>
    <col min="1" max="1" width="9" style="237"/>
    <col min="2" max="2" width="11.44140625" style="235" customWidth="1"/>
    <col min="3" max="3" width="33.5546875" customWidth="1"/>
    <col min="4" max="4" width="30.6640625" customWidth="1"/>
    <col min="5" max="10" width="11.5546875" customWidth="1"/>
    <col min="11" max="11" width="1.33203125" style="2" customWidth="1"/>
    <col min="12" max="12" width="11.6640625" style="1" customWidth="1"/>
    <col min="13" max="14" width="11.44140625" style="1" customWidth="1"/>
    <col min="15" max="15" width="8.5546875" style="1" customWidth="1"/>
    <col min="16" max="16384" width="9" style="1"/>
  </cols>
  <sheetData>
    <row r="1" spans="1:15" ht="14.4" customHeight="1">
      <c r="D1" s="61" t="s">
        <v>15</v>
      </c>
      <c r="E1" s="7">
        <f>SUM(E16,E47,E78)</f>
        <v>108.82447709600001</v>
      </c>
      <c r="K1"/>
      <c r="L1"/>
      <c r="M1"/>
      <c r="N1"/>
      <c r="O1"/>
    </row>
    <row r="2" spans="1:15" ht="14.4" customHeight="1">
      <c r="D2" s="61" t="s">
        <v>26</v>
      </c>
      <c r="E2" s="7">
        <f>SUM(E26,E57,E88)</f>
        <v>94.333666898600129</v>
      </c>
      <c r="K2"/>
      <c r="L2"/>
      <c r="M2"/>
      <c r="O2" s="7"/>
    </row>
    <row r="3" spans="1:15" ht="14.4" customHeight="1">
      <c r="D3" s="61" t="s">
        <v>33</v>
      </c>
      <c r="E3" s="7">
        <f>SUM(E35,E66,E97)</f>
        <v>18.961590897400001</v>
      </c>
      <c r="G3" s="168"/>
      <c r="K3"/>
      <c r="L3"/>
      <c r="M3"/>
      <c r="N3"/>
      <c r="O3" s="168"/>
    </row>
    <row r="4" spans="1:15" ht="14.4" customHeight="1">
      <c r="C4" s="9" t="s">
        <v>1</v>
      </c>
      <c r="D4" s="61" t="s">
        <v>34</v>
      </c>
      <c r="E4" s="7">
        <f>SUM(E36,E67,E98)</f>
        <v>34.649020632100004</v>
      </c>
      <c r="K4"/>
      <c r="L4"/>
      <c r="M4"/>
      <c r="N4"/>
      <c r="O4" s="168"/>
    </row>
    <row r="5" spans="1:15" ht="14.4" customHeight="1" thickBot="1">
      <c r="C5" s="11" t="s">
        <v>0</v>
      </c>
      <c r="E5" t="s">
        <v>279</v>
      </c>
      <c r="F5" s="302">
        <v>2.86436622</v>
      </c>
      <c r="G5" s="354">
        <f>+F5-E33</f>
        <v>1.6962144299999999</v>
      </c>
      <c r="H5" s="7">
        <f>E13-F13</f>
        <v>0.30186043999999868</v>
      </c>
      <c r="K5"/>
      <c r="L5"/>
      <c r="M5"/>
      <c r="N5"/>
      <c r="O5"/>
    </row>
    <row r="6" spans="1:15" ht="14.4" customHeight="1">
      <c r="C6" s="10" t="s">
        <v>2</v>
      </c>
    </row>
    <row r="7" spans="1:15" ht="14.4" customHeight="1" thickBot="1">
      <c r="C7" s="10" t="s">
        <v>4</v>
      </c>
      <c r="E7" s="605" t="s">
        <v>143</v>
      </c>
      <c r="F7" s="605"/>
      <c r="G7" s="605"/>
      <c r="H7" s="571" t="s">
        <v>143</v>
      </c>
      <c r="I7" s="571"/>
      <c r="J7" s="571"/>
      <c r="L7" s="571" t="s">
        <v>46</v>
      </c>
      <c r="M7" s="571"/>
      <c r="N7" s="571"/>
      <c r="O7" s="571"/>
    </row>
    <row r="8" spans="1:15" ht="14.4" customHeight="1">
      <c r="C8" s="10" t="s">
        <v>7</v>
      </c>
      <c r="D8" s="140" t="s">
        <v>406</v>
      </c>
      <c r="E8" s="66" t="s">
        <v>112</v>
      </c>
      <c r="F8" s="67" t="s">
        <v>113</v>
      </c>
      <c r="G8" s="68" t="s">
        <v>114</v>
      </c>
      <c r="H8" s="66" t="s">
        <v>112</v>
      </c>
      <c r="I8" s="67" t="s">
        <v>113</v>
      </c>
      <c r="J8" s="68" t="s">
        <v>114</v>
      </c>
      <c r="K8" s="89"/>
      <c r="L8" s="66" t="s">
        <v>46</v>
      </c>
      <c r="M8" s="106" t="s">
        <v>161</v>
      </c>
      <c r="N8" s="106" t="s">
        <v>46</v>
      </c>
      <c r="O8" s="608" t="s">
        <v>124</v>
      </c>
    </row>
    <row r="9" spans="1:15" ht="14.4" customHeight="1">
      <c r="C9" s="12"/>
      <c r="D9" s="59"/>
      <c r="E9" s="69" t="s">
        <v>8</v>
      </c>
      <c r="F9" s="13" t="s">
        <v>8</v>
      </c>
      <c r="G9" s="70" t="s">
        <v>8</v>
      </c>
      <c r="H9" s="69" t="s">
        <v>8</v>
      </c>
      <c r="I9" s="13" t="s">
        <v>8</v>
      </c>
      <c r="J9" s="70" t="s">
        <v>8</v>
      </c>
      <c r="K9" s="90"/>
      <c r="L9" s="69" t="s">
        <v>8</v>
      </c>
      <c r="M9" s="609" t="s">
        <v>8</v>
      </c>
      <c r="N9" s="609" t="s">
        <v>8</v>
      </c>
      <c r="O9" s="70" t="s">
        <v>8</v>
      </c>
    </row>
    <row r="10" spans="1:15" ht="14.4" customHeight="1">
      <c r="C10" s="12"/>
      <c r="D10" s="59"/>
      <c r="E10" s="298" t="str">
        <f>INPUT!$B$2</f>
        <v>4Q</v>
      </c>
      <c r="F10" s="298" t="str">
        <f>INPUT!$B$2</f>
        <v>4Q</v>
      </c>
      <c r="G10" s="298" t="str">
        <f>INPUT!$B$2</f>
        <v>4Q</v>
      </c>
      <c r="H10" s="299" t="str">
        <f>INPUT!$B$4</f>
        <v>NovQTD</v>
      </c>
      <c r="I10" s="8" t="str">
        <f>$H$10</f>
        <v>NovQTD</v>
      </c>
      <c r="J10" s="300" t="str">
        <f>$H$10</f>
        <v>NovQTD</v>
      </c>
      <c r="K10" s="91"/>
      <c r="L10" s="299" t="str">
        <f t="shared" ref="L10:M10" si="0">$H$10</f>
        <v>NovQTD</v>
      </c>
      <c r="M10" s="616" t="str">
        <f t="shared" si="0"/>
        <v>NovQTD</v>
      </c>
      <c r="N10" s="298" t="str">
        <f>INPUT!$B$2</f>
        <v>4Q</v>
      </c>
      <c r="O10" s="610" t="str">
        <f>INPUT!$B$2</f>
        <v>4Q</v>
      </c>
    </row>
    <row r="11" spans="1:15">
      <c r="C11" s="12"/>
      <c r="D11" s="59"/>
      <c r="E11" s="69" t="s">
        <v>417</v>
      </c>
      <c r="F11" s="13" t="str">
        <f>E11</f>
        <v>FSHIP</v>
      </c>
      <c r="G11" s="70" t="str">
        <f>E11</f>
        <v>FSHIP</v>
      </c>
      <c r="H11" s="69" t="str">
        <f>E11</f>
        <v>FSHIP</v>
      </c>
      <c r="I11" s="13" t="str">
        <f>H11</f>
        <v>FSHIP</v>
      </c>
      <c r="J11" s="70" t="str">
        <f>I11</f>
        <v>FSHIP</v>
      </c>
      <c r="K11" s="90"/>
      <c r="L11" s="617" t="s">
        <v>417</v>
      </c>
      <c r="M11" s="609" t="str">
        <f>L11</f>
        <v>FSHIP</v>
      </c>
      <c r="N11" s="70" t="str">
        <f>M11</f>
        <v>FSHIP</v>
      </c>
      <c r="O11" s="70" t="str">
        <f>M11</f>
        <v>FSHIP</v>
      </c>
    </row>
    <row r="12" spans="1:15">
      <c r="A12" s="238" t="s">
        <v>240</v>
      </c>
      <c r="B12" s="236" t="s">
        <v>241</v>
      </c>
      <c r="C12" s="12"/>
      <c r="D12" s="59"/>
      <c r="E12" s="71" t="str">
        <f>INPUT!$E$2</f>
        <v>LD111325</v>
      </c>
      <c r="F12" s="14" t="str">
        <f>INPUT!$E$3</f>
        <v>LD111225</v>
      </c>
      <c r="G12" s="72" t="str">
        <f>INPUT!$E$4</f>
        <v>LD110725</v>
      </c>
      <c r="H12" s="71" t="str">
        <f>INPUT!$E$2</f>
        <v>LD111325</v>
      </c>
      <c r="I12" s="14" t="str">
        <f>INPUT!$E$3</f>
        <v>LD111225</v>
      </c>
      <c r="J12" s="72" t="str">
        <f>INPUT!$E$4</f>
        <v>LD110725</v>
      </c>
      <c r="K12" s="92"/>
      <c r="L12" s="71" t="str">
        <f>INPUT!E5</f>
        <v>LD111424</v>
      </c>
      <c r="M12" s="611" t="str">
        <f>INPUT!F9</f>
        <v>Ld103124</v>
      </c>
      <c r="N12" s="611" t="str">
        <f>INPUT!E5</f>
        <v>LD111424</v>
      </c>
      <c r="O12" s="72" t="str">
        <f>INPUT!F10</f>
        <v>Ld3Q24Final</v>
      </c>
    </row>
    <row r="13" spans="1:15" s="4" customFormat="1" ht="18">
      <c r="A13" s="237">
        <v>26</v>
      </c>
      <c r="B13" s="236" t="s">
        <v>13</v>
      </c>
      <c r="C13" s="15" t="s">
        <v>11</v>
      </c>
      <c r="D13" s="60" t="s">
        <v>12</v>
      </c>
      <c r="E13" s="78">
        <v>34.804885393000013</v>
      </c>
      <c r="F13" s="74">
        <v>34.503024953000015</v>
      </c>
      <c r="G13" s="75">
        <v>25.976382693000016</v>
      </c>
      <c r="H13" s="82">
        <v>34.231828393000008</v>
      </c>
      <c r="I13" s="18">
        <v>33.929967953000009</v>
      </c>
      <c r="J13" s="83">
        <v>25.403325693000017</v>
      </c>
      <c r="K13" s="93"/>
      <c r="L13" s="82">
        <v>43.172730933000018</v>
      </c>
      <c r="M13" s="612">
        <v>38.102405222000016</v>
      </c>
      <c r="N13" s="612">
        <v>43.172730933000018</v>
      </c>
      <c r="O13" s="613">
        <v>0</v>
      </c>
    </row>
    <row r="14" spans="1:15" s="4" customFormat="1" ht="18">
      <c r="A14" s="237">
        <v>26</v>
      </c>
      <c r="B14" s="236" t="s">
        <v>243</v>
      </c>
      <c r="C14" s="578"/>
      <c r="D14" s="579"/>
      <c r="E14" s="73"/>
      <c r="F14" s="74"/>
      <c r="G14" s="75"/>
      <c r="H14" s="82"/>
      <c r="I14" s="18"/>
      <c r="J14" s="83"/>
      <c r="K14" s="93"/>
      <c r="L14" s="82"/>
      <c r="M14" s="612"/>
      <c r="N14" s="612"/>
      <c r="O14" s="613"/>
    </row>
    <row r="15" spans="1:15" s="4" customFormat="1">
      <c r="A15" s="237">
        <v>26</v>
      </c>
      <c r="B15" s="236" t="s">
        <v>234</v>
      </c>
      <c r="C15" s="19" t="s">
        <v>11</v>
      </c>
      <c r="D15" s="61" t="s">
        <v>14</v>
      </c>
      <c r="E15" s="73">
        <v>0</v>
      </c>
      <c r="F15" s="74">
        <v>0</v>
      </c>
      <c r="G15" s="75">
        <v>0</v>
      </c>
      <c r="H15" s="82">
        <v>0</v>
      </c>
      <c r="I15" s="18">
        <v>0</v>
      </c>
      <c r="J15" s="83">
        <v>0</v>
      </c>
      <c r="K15" s="93"/>
      <c r="L15" s="82">
        <v>0</v>
      </c>
      <c r="M15" s="612">
        <v>0</v>
      </c>
      <c r="N15" s="612">
        <v>0</v>
      </c>
      <c r="O15" s="83">
        <v>0</v>
      </c>
    </row>
    <row r="16" spans="1:15" s="4" customFormat="1">
      <c r="A16" s="237">
        <v>26</v>
      </c>
      <c r="B16" s="236" t="s">
        <v>58</v>
      </c>
      <c r="C16" s="19" t="s">
        <v>11</v>
      </c>
      <c r="D16" s="20" t="s">
        <v>15</v>
      </c>
      <c r="E16" s="73">
        <v>20.502922732999998</v>
      </c>
      <c r="F16" s="74">
        <v>20.499462682999997</v>
      </c>
      <c r="G16" s="75">
        <v>18.556606262999995</v>
      </c>
      <c r="H16" s="82">
        <v>20.502922732999998</v>
      </c>
      <c r="I16" s="18">
        <v>20.499462682999997</v>
      </c>
      <c r="J16" s="83">
        <v>18.556606262999995</v>
      </c>
      <c r="K16" s="93"/>
      <c r="L16" s="82">
        <v>8.1239046500000018</v>
      </c>
      <c r="M16" s="612">
        <v>8.51132563</v>
      </c>
      <c r="N16" s="612">
        <v>8.1239046500000018</v>
      </c>
      <c r="O16" s="83">
        <v>0</v>
      </c>
    </row>
    <row r="17" spans="1:15" outlineLevel="1">
      <c r="A17" s="237">
        <v>26</v>
      </c>
      <c r="B17" s="236" t="s">
        <v>17</v>
      </c>
      <c r="C17" s="21" t="s">
        <v>11</v>
      </c>
      <c r="D17" s="426" t="s">
        <v>17</v>
      </c>
      <c r="E17" s="76">
        <v>4.8705776000000007</v>
      </c>
      <c r="F17" s="7">
        <v>4.8705776000000007</v>
      </c>
      <c r="G17" s="77">
        <v>4.5323811700000007</v>
      </c>
      <c r="H17" s="84">
        <v>4.8705776000000007</v>
      </c>
      <c r="I17" s="5">
        <v>4.8705776000000007</v>
      </c>
      <c r="J17" s="85">
        <v>4.5323811700000007</v>
      </c>
      <c r="K17" s="94"/>
      <c r="L17" s="84">
        <v>2.5438200799999997</v>
      </c>
      <c r="M17" s="614">
        <v>2.3779526500000001</v>
      </c>
      <c r="N17" s="614">
        <v>2.5438200799999997</v>
      </c>
      <c r="O17" s="85">
        <v>0</v>
      </c>
    </row>
    <row r="18" spans="1:15" outlineLevel="1">
      <c r="A18" s="237">
        <v>26</v>
      </c>
      <c r="B18" s="236" t="s">
        <v>18</v>
      </c>
      <c r="C18" s="21" t="s">
        <v>11</v>
      </c>
      <c r="D18" s="426" t="s">
        <v>18</v>
      </c>
      <c r="E18" s="76">
        <v>0</v>
      </c>
      <c r="F18" s="7">
        <v>0</v>
      </c>
      <c r="G18" s="77">
        <v>0</v>
      </c>
      <c r="H18" s="84">
        <v>0</v>
      </c>
      <c r="I18" s="5">
        <v>0</v>
      </c>
      <c r="J18" s="85">
        <v>0</v>
      </c>
      <c r="K18" s="94"/>
      <c r="L18" s="84">
        <v>0.44581061</v>
      </c>
      <c r="M18" s="614">
        <v>0.42202442000000001</v>
      </c>
      <c r="N18" s="614">
        <v>0.44581061</v>
      </c>
      <c r="O18" s="85">
        <v>0</v>
      </c>
    </row>
    <row r="19" spans="1:15" outlineLevel="1">
      <c r="A19" s="237">
        <v>26</v>
      </c>
      <c r="B19" s="236" t="s">
        <v>19</v>
      </c>
      <c r="C19" s="21" t="s">
        <v>11</v>
      </c>
      <c r="D19" s="426" t="s">
        <v>19</v>
      </c>
      <c r="E19" s="76">
        <v>1.7956988099999986</v>
      </c>
      <c r="F19" s="7">
        <v>1.7922387599999987</v>
      </c>
      <c r="G19" s="77">
        <v>1.7014740700000002</v>
      </c>
      <c r="H19" s="84">
        <v>1.7956988099999986</v>
      </c>
      <c r="I19" s="5">
        <v>1.7922387599999987</v>
      </c>
      <c r="J19" s="85">
        <v>1.7014740700000002</v>
      </c>
      <c r="K19" s="94"/>
      <c r="L19" s="84">
        <v>0.61807486000000011</v>
      </c>
      <c r="M19" s="614">
        <v>0.25128049999999996</v>
      </c>
      <c r="N19" s="614">
        <v>0.61807486000000011</v>
      </c>
      <c r="O19" s="85">
        <v>0</v>
      </c>
    </row>
    <row r="20" spans="1:15" outlineLevel="1">
      <c r="A20" s="237">
        <v>26</v>
      </c>
      <c r="B20" s="236" t="s">
        <v>77</v>
      </c>
      <c r="C20" s="21" t="s">
        <v>11</v>
      </c>
      <c r="D20" s="426" t="s">
        <v>77</v>
      </c>
      <c r="E20" s="76">
        <v>6.7396119360000002</v>
      </c>
      <c r="F20" s="7">
        <v>6.7396119360000002</v>
      </c>
      <c r="G20" s="77">
        <v>5.8010235360000006</v>
      </c>
      <c r="H20" s="84">
        <v>6.7396119360000002</v>
      </c>
      <c r="I20" s="5">
        <v>6.7396119360000002</v>
      </c>
      <c r="J20" s="85">
        <v>5.8010235360000006</v>
      </c>
      <c r="K20" s="94"/>
      <c r="L20" s="84">
        <v>0.76537301000000069</v>
      </c>
      <c r="M20" s="614">
        <v>2.0818223000000007</v>
      </c>
      <c r="N20" s="614">
        <v>0.76537301000000069</v>
      </c>
      <c r="O20" s="85">
        <v>0</v>
      </c>
    </row>
    <row r="21" spans="1:15" outlineLevel="1">
      <c r="A21" s="237">
        <v>26</v>
      </c>
      <c r="B21" s="236" t="s">
        <v>78</v>
      </c>
      <c r="C21" s="21" t="s">
        <v>11</v>
      </c>
      <c r="D21" s="426" t="s">
        <v>78</v>
      </c>
      <c r="E21" s="76">
        <v>1.3673398300000001</v>
      </c>
      <c r="F21" s="7">
        <v>1.3673398300000001</v>
      </c>
      <c r="G21" s="77">
        <v>5.9999999999999995E-8</v>
      </c>
      <c r="H21" s="84">
        <v>1.3673398300000001</v>
      </c>
      <c r="I21" s="5">
        <v>1.3673398300000001</v>
      </c>
      <c r="J21" s="85">
        <v>5.9999999999999995E-8</v>
      </c>
      <c r="K21" s="94"/>
      <c r="L21" s="84">
        <v>1.7361800000000004E-2</v>
      </c>
      <c r="M21" s="614">
        <v>-0.27115099999999998</v>
      </c>
      <c r="N21" s="614">
        <v>1.7361800000000004E-2</v>
      </c>
      <c r="O21" s="85">
        <v>0</v>
      </c>
    </row>
    <row r="22" spans="1:15" outlineLevel="1">
      <c r="A22" s="237">
        <v>26</v>
      </c>
      <c r="B22" s="236" t="s">
        <v>393</v>
      </c>
      <c r="C22" s="21" t="s">
        <v>11</v>
      </c>
      <c r="D22" s="426" t="s">
        <v>393</v>
      </c>
      <c r="E22" s="76">
        <v>-3.2614589999999999E-2</v>
      </c>
      <c r="F22" s="7">
        <v>-3.2614589999999999E-2</v>
      </c>
      <c r="G22" s="77">
        <v>6.0000000000000008E-8</v>
      </c>
      <c r="H22" s="84">
        <v>-3.2614589999999999E-2</v>
      </c>
      <c r="I22" s="5">
        <v>-3.2614589999999999E-2</v>
      </c>
      <c r="J22" s="85">
        <v>6.0000000000000008E-8</v>
      </c>
      <c r="K22" s="94"/>
      <c r="L22" s="84">
        <v>0</v>
      </c>
      <c r="M22" s="614">
        <v>0</v>
      </c>
      <c r="N22" s="614">
        <v>0</v>
      </c>
      <c r="O22" s="85">
        <v>0</v>
      </c>
    </row>
    <row r="23" spans="1:15" outlineLevel="1">
      <c r="A23" s="237">
        <v>26</v>
      </c>
      <c r="B23" s="236" t="s">
        <v>80</v>
      </c>
      <c r="C23" s="21" t="s">
        <v>11</v>
      </c>
      <c r="D23" s="426" t="s">
        <v>80</v>
      </c>
      <c r="E23" s="76">
        <v>-0.85850693</v>
      </c>
      <c r="F23" s="7">
        <v>-0.85850693</v>
      </c>
      <c r="G23" s="77">
        <v>0</v>
      </c>
      <c r="H23" s="84">
        <v>-0.85850693</v>
      </c>
      <c r="I23" s="5">
        <v>-0.85850693</v>
      </c>
      <c r="J23" s="85">
        <v>0</v>
      </c>
      <c r="K23" s="94"/>
      <c r="L23" s="84">
        <v>-0.97889300000000001</v>
      </c>
      <c r="M23" s="614">
        <v>-0.49912499999999999</v>
      </c>
      <c r="N23" s="614">
        <v>-0.97889300000000001</v>
      </c>
      <c r="O23" s="85">
        <v>0</v>
      </c>
    </row>
    <row r="24" spans="1:15" outlineLevel="1">
      <c r="A24" s="237">
        <v>26</v>
      </c>
      <c r="B24" s="236" t="s">
        <v>104</v>
      </c>
      <c r="C24" s="21" t="s">
        <v>11</v>
      </c>
      <c r="D24" s="64" t="s">
        <v>405</v>
      </c>
      <c r="E24" s="76">
        <v>4.9224399999999993E-3</v>
      </c>
      <c r="F24" s="7">
        <v>4.9224399999999993E-3</v>
      </c>
      <c r="G24" s="77">
        <v>0</v>
      </c>
      <c r="H24" s="84">
        <v>4.9224399999999993E-3</v>
      </c>
      <c r="I24" s="5">
        <v>4.9224399999999993E-3</v>
      </c>
      <c r="J24" s="85">
        <v>0</v>
      </c>
      <c r="K24" s="94"/>
      <c r="L24" s="84">
        <v>0.44424898999999995</v>
      </c>
      <c r="M24" s="614">
        <v>0.45290378999999997</v>
      </c>
      <c r="N24" s="614">
        <v>0.44424898999999995</v>
      </c>
      <c r="O24" s="85">
        <v>0</v>
      </c>
    </row>
    <row r="25" spans="1:15" outlineLevel="1">
      <c r="A25" s="237">
        <v>26</v>
      </c>
      <c r="B25" s="236" t="s">
        <v>105</v>
      </c>
      <c r="C25" s="21" t="s">
        <v>11</v>
      </c>
      <c r="D25" s="65" t="s">
        <v>25</v>
      </c>
      <c r="E25" s="416">
        <v>6.6158936369999992</v>
      </c>
      <c r="F25" s="7">
        <v>6.6158936369999992</v>
      </c>
      <c r="G25" s="77">
        <v>6.5217273669999996</v>
      </c>
      <c r="H25" s="84">
        <v>6.6158936369999992</v>
      </c>
      <c r="I25" s="5">
        <v>6.6158936369999992</v>
      </c>
      <c r="J25" s="85">
        <v>6.5217273669999996</v>
      </c>
      <c r="K25" s="94"/>
      <c r="L25" s="84">
        <v>4.2681082999999997</v>
      </c>
      <c r="M25" s="614">
        <v>3.6956179699999998</v>
      </c>
      <c r="N25" s="614">
        <v>4.2681082999999997</v>
      </c>
      <c r="O25" s="85">
        <v>0</v>
      </c>
    </row>
    <row r="26" spans="1:15" s="4" customFormat="1">
      <c r="A26" s="237">
        <v>26</v>
      </c>
      <c r="B26" s="236" t="s">
        <v>26</v>
      </c>
      <c r="C26" s="19" t="s">
        <v>11</v>
      </c>
      <c r="D26" s="61" t="s">
        <v>26</v>
      </c>
      <c r="E26" s="73">
        <v>4.7004963399999999</v>
      </c>
      <c r="F26" s="74">
        <v>4.4020959499999996</v>
      </c>
      <c r="G26" s="75">
        <v>3.2860550800000001</v>
      </c>
      <c r="H26" s="82">
        <v>4.1274393400000005</v>
      </c>
      <c r="I26" s="18">
        <v>3.8290389499999997</v>
      </c>
      <c r="J26" s="83">
        <v>2.7129980800000002</v>
      </c>
      <c r="K26" s="93"/>
      <c r="L26" s="82">
        <v>11.660783142999998</v>
      </c>
      <c r="M26" s="612">
        <v>10.294046112</v>
      </c>
      <c r="N26" s="612">
        <v>11.660783142999998</v>
      </c>
      <c r="O26" s="83">
        <v>0</v>
      </c>
    </row>
    <row r="27" spans="1:15" outlineLevel="1">
      <c r="A27" s="237">
        <v>26</v>
      </c>
      <c r="B27" s="236" t="s">
        <v>235</v>
      </c>
      <c r="C27" s="21" t="s">
        <v>11</v>
      </c>
      <c r="D27" s="65" t="s">
        <v>28</v>
      </c>
      <c r="E27" s="76">
        <v>0.46999838999999993</v>
      </c>
      <c r="F27" s="7">
        <v>0.46999837999999994</v>
      </c>
      <c r="G27" s="77">
        <v>0.46999837999999999</v>
      </c>
      <c r="H27" s="84">
        <v>0.46999838999999993</v>
      </c>
      <c r="I27" s="5">
        <v>0.46999837999999994</v>
      </c>
      <c r="J27" s="85">
        <v>0.46999837999999999</v>
      </c>
      <c r="K27" s="94"/>
      <c r="L27" s="84">
        <v>-0.52956663000000004</v>
      </c>
      <c r="M27" s="614">
        <v>-0.50570287800000002</v>
      </c>
      <c r="N27" s="614">
        <v>-0.52956663000000004</v>
      </c>
      <c r="O27" s="85">
        <v>0</v>
      </c>
    </row>
    <row r="28" spans="1:15" outlineLevel="1">
      <c r="A28" s="237">
        <v>26</v>
      </c>
      <c r="B28" s="236" t="s">
        <v>106</v>
      </c>
      <c r="C28" s="21" t="s">
        <v>11</v>
      </c>
      <c r="D28" s="65" t="s">
        <v>27</v>
      </c>
      <c r="E28" s="76">
        <v>0.34176505000000001</v>
      </c>
      <c r="F28" s="7">
        <v>0.34176504000000002</v>
      </c>
      <c r="G28" s="77">
        <v>0.38436516000000004</v>
      </c>
      <c r="H28" s="84">
        <v>-4.2599949999999998E-2</v>
      </c>
      <c r="I28" s="5">
        <v>-4.2599959999999992E-2</v>
      </c>
      <c r="J28" s="85">
        <v>1.6E-7</v>
      </c>
      <c r="K28" s="94"/>
      <c r="L28" s="84">
        <v>7.3785580000000003E-2</v>
      </c>
      <c r="M28" s="614">
        <v>5.0000000000000004E-8</v>
      </c>
      <c r="N28" s="614">
        <v>7.3785580000000003E-2</v>
      </c>
      <c r="O28" s="85">
        <v>0</v>
      </c>
    </row>
    <row r="29" spans="1:15" outlineLevel="1">
      <c r="A29" s="237">
        <v>26</v>
      </c>
      <c r="B29" s="236" t="s">
        <v>87</v>
      </c>
      <c r="C29" s="21" t="s">
        <v>11</v>
      </c>
      <c r="D29" s="65" t="s">
        <v>30</v>
      </c>
      <c r="E29" s="76">
        <v>0.16948954999999999</v>
      </c>
      <c r="F29" s="7">
        <v>0.16948954999999999</v>
      </c>
      <c r="G29" s="77">
        <v>0</v>
      </c>
      <c r="H29" s="84">
        <v>0.16948954999999999</v>
      </c>
      <c r="I29" s="5">
        <v>0.16948954999999999</v>
      </c>
      <c r="J29" s="85">
        <v>0</v>
      </c>
      <c r="K29" s="94"/>
      <c r="L29" s="84">
        <v>0.82000699999999993</v>
      </c>
      <c r="M29" s="614">
        <v>0.11371624000000001</v>
      </c>
      <c r="N29" s="614">
        <v>0.82000699999999993</v>
      </c>
      <c r="O29" s="85">
        <v>0</v>
      </c>
    </row>
    <row r="30" spans="1:15" outlineLevel="1">
      <c r="A30" s="237">
        <v>26</v>
      </c>
      <c r="B30" s="236" t="s">
        <v>107</v>
      </c>
      <c r="C30" s="21" t="s">
        <v>11</v>
      </c>
      <c r="D30" s="65" t="s">
        <v>29</v>
      </c>
      <c r="E30" s="76">
        <v>0</v>
      </c>
      <c r="F30" s="7">
        <v>0</v>
      </c>
      <c r="G30" s="77">
        <v>0</v>
      </c>
      <c r="H30" s="84">
        <v>0</v>
      </c>
      <c r="I30" s="5">
        <v>0</v>
      </c>
      <c r="J30" s="85">
        <v>0</v>
      </c>
      <c r="K30" s="94"/>
      <c r="L30" s="84">
        <v>0.14024841000000002</v>
      </c>
      <c r="M30" s="614">
        <v>0.14300012000000001</v>
      </c>
      <c r="N30" s="614">
        <v>0.14024841000000002</v>
      </c>
      <c r="O30" s="85">
        <v>0</v>
      </c>
    </row>
    <row r="31" spans="1:15" outlineLevel="1">
      <c r="A31" s="237">
        <v>26</v>
      </c>
      <c r="B31" s="236" t="s">
        <v>236</v>
      </c>
      <c r="C31" s="21" t="s">
        <v>11</v>
      </c>
      <c r="D31" s="65" t="s">
        <v>31</v>
      </c>
      <c r="E31" s="76">
        <v>1.35908311</v>
      </c>
      <c r="F31" s="7">
        <v>1.33743586</v>
      </c>
      <c r="G31" s="77">
        <v>1.3547585100000001</v>
      </c>
      <c r="H31" s="84">
        <v>1.17039111</v>
      </c>
      <c r="I31" s="5">
        <v>1.14874386</v>
      </c>
      <c r="J31" s="85">
        <v>1.1660665100000001</v>
      </c>
      <c r="K31" s="94"/>
      <c r="L31" s="84">
        <v>0.23078111000000001</v>
      </c>
      <c r="M31" s="614">
        <v>4.0517580000000004E-2</v>
      </c>
      <c r="N31" s="614">
        <v>0.23078111000000001</v>
      </c>
      <c r="O31" s="85">
        <v>0</v>
      </c>
    </row>
    <row r="32" spans="1:15" outlineLevel="1">
      <c r="A32" s="237">
        <v>26</v>
      </c>
      <c r="B32" s="236" t="s">
        <v>237</v>
      </c>
      <c r="C32" s="21" t="s">
        <v>11</v>
      </c>
      <c r="D32" s="65" t="s">
        <v>394</v>
      </c>
      <c r="E32" s="76">
        <v>1.1920084499999999</v>
      </c>
      <c r="F32" s="7">
        <v>0.91525532999999992</v>
      </c>
      <c r="G32" s="77">
        <v>0.75530562999999995</v>
      </c>
      <c r="H32" s="84">
        <v>1.1920084499999999</v>
      </c>
      <c r="I32" s="5">
        <v>0.91525532999999992</v>
      </c>
      <c r="J32" s="85">
        <v>0.75530562999999995</v>
      </c>
      <c r="K32" s="94"/>
      <c r="L32" s="84">
        <v>9.0550516999999999</v>
      </c>
      <c r="M32" s="614">
        <v>8.9069258200000014</v>
      </c>
      <c r="N32" s="614">
        <v>9.0550516999999999</v>
      </c>
      <c r="O32" s="85">
        <v>0</v>
      </c>
    </row>
    <row r="33" spans="1:15" outlineLevel="1">
      <c r="A33" s="237">
        <v>26</v>
      </c>
      <c r="B33" s="236" t="s">
        <v>163</v>
      </c>
      <c r="C33" s="19" t="s">
        <v>11</v>
      </c>
      <c r="D33" s="65" t="s">
        <v>403</v>
      </c>
      <c r="E33" s="76">
        <v>1.16815179</v>
      </c>
      <c r="F33" s="7">
        <v>1.16815179</v>
      </c>
      <c r="G33" s="77">
        <v>0.32162739999999995</v>
      </c>
      <c r="H33" s="84">
        <v>1.16815179</v>
      </c>
      <c r="I33" s="5">
        <v>1.16815179</v>
      </c>
      <c r="J33" s="85">
        <v>0.32162739999999995</v>
      </c>
      <c r="K33" s="94"/>
      <c r="L33" s="84">
        <v>1.8704759730000002</v>
      </c>
      <c r="M33" s="614">
        <v>1.5955891800000004</v>
      </c>
      <c r="N33" s="614">
        <v>1.8704759730000002</v>
      </c>
      <c r="O33" s="85">
        <v>0</v>
      </c>
    </row>
    <row r="34" spans="1:15" outlineLevel="1">
      <c r="A34" s="237">
        <v>26</v>
      </c>
      <c r="B34" s="236" t="s">
        <v>404</v>
      </c>
      <c r="C34" s="19" t="s">
        <v>11</v>
      </c>
      <c r="D34" s="65" t="s">
        <v>395</v>
      </c>
      <c r="E34" s="76">
        <v>0</v>
      </c>
      <c r="F34" s="7">
        <v>0</v>
      </c>
      <c r="G34" s="77">
        <v>0</v>
      </c>
      <c r="H34" s="84">
        <v>0</v>
      </c>
      <c r="I34" s="5">
        <v>0</v>
      </c>
      <c r="J34" s="85">
        <v>0</v>
      </c>
      <c r="K34" s="94"/>
      <c r="L34" s="84">
        <v>0</v>
      </c>
      <c r="M34" s="614">
        <v>0</v>
      </c>
      <c r="N34" s="614">
        <v>0</v>
      </c>
      <c r="O34" s="85">
        <v>0</v>
      </c>
    </row>
    <row r="35" spans="1:15" s="4" customFormat="1">
      <c r="A35" s="237">
        <v>26</v>
      </c>
      <c r="B35" s="236" t="s">
        <v>59</v>
      </c>
      <c r="C35" s="19" t="s">
        <v>11</v>
      </c>
      <c r="D35" s="61" t="s">
        <v>33</v>
      </c>
      <c r="E35" s="73">
        <v>6.4719127599999995</v>
      </c>
      <c r="F35" s="74">
        <v>6.4719127599999995</v>
      </c>
      <c r="G35" s="75">
        <v>0.30803257000000001</v>
      </c>
      <c r="H35" s="82">
        <v>6.4719127599999995</v>
      </c>
      <c r="I35" s="18">
        <v>6.4719127599999995</v>
      </c>
      <c r="J35" s="83">
        <v>0.30803257000000001</v>
      </c>
      <c r="K35" s="93"/>
      <c r="L35" s="82">
        <v>18.75703515</v>
      </c>
      <c r="M35" s="612">
        <v>15.259547940000001</v>
      </c>
      <c r="N35" s="612">
        <v>18.75703515</v>
      </c>
      <c r="O35" s="83">
        <v>0</v>
      </c>
    </row>
    <row r="36" spans="1:15" s="4" customFormat="1">
      <c r="A36" s="237">
        <v>26</v>
      </c>
      <c r="B36" s="236" t="s">
        <v>34</v>
      </c>
      <c r="C36" s="19" t="s">
        <v>11</v>
      </c>
      <c r="D36" s="61" t="s">
        <v>34</v>
      </c>
      <c r="E36" s="73">
        <v>3.1295535600000002</v>
      </c>
      <c r="F36" s="74">
        <v>3.1295535600000002</v>
      </c>
      <c r="G36" s="75">
        <v>3.8256887800000001</v>
      </c>
      <c r="H36" s="82">
        <v>3.1295535600000002</v>
      </c>
      <c r="I36" s="18">
        <v>3.1295535600000002</v>
      </c>
      <c r="J36" s="83">
        <v>3.8256887800000001</v>
      </c>
      <c r="K36" s="93"/>
      <c r="L36" s="82">
        <v>4.6310079900000005</v>
      </c>
      <c r="M36" s="612">
        <v>4.0374855399999996</v>
      </c>
      <c r="N36" s="612">
        <v>4.6310079900000005</v>
      </c>
      <c r="O36" s="83">
        <v>0</v>
      </c>
    </row>
    <row r="37" spans="1:15" outlineLevel="1">
      <c r="A37" s="237">
        <v>26</v>
      </c>
      <c r="B37" s="236" t="s">
        <v>399</v>
      </c>
      <c r="C37" s="21" t="s">
        <v>11</v>
      </c>
      <c r="D37" s="65" t="s">
        <v>296</v>
      </c>
      <c r="E37" s="76">
        <v>1.517575E-2</v>
      </c>
      <c r="F37" s="7">
        <v>1.517575E-2</v>
      </c>
      <c r="G37" s="77">
        <v>6.0000000000000008E-8</v>
      </c>
      <c r="H37" s="84">
        <v>1.517575E-2</v>
      </c>
      <c r="I37" s="5">
        <v>1.517575E-2</v>
      </c>
      <c r="J37" s="85">
        <v>6.0000000000000008E-8</v>
      </c>
      <c r="K37" s="94"/>
      <c r="L37" s="84">
        <v>3.0405284500000005</v>
      </c>
      <c r="M37" s="614">
        <v>3.4229370100000005</v>
      </c>
      <c r="N37" s="614">
        <v>3.0405284500000005</v>
      </c>
      <c r="O37" s="85">
        <v>0</v>
      </c>
    </row>
    <row r="38" spans="1:15" outlineLevel="1">
      <c r="A38" s="237">
        <v>26</v>
      </c>
      <c r="B38" s="236" t="s">
        <v>400</v>
      </c>
      <c r="C38" s="21" t="s">
        <v>11</v>
      </c>
      <c r="D38" s="65" t="s">
        <v>396</v>
      </c>
      <c r="E38" s="76">
        <v>9.062329999999999E-2</v>
      </c>
      <c r="F38" s="7">
        <v>9.062329999999999E-2</v>
      </c>
      <c r="G38" s="77">
        <v>9.0674099999999994E-2</v>
      </c>
      <c r="H38" s="84">
        <v>9.062329999999999E-2</v>
      </c>
      <c r="I38" s="5">
        <v>9.062329999999999E-2</v>
      </c>
      <c r="J38" s="85">
        <v>9.0674099999999994E-2</v>
      </c>
      <c r="K38" s="94"/>
      <c r="L38" s="84">
        <v>1.01115635</v>
      </c>
      <c r="M38" s="614">
        <v>-2.4686130000000001E-2</v>
      </c>
      <c r="N38" s="614">
        <v>1.01115635</v>
      </c>
      <c r="O38" s="85">
        <v>0</v>
      </c>
    </row>
    <row r="39" spans="1:15" outlineLevel="1">
      <c r="A39" s="237">
        <v>26</v>
      </c>
      <c r="B39" s="236" t="s">
        <v>401</v>
      </c>
      <c r="C39" s="21" t="s">
        <v>11</v>
      </c>
      <c r="D39" s="65" t="s">
        <v>397</v>
      </c>
      <c r="E39" s="76">
        <v>0</v>
      </c>
      <c r="F39" s="7">
        <v>0</v>
      </c>
      <c r="G39" s="77">
        <v>0</v>
      </c>
      <c r="H39" s="84">
        <v>0</v>
      </c>
      <c r="I39" s="5">
        <v>0</v>
      </c>
      <c r="J39" s="85">
        <v>0</v>
      </c>
      <c r="K39" s="94"/>
      <c r="L39" s="84">
        <v>0</v>
      </c>
      <c r="M39" s="614">
        <v>0</v>
      </c>
      <c r="N39" s="614">
        <v>0</v>
      </c>
      <c r="O39" s="85">
        <v>0</v>
      </c>
    </row>
    <row r="40" spans="1:15" outlineLevel="1">
      <c r="A40" s="237">
        <v>26</v>
      </c>
      <c r="B40" s="236" t="s">
        <v>93</v>
      </c>
      <c r="C40" s="21" t="s">
        <v>11</v>
      </c>
      <c r="D40" s="65" t="s">
        <v>35</v>
      </c>
      <c r="E40" s="76">
        <v>0.85440589999999994</v>
      </c>
      <c r="F40" s="7">
        <v>0.85440589999999994</v>
      </c>
      <c r="G40" s="77">
        <v>0.86466270999999995</v>
      </c>
      <c r="H40" s="84">
        <v>0.85440589999999994</v>
      </c>
      <c r="I40" s="5">
        <v>0.85440589999999994</v>
      </c>
      <c r="J40" s="85">
        <v>0.86466270999999995</v>
      </c>
      <c r="K40" s="94"/>
      <c r="L40" s="84">
        <v>0</v>
      </c>
      <c r="M40" s="614">
        <v>0</v>
      </c>
      <c r="N40" s="614">
        <v>0</v>
      </c>
      <c r="O40" s="85">
        <v>0</v>
      </c>
    </row>
    <row r="41" spans="1:15" outlineLevel="1">
      <c r="A41" s="237">
        <v>26</v>
      </c>
      <c r="B41" s="236" t="s">
        <v>238</v>
      </c>
      <c r="C41" s="21" t="s">
        <v>11</v>
      </c>
      <c r="D41" s="65" t="s">
        <v>36</v>
      </c>
      <c r="E41" s="76">
        <v>2.1693486099999997</v>
      </c>
      <c r="F41" s="7">
        <v>2.1693486099999997</v>
      </c>
      <c r="G41" s="77">
        <v>2.8703519099999997</v>
      </c>
      <c r="H41" s="84">
        <v>2.1693486099999997</v>
      </c>
      <c r="I41" s="5">
        <v>2.1693486099999997</v>
      </c>
      <c r="J41" s="85">
        <v>2.8703519099999997</v>
      </c>
      <c r="K41" s="94"/>
      <c r="L41" s="84">
        <v>0.57932318999999999</v>
      </c>
      <c r="M41" s="614">
        <v>0.63923465999999984</v>
      </c>
      <c r="N41" s="614">
        <v>0.57932318999999999</v>
      </c>
      <c r="O41" s="85">
        <v>0</v>
      </c>
    </row>
    <row r="42" spans="1:15" outlineLevel="1">
      <c r="A42" s="237">
        <v>26</v>
      </c>
      <c r="B42" s="236" t="s">
        <v>402</v>
      </c>
      <c r="C42" s="21" t="s">
        <v>11</v>
      </c>
      <c r="D42" s="65" t="s">
        <v>398</v>
      </c>
      <c r="E42" s="76">
        <v>0</v>
      </c>
      <c r="F42" s="7">
        <v>0</v>
      </c>
      <c r="G42" s="77">
        <v>0</v>
      </c>
      <c r="H42" s="84">
        <v>0</v>
      </c>
      <c r="I42" s="5">
        <v>0</v>
      </c>
      <c r="J42" s="85">
        <v>0</v>
      </c>
      <c r="K42" s="94"/>
      <c r="L42" s="84">
        <v>0</v>
      </c>
      <c r="M42" s="614">
        <v>0</v>
      </c>
      <c r="N42" s="614">
        <v>0</v>
      </c>
      <c r="O42" s="85">
        <v>0</v>
      </c>
    </row>
    <row r="43" spans="1:15">
      <c r="B43" s="236"/>
      <c r="C43" s="580"/>
      <c r="D43" s="581"/>
      <c r="E43" s="76"/>
      <c r="F43" s="7"/>
      <c r="G43" s="77"/>
      <c r="H43" s="84"/>
      <c r="I43" s="5"/>
      <c r="J43" s="85"/>
      <c r="K43" s="94"/>
      <c r="L43" s="84"/>
      <c r="M43" s="614"/>
      <c r="N43" s="614"/>
      <c r="O43" s="85"/>
    </row>
    <row r="44" spans="1:15" s="4" customFormat="1" ht="18">
      <c r="A44" s="237" t="s">
        <v>191</v>
      </c>
      <c r="B44" s="236" t="s">
        <v>13</v>
      </c>
      <c r="C44" s="15" t="s">
        <v>37</v>
      </c>
      <c r="D44" s="60" t="s">
        <v>12</v>
      </c>
      <c r="E44" s="78">
        <v>62.466534951</v>
      </c>
      <c r="F44" s="74">
        <v>59.069081440699989</v>
      </c>
      <c r="G44" s="75">
        <v>46.524026655499995</v>
      </c>
      <c r="H44" s="82">
        <v>62.466534951</v>
      </c>
      <c r="I44" s="18">
        <v>59.069081440699989</v>
      </c>
      <c r="J44" s="83">
        <v>46.524026655499995</v>
      </c>
      <c r="K44" s="93"/>
      <c r="L44" s="82">
        <v>68.343731858000012</v>
      </c>
      <c r="M44" s="612">
        <v>55.294250619599978</v>
      </c>
      <c r="N44" s="612">
        <v>68.343731858000012</v>
      </c>
      <c r="O44" s="613">
        <v>0</v>
      </c>
    </row>
    <row r="45" spans="1:15" s="4" customFormat="1" ht="18">
      <c r="A45" s="237" t="s">
        <v>191</v>
      </c>
      <c r="B45" s="236" t="s">
        <v>243</v>
      </c>
      <c r="C45" s="578"/>
      <c r="D45" s="579"/>
      <c r="E45" s="73"/>
      <c r="F45" s="74"/>
      <c r="G45" s="75"/>
      <c r="H45" s="82"/>
      <c r="I45" s="18"/>
      <c r="J45" s="83"/>
      <c r="K45" s="93"/>
      <c r="L45" s="82"/>
      <c r="M45" s="612"/>
      <c r="N45" s="612"/>
      <c r="O45" s="613"/>
    </row>
    <row r="46" spans="1:15" s="4" customFormat="1">
      <c r="A46" s="237" t="s">
        <v>191</v>
      </c>
      <c r="B46" s="236" t="s">
        <v>234</v>
      </c>
      <c r="C46" s="19" t="s">
        <v>37</v>
      </c>
      <c r="D46" s="61" t="s">
        <v>14</v>
      </c>
      <c r="E46" s="73">
        <v>0</v>
      </c>
      <c r="F46" s="74">
        <v>0</v>
      </c>
      <c r="G46" s="75">
        <v>0</v>
      </c>
      <c r="H46" s="82">
        <v>0</v>
      </c>
      <c r="I46" s="18">
        <v>0</v>
      </c>
      <c r="J46" s="83">
        <v>0</v>
      </c>
      <c r="K46" s="93"/>
      <c r="L46" s="82">
        <v>0</v>
      </c>
      <c r="M46" s="612">
        <v>0</v>
      </c>
      <c r="N46" s="612">
        <v>0</v>
      </c>
      <c r="O46" s="83">
        <v>0</v>
      </c>
    </row>
    <row r="47" spans="1:15" s="4" customFormat="1">
      <c r="A47" s="237" t="s">
        <v>191</v>
      </c>
      <c r="B47" s="236" t="s">
        <v>58</v>
      </c>
      <c r="C47" s="19" t="s">
        <v>37</v>
      </c>
      <c r="D47" s="20" t="s">
        <v>15</v>
      </c>
      <c r="E47" s="73">
        <v>19.769533190699988</v>
      </c>
      <c r="F47" s="74">
        <v>19.558101792999992</v>
      </c>
      <c r="G47" s="75">
        <v>9.9852144863000003</v>
      </c>
      <c r="H47" s="82">
        <v>19.769533190699988</v>
      </c>
      <c r="I47" s="18">
        <v>19.558101792999992</v>
      </c>
      <c r="J47" s="83">
        <v>9.9852144863000003</v>
      </c>
      <c r="K47" s="93"/>
      <c r="L47" s="82">
        <v>18.130208295600006</v>
      </c>
      <c r="M47" s="612">
        <v>15.5655735283</v>
      </c>
      <c r="N47" s="612">
        <v>18.130208295600006</v>
      </c>
      <c r="O47" s="83">
        <v>0</v>
      </c>
    </row>
    <row r="48" spans="1:15" outlineLevel="1">
      <c r="A48" s="237" t="s">
        <v>191</v>
      </c>
      <c r="B48" s="236" t="s">
        <v>17</v>
      </c>
      <c r="C48" s="21" t="s">
        <v>37</v>
      </c>
      <c r="D48" s="426" t="s">
        <v>17</v>
      </c>
      <c r="E48" s="76">
        <v>1.6130656051000001</v>
      </c>
      <c r="F48" s="7">
        <v>1.6130656051000001</v>
      </c>
      <c r="G48" s="77">
        <v>1.2493102499999999E-2</v>
      </c>
      <c r="H48" s="84">
        <v>1.6130656051000001</v>
      </c>
      <c r="I48" s="5">
        <v>1.6130656051000001</v>
      </c>
      <c r="J48" s="85">
        <v>1.2493102499999999E-2</v>
      </c>
      <c r="K48" s="94"/>
      <c r="L48" s="84">
        <v>3.2393857679999996</v>
      </c>
      <c r="M48" s="614">
        <v>2.4906042436</v>
      </c>
      <c r="N48" s="614">
        <v>3.2393857679999996</v>
      </c>
      <c r="O48" s="85">
        <v>0</v>
      </c>
    </row>
    <row r="49" spans="1:15" outlineLevel="1">
      <c r="A49" s="237" t="s">
        <v>191</v>
      </c>
      <c r="B49" s="236" t="s">
        <v>18</v>
      </c>
      <c r="C49" s="21" t="s">
        <v>37</v>
      </c>
      <c r="D49" s="426" t="s">
        <v>18</v>
      </c>
      <c r="E49" s="76">
        <v>8.0696495300000004E-2</v>
      </c>
      <c r="F49" s="7">
        <v>8.0696495300000004E-2</v>
      </c>
      <c r="G49" s="77">
        <v>8.3010465300000003E-2</v>
      </c>
      <c r="H49" s="84">
        <v>8.0696495300000004E-2</v>
      </c>
      <c r="I49" s="5">
        <v>8.0696495300000004E-2</v>
      </c>
      <c r="J49" s="85">
        <v>8.3010465300000003E-2</v>
      </c>
      <c r="K49" s="94"/>
      <c r="L49" s="84">
        <v>1.3566900013999998</v>
      </c>
      <c r="M49" s="614">
        <v>0.65279126530000009</v>
      </c>
      <c r="N49" s="614">
        <v>1.3566900013999998</v>
      </c>
      <c r="O49" s="85">
        <v>0</v>
      </c>
    </row>
    <row r="50" spans="1:15" outlineLevel="1">
      <c r="A50" s="237" t="s">
        <v>191</v>
      </c>
      <c r="B50" s="236" t="s">
        <v>19</v>
      </c>
      <c r="C50" s="21" t="s">
        <v>37</v>
      </c>
      <c r="D50" s="426" t="s">
        <v>19</v>
      </c>
      <c r="E50" s="76">
        <v>6.3326558249000025</v>
      </c>
      <c r="F50" s="7">
        <v>6.3069570760000024</v>
      </c>
      <c r="G50" s="77">
        <v>4.0033022475999998</v>
      </c>
      <c r="H50" s="84">
        <v>6.3326558249000025</v>
      </c>
      <c r="I50" s="5">
        <v>6.3069570760000024</v>
      </c>
      <c r="J50" s="85">
        <v>4.0033022475999998</v>
      </c>
      <c r="K50" s="94"/>
      <c r="L50" s="84">
        <v>5.8478391900999993</v>
      </c>
      <c r="M50" s="614">
        <v>3.7576393055000006</v>
      </c>
      <c r="N50" s="614">
        <v>5.8478391900999993</v>
      </c>
      <c r="O50" s="85">
        <v>0</v>
      </c>
    </row>
    <row r="51" spans="1:15" outlineLevel="1">
      <c r="A51" s="237" t="s">
        <v>191</v>
      </c>
      <c r="B51" s="236" t="s">
        <v>77</v>
      </c>
      <c r="C51" s="21" t="s">
        <v>37</v>
      </c>
      <c r="D51" s="426" t="s">
        <v>77</v>
      </c>
      <c r="E51" s="76">
        <v>1.3538473010000001</v>
      </c>
      <c r="F51" s="7">
        <v>1.3538473010000001</v>
      </c>
      <c r="G51" s="77">
        <v>1.1610024810000001</v>
      </c>
      <c r="H51" s="84">
        <v>1.3538473010000001</v>
      </c>
      <c r="I51" s="5">
        <v>1.3538473010000001</v>
      </c>
      <c r="J51" s="85">
        <v>1.1610024810000001</v>
      </c>
      <c r="K51" s="94"/>
      <c r="L51" s="84">
        <v>-0.43041899949999995</v>
      </c>
      <c r="M51" s="614">
        <v>-0.73035259949999998</v>
      </c>
      <c r="N51" s="614">
        <v>-0.43041899949999995</v>
      </c>
      <c r="O51" s="85">
        <v>0</v>
      </c>
    </row>
    <row r="52" spans="1:15" outlineLevel="1">
      <c r="A52" s="237" t="s">
        <v>191</v>
      </c>
      <c r="B52" s="236" t="s">
        <v>78</v>
      </c>
      <c r="C52" s="21" t="s">
        <v>37</v>
      </c>
      <c r="D52" s="426" t="s">
        <v>78</v>
      </c>
      <c r="E52" s="76">
        <v>1.6845421899000002</v>
      </c>
      <c r="F52" s="7">
        <v>1.6845421899000002</v>
      </c>
      <c r="G52" s="77">
        <v>1.0565239381000002</v>
      </c>
      <c r="H52" s="84">
        <v>1.6845421899000002</v>
      </c>
      <c r="I52" s="5">
        <v>1.6845421899000002</v>
      </c>
      <c r="J52" s="85">
        <v>1.0565239381000002</v>
      </c>
      <c r="K52" s="94"/>
      <c r="L52" s="84">
        <v>1.4896584264000001</v>
      </c>
      <c r="M52" s="614">
        <v>0.9009470516000001</v>
      </c>
      <c r="N52" s="614">
        <v>1.4896584264000001</v>
      </c>
      <c r="O52" s="85">
        <v>0</v>
      </c>
    </row>
    <row r="53" spans="1:15" outlineLevel="1">
      <c r="A53" s="237" t="s">
        <v>191</v>
      </c>
      <c r="B53" s="236" t="s">
        <v>393</v>
      </c>
      <c r="C53" s="21" t="s">
        <v>37</v>
      </c>
      <c r="D53" s="426" t="s">
        <v>393</v>
      </c>
      <c r="E53" s="76">
        <v>0.87073002719999992</v>
      </c>
      <c r="F53" s="7">
        <v>0.87073002719999992</v>
      </c>
      <c r="G53" s="77">
        <v>0.89043044719999997</v>
      </c>
      <c r="H53" s="84">
        <v>0.87073002719999992</v>
      </c>
      <c r="I53" s="5">
        <v>0.87073002719999992</v>
      </c>
      <c r="J53" s="85">
        <v>0.89043044719999997</v>
      </c>
      <c r="K53" s="94"/>
      <c r="L53" s="84">
        <v>9.499324739999998E-2</v>
      </c>
      <c r="M53" s="614">
        <v>-3.0011825400000008E-2</v>
      </c>
      <c r="N53" s="614">
        <v>9.499324739999998E-2</v>
      </c>
      <c r="O53" s="85">
        <v>0</v>
      </c>
    </row>
    <row r="54" spans="1:15" outlineLevel="1">
      <c r="A54" s="237" t="s">
        <v>191</v>
      </c>
      <c r="B54" s="236" t="s">
        <v>80</v>
      </c>
      <c r="C54" s="21" t="s">
        <v>37</v>
      </c>
      <c r="D54" s="426" t="s">
        <v>80</v>
      </c>
      <c r="E54" s="76">
        <v>3.0708591700000003</v>
      </c>
      <c r="F54" s="7">
        <v>3.0708591700000003</v>
      </c>
      <c r="G54" s="77">
        <v>6.2966200000000002E-3</v>
      </c>
      <c r="H54" s="84">
        <v>3.0708591700000003</v>
      </c>
      <c r="I54" s="5">
        <v>3.0708591700000003</v>
      </c>
      <c r="J54" s="85">
        <v>6.2966200000000002E-3</v>
      </c>
      <c r="K54" s="94"/>
      <c r="L54" s="84">
        <v>-3.12305411</v>
      </c>
      <c r="M54" s="614">
        <v>-1.4112688600000001</v>
      </c>
      <c r="N54" s="614">
        <v>-3.12305411</v>
      </c>
      <c r="O54" s="85">
        <v>0</v>
      </c>
    </row>
    <row r="55" spans="1:15" outlineLevel="1">
      <c r="A55" s="237" t="s">
        <v>191</v>
      </c>
      <c r="B55" s="236" t="s">
        <v>104</v>
      </c>
      <c r="C55" s="21" t="s">
        <v>37</v>
      </c>
      <c r="D55" s="64" t="s">
        <v>405</v>
      </c>
      <c r="E55" s="76">
        <v>1.2146276688000002</v>
      </c>
      <c r="F55" s="7">
        <v>1.1609949719000001</v>
      </c>
      <c r="G55" s="77">
        <v>0.20898295189999996</v>
      </c>
      <c r="H55" s="84">
        <v>1.2146276688000002</v>
      </c>
      <c r="I55" s="5">
        <v>1.1609949719000001</v>
      </c>
      <c r="J55" s="85">
        <v>0.20898295189999996</v>
      </c>
      <c r="K55" s="94"/>
      <c r="L55" s="84">
        <v>2.4913347083999997</v>
      </c>
      <c r="M55" s="614">
        <v>3.0609287768</v>
      </c>
      <c r="N55" s="614">
        <v>2.4913347083999997</v>
      </c>
      <c r="O55" s="85">
        <v>0</v>
      </c>
    </row>
    <row r="56" spans="1:15" outlineLevel="1">
      <c r="A56" s="237" t="s">
        <v>191</v>
      </c>
      <c r="B56" s="236" t="s">
        <v>105</v>
      </c>
      <c r="C56" s="21" t="s">
        <v>37</v>
      </c>
      <c r="D56" s="65" t="s">
        <v>25</v>
      </c>
      <c r="E56" s="417">
        <v>3.5485089085000006</v>
      </c>
      <c r="F56" s="7">
        <v>3.4164089566000002</v>
      </c>
      <c r="G56" s="77">
        <v>2.5631722327000004</v>
      </c>
      <c r="H56" s="84">
        <v>3.5485089085000006</v>
      </c>
      <c r="I56" s="5">
        <v>3.4164089566000002</v>
      </c>
      <c r="J56" s="85">
        <v>2.5631722327000004</v>
      </c>
      <c r="K56" s="94"/>
      <c r="L56" s="84">
        <v>7.1637800633999973</v>
      </c>
      <c r="M56" s="614">
        <v>6.8742961703999983</v>
      </c>
      <c r="N56" s="614">
        <v>7.1637800633999973</v>
      </c>
      <c r="O56" s="85">
        <v>0</v>
      </c>
    </row>
    <row r="57" spans="1:15" s="4" customFormat="1">
      <c r="A57" s="237" t="s">
        <v>191</v>
      </c>
      <c r="B57" s="236" t="s">
        <v>26</v>
      </c>
      <c r="C57" s="19" t="s">
        <v>37</v>
      </c>
      <c r="D57" s="61" t="s">
        <v>26</v>
      </c>
      <c r="E57" s="73">
        <v>23.896060005500008</v>
      </c>
      <c r="F57" s="74">
        <v>23.80800529930001</v>
      </c>
      <c r="G57" s="75">
        <v>22.023489407900023</v>
      </c>
      <c r="H57" s="82">
        <v>23.896060005500008</v>
      </c>
      <c r="I57" s="18">
        <v>23.80800529930001</v>
      </c>
      <c r="J57" s="83">
        <v>22.023489407900023</v>
      </c>
      <c r="K57" s="93"/>
      <c r="L57" s="82">
        <v>24.822209688699996</v>
      </c>
      <c r="M57" s="612">
        <v>21.829937185099997</v>
      </c>
      <c r="N57" s="612">
        <v>24.822209688699996</v>
      </c>
      <c r="O57" s="83">
        <v>0</v>
      </c>
    </row>
    <row r="58" spans="1:15" outlineLevel="1">
      <c r="A58" s="237" t="s">
        <v>191</v>
      </c>
      <c r="B58" s="236" t="s">
        <v>235</v>
      </c>
      <c r="C58" s="21" t="s">
        <v>37</v>
      </c>
      <c r="D58" s="65" t="s">
        <v>28</v>
      </c>
      <c r="E58" s="76">
        <v>4.4614372942999987</v>
      </c>
      <c r="F58" s="7">
        <v>4.4614372942999987</v>
      </c>
      <c r="G58" s="77">
        <v>4.1554777968999987</v>
      </c>
      <c r="H58" s="84">
        <v>4.4614372942999987</v>
      </c>
      <c r="I58" s="5">
        <v>4.4614372942999987</v>
      </c>
      <c r="J58" s="85">
        <v>4.1554777968999987</v>
      </c>
      <c r="K58" s="94"/>
      <c r="L58" s="84">
        <v>3.1122860202000009</v>
      </c>
      <c r="M58" s="614">
        <v>3.0610372876000005</v>
      </c>
      <c r="N58" s="614">
        <v>3.1122860202000009</v>
      </c>
      <c r="O58" s="85">
        <v>0</v>
      </c>
    </row>
    <row r="59" spans="1:15" outlineLevel="1">
      <c r="A59" s="237" t="s">
        <v>191</v>
      </c>
      <c r="B59" s="236" t="s">
        <v>106</v>
      </c>
      <c r="C59" s="21" t="s">
        <v>37</v>
      </c>
      <c r="D59" s="65" t="s">
        <v>27</v>
      </c>
      <c r="E59" s="76">
        <v>1.6171942819000003</v>
      </c>
      <c r="F59" s="7">
        <v>1.5658089138000002</v>
      </c>
      <c r="G59" s="77">
        <v>1.1486608485000003</v>
      </c>
      <c r="H59" s="84">
        <v>1.6171942819000003</v>
      </c>
      <c r="I59" s="5">
        <v>1.5658089138000002</v>
      </c>
      <c r="J59" s="85">
        <v>1.1486608485000003</v>
      </c>
      <c r="K59" s="94"/>
      <c r="L59" s="84">
        <v>1.4254501704</v>
      </c>
      <c r="M59" s="614">
        <v>1.1755631353</v>
      </c>
      <c r="N59" s="614">
        <v>1.4254501704</v>
      </c>
      <c r="O59" s="85">
        <v>0</v>
      </c>
    </row>
    <row r="60" spans="1:15" outlineLevel="1">
      <c r="A60" s="237" t="s">
        <v>191</v>
      </c>
      <c r="B60" s="236" t="s">
        <v>87</v>
      </c>
      <c r="C60" s="21" t="s">
        <v>37</v>
      </c>
      <c r="D60" s="65" t="s">
        <v>30</v>
      </c>
      <c r="E60" s="76">
        <v>1.0911333461999999</v>
      </c>
      <c r="F60" s="7">
        <v>1.0911333461999999</v>
      </c>
      <c r="G60" s="77">
        <v>1.0053279461999998</v>
      </c>
      <c r="H60" s="84">
        <v>1.0911333461999999</v>
      </c>
      <c r="I60" s="5">
        <v>1.0911333461999999</v>
      </c>
      <c r="J60" s="85">
        <v>1.0053279461999998</v>
      </c>
      <c r="K60" s="94"/>
      <c r="L60" s="84">
        <v>4.9745029668000003</v>
      </c>
      <c r="M60" s="614">
        <v>4.9235812820999998</v>
      </c>
      <c r="N60" s="614">
        <v>4.9745029668000003</v>
      </c>
      <c r="O60" s="85">
        <v>0</v>
      </c>
    </row>
    <row r="61" spans="1:15" outlineLevel="1">
      <c r="A61" s="237" t="s">
        <v>191</v>
      </c>
      <c r="B61" s="236" t="s">
        <v>107</v>
      </c>
      <c r="C61" s="21" t="s">
        <v>37</v>
      </c>
      <c r="D61" s="65" t="s">
        <v>29</v>
      </c>
      <c r="E61" s="76">
        <v>1.8638561878</v>
      </c>
      <c r="F61" s="7">
        <v>1.8482269773</v>
      </c>
      <c r="G61" s="77">
        <v>1.7208525225999998</v>
      </c>
      <c r="H61" s="84">
        <v>1.8638561878</v>
      </c>
      <c r="I61" s="5">
        <v>1.8482269773</v>
      </c>
      <c r="J61" s="85">
        <v>1.7208525225999998</v>
      </c>
      <c r="K61" s="94"/>
      <c r="L61" s="84">
        <v>1.4676334653000001</v>
      </c>
      <c r="M61" s="614">
        <v>1.5887891220000001</v>
      </c>
      <c r="N61" s="614">
        <v>1.4676334653000001</v>
      </c>
      <c r="O61" s="85">
        <v>0</v>
      </c>
    </row>
    <row r="62" spans="1:15" outlineLevel="1">
      <c r="A62" s="237" t="s">
        <v>191</v>
      </c>
      <c r="B62" s="236" t="s">
        <v>236</v>
      </c>
      <c r="C62" s="21" t="s">
        <v>37</v>
      </c>
      <c r="D62" s="65" t="s">
        <v>31</v>
      </c>
      <c r="E62" s="76">
        <v>3.2745553985999996</v>
      </c>
      <c r="F62" s="7">
        <v>3.2535152709999999</v>
      </c>
      <c r="G62" s="77">
        <v>3.2340416910000003</v>
      </c>
      <c r="H62" s="84">
        <v>3.2745553985999996</v>
      </c>
      <c r="I62" s="5">
        <v>3.2535152709999999</v>
      </c>
      <c r="J62" s="85">
        <v>3.2340416910000003</v>
      </c>
      <c r="K62" s="94"/>
      <c r="L62" s="84">
        <v>2.6582866267000012</v>
      </c>
      <c r="M62" s="614">
        <v>2.8917907088000003</v>
      </c>
      <c r="N62" s="614">
        <v>2.6582866267000012</v>
      </c>
      <c r="O62" s="85">
        <v>0</v>
      </c>
    </row>
    <row r="63" spans="1:15" outlineLevel="1">
      <c r="A63" s="237" t="s">
        <v>191</v>
      </c>
      <c r="B63" s="236" t="s">
        <v>237</v>
      </c>
      <c r="C63" s="21" t="s">
        <v>37</v>
      </c>
      <c r="D63" s="65" t="s">
        <v>394</v>
      </c>
      <c r="E63" s="76">
        <v>5.6941118682999994</v>
      </c>
      <c r="F63" s="7">
        <v>5.6941118682999994</v>
      </c>
      <c r="G63" s="77">
        <v>4.8551265099999998</v>
      </c>
      <c r="H63" s="84">
        <v>5.6941118682999994</v>
      </c>
      <c r="I63" s="5">
        <v>5.6941118682999994</v>
      </c>
      <c r="J63" s="85">
        <v>4.8551265099999998</v>
      </c>
      <c r="K63" s="94"/>
      <c r="L63" s="84">
        <v>4.5171780803999999</v>
      </c>
      <c r="M63" s="614">
        <v>2.8837893165999997</v>
      </c>
      <c r="N63" s="614">
        <v>4.5171780803999999</v>
      </c>
      <c r="O63" s="85">
        <v>0</v>
      </c>
    </row>
    <row r="64" spans="1:15" outlineLevel="1">
      <c r="A64" s="237" t="s">
        <v>191</v>
      </c>
      <c r="B64" s="236" t="s">
        <v>163</v>
      </c>
      <c r="C64" s="21" t="s">
        <v>37</v>
      </c>
      <c r="D64" s="65" t="s">
        <v>403</v>
      </c>
      <c r="E64" s="76">
        <v>5.8937716283999988</v>
      </c>
      <c r="F64" s="7">
        <v>5.8937716283999988</v>
      </c>
      <c r="G64" s="77">
        <v>5.904002092699999</v>
      </c>
      <c r="H64" s="84">
        <v>5.8937716283999988</v>
      </c>
      <c r="I64" s="5">
        <v>5.8937716283999988</v>
      </c>
      <c r="J64" s="85">
        <v>5.904002092699999</v>
      </c>
      <c r="K64" s="94"/>
      <c r="L64" s="84">
        <v>6.6668723588999992</v>
      </c>
      <c r="M64" s="614">
        <v>5.3053863326999995</v>
      </c>
      <c r="N64" s="614">
        <v>6.6668723588999992</v>
      </c>
      <c r="O64" s="85">
        <v>0</v>
      </c>
    </row>
    <row r="65" spans="1:17" outlineLevel="1">
      <c r="A65" s="237" t="s">
        <v>191</v>
      </c>
      <c r="B65" s="236" t="s">
        <v>404</v>
      </c>
      <c r="C65" s="21" t="s">
        <v>37</v>
      </c>
      <c r="D65" s="65" t="s">
        <v>395</v>
      </c>
      <c r="E65" s="76">
        <v>0</v>
      </c>
      <c r="F65" s="7">
        <v>0</v>
      </c>
      <c r="G65" s="77">
        <v>0</v>
      </c>
      <c r="H65" s="84">
        <v>0</v>
      </c>
      <c r="I65" s="5">
        <v>0</v>
      </c>
      <c r="J65" s="85">
        <v>0</v>
      </c>
      <c r="K65" s="94"/>
      <c r="L65" s="84">
        <v>0</v>
      </c>
      <c r="M65" s="614">
        <v>0</v>
      </c>
      <c r="N65" s="614">
        <v>0</v>
      </c>
      <c r="O65" s="85">
        <v>0</v>
      </c>
    </row>
    <row r="66" spans="1:17" s="4" customFormat="1">
      <c r="A66" s="237" t="s">
        <v>191</v>
      </c>
      <c r="B66" s="236" t="s">
        <v>59</v>
      </c>
      <c r="C66" s="19" t="s">
        <v>37</v>
      </c>
      <c r="D66" s="61" t="s">
        <v>33</v>
      </c>
      <c r="E66" s="73">
        <v>9.3355670474000014</v>
      </c>
      <c r="F66" s="74">
        <v>6.3279923621000016</v>
      </c>
      <c r="G66" s="75">
        <v>6.2943901293000017</v>
      </c>
      <c r="H66" s="82">
        <v>9.3355670474000014</v>
      </c>
      <c r="I66" s="18">
        <v>6.3279923621000016</v>
      </c>
      <c r="J66" s="83">
        <v>6.2943901293000017</v>
      </c>
      <c r="K66" s="93"/>
      <c r="L66" s="82">
        <v>8.6678627811999984</v>
      </c>
      <c r="M66" s="612">
        <v>3.9525879961999997</v>
      </c>
      <c r="N66" s="612">
        <v>8.6678627811999984</v>
      </c>
      <c r="O66" s="83">
        <v>0</v>
      </c>
    </row>
    <row r="67" spans="1:17" s="4" customFormat="1">
      <c r="A67" s="237" t="s">
        <v>191</v>
      </c>
      <c r="B67" s="236" t="s">
        <v>34</v>
      </c>
      <c r="C67" s="19" t="s">
        <v>37</v>
      </c>
      <c r="D67" s="61" t="s">
        <v>34</v>
      </c>
      <c r="E67" s="73">
        <v>9.4653747074000005</v>
      </c>
      <c r="F67" s="74">
        <v>9.3749819863000017</v>
      </c>
      <c r="G67" s="75">
        <v>8.2209326320000038</v>
      </c>
      <c r="H67" s="82">
        <v>9.4653747074000005</v>
      </c>
      <c r="I67" s="18">
        <v>9.3749819863000017</v>
      </c>
      <c r="J67" s="83">
        <v>8.2209326320000038</v>
      </c>
      <c r="K67" s="93"/>
      <c r="L67" s="82">
        <v>16.723451092500003</v>
      </c>
      <c r="M67" s="612">
        <v>13.946151910000003</v>
      </c>
      <c r="N67" s="612">
        <v>16.723451092500003</v>
      </c>
      <c r="O67" s="83">
        <v>0</v>
      </c>
    </row>
    <row r="68" spans="1:17" outlineLevel="1">
      <c r="A68" s="237" t="s">
        <v>191</v>
      </c>
      <c r="B68" s="236" t="s">
        <v>399</v>
      </c>
      <c r="C68" s="21" t="s">
        <v>37</v>
      </c>
      <c r="D68" s="65" t="s">
        <v>296</v>
      </c>
      <c r="E68" s="76">
        <v>5.0122286708999999</v>
      </c>
      <c r="F68" s="7">
        <v>5.0122286708999999</v>
      </c>
      <c r="G68" s="77">
        <v>3.2140853904000002</v>
      </c>
      <c r="H68" s="84">
        <v>5.0122286708999999</v>
      </c>
      <c r="I68" s="5">
        <v>5.0122286708999999</v>
      </c>
      <c r="J68" s="85">
        <v>3.2140853904000002</v>
      </c>
      <c r="K68" s="94"/>
      <c r="L68" s="84">
        <v>5.9854351746999992</v>
      </c>
      <c r="M68" s="614">
        <v>4.1068094623999993</v>
      </c>
      <c r="N68" s="614">
        <v>5.9854351746999992</v>
      </c>
      <c r="O68" s="85">
        <v>0</v>
      </c>
    </row>
    <row r="69" spans="1:17" outlineLevel="1">
      <c r="A69" s="237" t="s">
        <v>191</v>
      </c>
      <c r="B69" s="236" t="s">
        <v>400</v>
      </c>
      <c r="C69" s="21" t="s">
        <v>37</v>
      </c>
      <c r="D69" s="65" t="s">
        <v>396</v>
      </c>
      <c r="E69" s="76">
        <v>0.47911556070000005</v>
      </c>
      <c r="F69" s="7">
        <v>0.47911556070000005</v>
      </c>
      <c r="G69" s="77">
        <v>0.53452967070000001</v>
      </c>
      <c r="H69" s="84">
        <v>0.47911556070000005</v>
      </c>
      <c r="I69" s="5">
        <v>0.47911556070000005</v>
      </c>
      <c r="J69" s="85">
        <v>0.53452967070000001</v>
      </c>
      <c r="K69" s="94"/>
      <c r="L69" s="84">
        <v>0.43382337730000003</v>
      </c>
      <c r="M69" s="614">
        <v>0.25115070200000006</v>
      </c>
      <c r="N69" s="614">
        <v>0.43382337730000003</v>
      </c>
      <c r="O69" s="85">
        <v>0</v>
      </c>
    </row>
    <row r="70" spans="1:17" outlineLevel="1">
      <c r="A70" s="237" t="s">
        <v>191</v>
      </c>
      <c r="B70" s="236" t="s">
        <v>401</v>
      </c>
      <c r="C70" s="21" t="s">
        <v>37</v>
      </c>
      <c r="D70" s="65" t="s">
        <v>397</v>
      </c>
      <c r="E70" s="76">
        <v>2.7896126019000009</v>
      </c>
      <c r="F70" s="7">
        <v>2.7746134208000006</v>
      </c>
      <c r="G70" s="77">
        <v>2.2894370891999998</v>
      </c>
      <c r="H70" s="84">
        <v>2.7896126019000009</v>
      </c>
      <c r="I70" s="5">
        <v>2.7746134208000006</v>
      </c>
      <c r="J70" s="85">
        <v>2.2894370891999998</v>
      </c>
      <c r="K70" s="94"/>
      <c r="L70" s="84">
        <v>6.1055555249999998</v>
      </c>
      <c r="M70" s="614">
        <v>3.4715987441999996</v>
      </c>
      <c r="N70" s="614">
        <v>6.1055555249999998</v>
      </c>
      <c r="O70" s="85">
        <v>0</v>
      </c>
    </row>
    <row r="71" spans="1:17" outlineLevel="1">
      <c r="A71" s="237" t="s">
        <v>191</v>
      </c>
      <c r="B71" s="236" t="s">
        <v>93</v>
      </c>
      <c r="C71" s="21" t="s">
        <v>37</v>
      </c>
      <c r="D71" s="65" t="s">
        <v>35</v>
      </c>
      <c r="E71" s="76">
        <v>-0.13764126610000013</v>
      </c>
      <c r="F71" s="7">
        <v>-0.13764126610000013</v>
      </c>
      <c r="G71" s="77">
        <v>0.84284313170000003</v>
      </c>
      <c r="H71" s="84">
        <v>-0.13764126610000013</v>
      </c>
      <c r="I71" s="5">
        <v>-0.13764126610000013</v>
      </c>
      <c r="J71" s="85">
        <v>0.84284313170000003</v>
      </c>
      <c r="K71" s="94"/>
      <c r="L71" s="84">
        <v>1.6226662555000004</v>
      </c>
      <c r="M71" s="614">
        <v>3.3101095813999999</v>
      </c>
      <c r="N71" s="614">
        <v>1.6226662555000004</v>
      </c>
      <c r="O71" s="85">
        <v>0</v>
      </c>
    </row>
    <row r="72" spans="1:17" outlineLevel="1">
      <c r="A72" s="237" t="s">
        <v>191</v>
      </c>
      <c r="B72" s="236" t="s">
        <v>238</v>
      </c>
      <c r="C72" s="21" t="s">
        <v>37</v>
      </c>
      <c r="D72" s="65" t="s">
        <v>36</v>
      </c>
      <c r="E72" s="76">
        <v>1.3220591399999997</v>
      </c>
      <c r="F72" s="7">
        <v>1.2466655999999998</v>
      </c>
      <c r="G72" s="77">
        <v>1.3400373499999996</v>
      </c>
      <c r="H72" s="84">
        <v>1.3220591399999997</v>
      </c>
      <c r="I72" s="5">
        <v>1.2466655999999998</v>
      </c>
      <c r="J72" s="85">
        <v>1.3400373499999996</v>
      </c>
      <c r="K72" s="94"/>
      <c r="L72" s="84">
        <v>2.5759707600000006</v>
      </c>
      <c r="M72" s="614">
        <v>2.8064834200000002</v>
      </c>
      <c r="N72" s="614">
        <v>2.5759707600000006</v>
      </c>
      <c r="O72" s="85">
        <v>0</v>
      </c>
    </row>
    <row r="73" spans="1:17" outlineLevel="1">
      <c r="A73" s="237" t="s">
        <v>191</v>
      </c>
      <c r="B73" s="236" t="s">
        <v>402</v>
      </c>
      <c r="C73" s="21" t="s">
        <v>37</v>
      </c>
      <c r="D73" s="65" t="s">
        <v>398</v>
      </c>
      <c r="E73" s="76">
        <v>0</v>
      </c>
      <c r="F73" s="7">
        <v>0</v>
      </c>
      <c r="G73" s="77">
        <v>0</v>
      </c>
      <c r="H73" s="84">
        <v>0</v>
      </c>
      <c r="I73" s="5">
        <v>0</v>
      </c>
      <c r="J73" s="85">
        <v>0</v>
      </c>
      <c r="K73" s="94"/>
      <c r="L73" s="84">
        <v>0</v>
      </c>
      <c r="M73" s="614">
        <v>0</v>
      </c>
      <c r="N73" s="614">
        <v>0</v>
      </c>
      <c r="O73" s="85">
        <v>0</v>
      </c>
    </row>
    <row r="74" spans="1:17">
      <c r="B74" s="236"/>
      <c r="C74" s="580"/>
      <c r="D74" s="581"/>
      <c r="E74" s="76"/>
      <c r="F74" s="7"/>
      <c r="G74" s="77"/>
      <c r="H74" s="84"/>
      <c r="I74" s="5"/>
      <c r="J74" s="85"/>
      <c r="K74" s="94"/>
      <c r="L74" s="84"/>
      <c r="M74" s="614"/>
      <c r="N74" s="614"/>
      <c r="O74" s="85"/>
    </row>
    <row r="75" spans="1:17" s="4" customFormat="1" ht="18">
      <c r="A75" s="237" t="s">
        <v>218</v>
      </c>
      <c r="B75" s="236" t="s">
        <v>13</v>
      </c>
      <c r="C75" s="22" t="s">
        <v>38</v>
      </c>
      <c r="D75" s="60" t="s">
        <v>12</v>
      </c>
      <c r="E75" s="78">
        <v>159.49733518009984</v>
      </c>
      <c r="F75" s="74">
        <v>155.50453351319993</v>
      </c>
      <c r="G75" s="75">
        <v>144.37702101169992</v>
      </c>
      <c r="H75" s="82">
        <v>159.04757764009983</v>
      </c>
      <c r="I75" s="18">
        <v>155.05477597319992</v>
      </c>
      <c r="J75" s="83">
        <v>143.92726347169992</v>
      </c>
      <c r="K75" s="93"/>
      <c r="L75" s="82">
        <v>118.079969953</v>
      </c>
      <c r="M75" s="612">
        <v>92.519170868000188</v>
      </c>
      <c r="N75" s="612">
        <v>118.079969953</v>
      </c>
      <c r="O75" s="613">
        <v>0</v>
      </c>
    </row>
    <row r="76" spans="1:17" s="4" customFormat="1" ht="18">
      <c r="A76" s="237" t="s">
        <v>218</v>
      </c>
      <c r="B76" s="236" t="s">
        <v>243</v>
      </c>
      <c r="C76" s="578"/>
      <c r="D76" s="579"/>
      <c r="E76" s="73"/>
      <c r="F76" s="74"/>
      <c r="G76" s="75"/>
      <c r="H76" s="82"/>
      <c r="I76" s="18"/>
      <c r="J76" s="83"/>
      <c r="K76" s="93"/>
      <c r="L76" s="82"/>
      <c r="M76" s="612"/>
      <c r="N76" s="612"/>
      <c r="O76" s="613"/>
    </row>
    <row r="77" spans="1:17" s="4" customFormat="1">
      <c r="A77" s="237" t="s">
        <v>218</v>
      </c>
      <c r="B77" s="236" t="s">
        <v>234</v>
      </c>
      <c r="C77" s="20" t="s">
        <v>38</v>
      </c>
      <c r="D77" s="61" t="s">
        <v>14</v>
      </c>
      <c r="E77" s="73">
        <v>0</v>
      </c>
      <c r="F77" s="74">
        <v>0</v>
      </c>
      <c r="G77" s="75">
        <v>0</v>
      </c>
      <c r="H77" s="82">
        <v>0</v>
      </c>
      <c r="I77" s="18">
        <v>0</v>
      </c>
      <c r="J77" s="83">
        <v>0</v>
      </c>
      <c r="K77" s="93"/>
      <c r="L77" s="82">
        <v>0</v>
      </c>
      <c r="M77" s="612">
        <v>0</v>
      </c>
      <c r="N77" s="612">
        <v>0</v>
      </c>
      <c r="O77" s="83">
        <v>0</v>
      </c>
      <c r="Q77" s="239"/>
    </row>
    <row r="78" spans="1:17" s="4" customFormat="1">
      <c r="A78" s="237" t="s">
        <v>218</v>
      </c>
      <c r="B78" s="236" t="s">
        <v>58</v>
      </c>
      <c r="C78" s="20" t="s">
        <v>38</v>
      </c>
      <c r="D78" s="20" t="s">
        <v>15</v>
      </c>
      <c r="E78" s="73">
        <v>68.55202117230003</v>
      </c>
      <c r="F78" s="74">
        <v>68.480198482300011</v>
      </c>
      <c r="G78" s="75">
        <v>62.618709907400017</v>
      </c>
      <c r="H78" s="82">
        <v>68.55202117230003</v>
      </c>
      <c r="I78" s="18">
        <v>68.480198482300011</v>
      </c>
      <c r="J78" s="83">
        <v>62.618709907400017</v>
      </c>
      <c r="K78" s="93"/>
      <c r="L78" s="82">
        <v>41.958253389500001</v>
      </c>
      <c r="M78" s="612">
        <v>35.737580354699979</v>
      </c>
      <c r="N78" s="612">
        <v>41.958253389500001</v>
      </c>
      <c r="O78" s="83">
        <v>0</v>
      </c>
    </row>
    <row r="79" spans="1:17" outlineLevel="1">
      <c r="A79" s="237" t="s">
        <v>218</v>
      </c>
      <c r="B79" s="236" t="s">
        <v>17</v>
      </c>
      <c r="C79" s="23" t="s">
        <v>38</v>
      </c>
      <c r="D79" s="426" t="s">
        <v>17</v>
      </c>
      <c r="E79" s="76">
        <v>13.795128378700001</v>
      </c>
      <c r="F79" s="7">
        <v>13.795128378700001</v>
      </c>
      <c r="G79" s="77">
        <v>13.232960048700001</v>
      </c>
      <c r="H79" s="84">
        <v>13.795128378700001</v>
      </c>
      <c r="I79" s="5">
        <v>13.795128378700001</v>
      </c>
      <c r="J79" s="85">
        <v>13.232960048700001</v>
      </c>
      <c r="K79" s="94"/>
      <c r="L79" s="84">
        <v>10.683761820599999</v>
      </c>
      <c r="M79" s="614">
        <v>6.9473065306000006</v>
      </c>
      <c r="N79" s="614">
        <v>10.683761820599999</v>
      </c>
      <c r="O79" s="85">
        <v>0</v>
      </c>
    </row>
    <row r="80" spans="1:17" outlineLevel="1">
      <c r="A80" s="237" t="s">
        <v>218</v>
      </c>
      <c r="B80" s="236" t="s">
        <v>18</v>
      </c>
      <c r="C80" s="23" t="s">
        <v>38</v>
      </c>
      <c r="D80" s="426" t="s">
        <v>18</v>
      </c>
      <c r="E80" s="76">
        <v>5.1177149999999998E-2</v>
      </c>
      <c r="F80" s="7">
        <v>5.1177149999999998E-2</v>
      </c>
      <c r="G80" s="77">
        <v>5.2543279999999998E-2</v>
      </c>
      <c r="H80" s="84">
        <v>5.1177149999999998E-2</v>
      </c>
      <c r="I80" s="5">
        <v>5.1177149999999998E-2</v>
      </c>
      <c r="J80" s="85">
        <v>5.2543279999999998E-2</v>
      </c>
      <c r="K80" s="94"/>
      <c r="L80" s="84">
        <v>4.5879386900000005</v>
      </c>
      <c r="M80" s="614">
        <v>4.5400628200000002</v>
      </c>
      <c r="N80" s="614">
        <v>4.5879386900000005</v>
      </c>
      <c r="O80" s="85">
        <v>0</v>
      </c>
    </row>
    <row r="81" spans="1:15" outlineLevel="1">
      <c r="A81" s="237" t="s">
        <v>218</v>
      </c>
      <c r="B81" s="236" t="s">
        <v>19</v>
      </c>
      <c r="C81" s="23" t="s">
        <v>38</v>
      </c>
      <c r="D81" s="426" t="s">
        <v>19</v>
      </c>
      <c r="E81" s="76">
        <v>15.209081292000004</v>
      </c>
      <c r="F81" s="7">
        <v>15.209081292000004</v>
      </c>
      <c r="G81" s="77">
        <v>11.616431192</v>
      </c>
      <c r="H81" s="84">
        <v>15.209081292000004</v>
      </c>
      <c r="I81" s="5">
        <v>15.209081292000004</v>
      </c>
      <c r="J81" s="85">
        <v>11.616431192</v>
      </c>
      <c r="K81" s="94"/>
      <c r="L81" s="84">
        <v>8.3856853663000042</v>
      </c>
      <c r="M81" s="614">
        <v>5.9419348063000008</v>
      </c>
      <c r="N81" s="614">
        <v>8.3856853663000042</v>
      </c>
      <c r="O81" s="85">
        <v>0</v>
      </c>
    </row>
    <row r="82" spans="1:15" outlineLevel="1">
      <c r="A82" s="237" t="s">
        <v>218</v>
      </c>
      <c r="B82" s="236" t="s">
        <v>77</v>
      </c>
      <c r="C82" s="23" t="s">
        <v>38</v>
      </c>
      <c r="D82" s="426" t="s">
        <v>77</v>
      </c>
      <c r="E82" s="76">
        <v>15.915988763600001</v>
      </c>
      <c r="F82" s="7">
        <v>15.915988763600001</v>
      </c>
      <c r="G82" s="77">
        <v>16.0888242967</v>
      </c>
      <c r="H82" s="84">
        <v>15.915988763600001</v>
      </c>
      <c r="I82" s="5">
        <v>15.915988763600001</v>
      </c>
      <c r="J82" s="85">
        <v>16.0888242967</v>
      </c>
      <c r="K82" s="94"/>
      <c r="L82" s="84">
        <v>6.3584210745999998</v>
      </c>
      <c r="M82" s="614">
        <v>6.2381494545999994</v>
      </c>
      <c r="N82" s="614">
        <v>6.3584210745999998</v>
      </c>
      <c r="O82" s="85">
        <v>0</v>
      </c>
    </row>
    <row r="83" spans="1:15" outlineLevel="1">
      <c r="A83" s="237" t="s">
        <v>218</v>
      </c>
      <c r="B83" s="236" t="s">
        <v>78</v>
      </c>
      <c r="C83" s="23" t="s">
        <v>38</v>
      </c>
      <c r="D83" s="426" t="s">
        <v>78</v>
      </c>
      <c r="E83" s="76">
        <v>1.7086665699999999</v>
      </c>
      <c r="F83" s="7">
        <v>1.7086665699999999</v>
      </c>
      <c r="G83" s="77">
        <v>2.3015151899999999</v>
      </c>
      <c r="H83" s="84">
        <v>1.7086665699999999</v>
      </c>
      <c r="I83" s="5">
        <v>1.7086665699999999</v>
      </c>
      <c r="J83" s="85">
        <v>2.3015151899999999</v>
      </c>
      <c r="K83" s="94"/>
      <c r="L83" s="84">
        <v>1.7360244657999999</v>
      </c>
      <c r="M83" s="614">
        <v>1.2820566858</v>
      </c>
      <c r="N83" s="614">
        <v>1.7360244657999999</v>
      </c>
      <c r="O83" s="85">
        <v>0</v>
      </c>
    </row>
    <row r="84" spans="1:15" outlineLevel="1">
      <c r="A84" s="237" t="s">
        <v>218</v>
      </c>
      <c r="B84" s="236" t="s">
        <v>393</v>
      </c>
      <c r="C84" s="23" t="s">
        <v>38</v>
      </c>
      <c r="D84" s="426" t="s">
        <v>393</v>
      </c>
      <c r="E84" s="76">
        <v>8.1764370199999981</v>
      </c>
      <c r="F84" s="7">
        <v>8.1764370199999981</v>
      </c>
      <c r="G84" s="77">
        <v>6.3375019299999993</v>
      </c>
      <c r="H84" s="84">
        <v>8.1764370199999981</v>
      </c>
      <c r="I84" s="5">
        <v>8.1764370199999981</v>
      </c>
      <c r="J84" s="85">
        <v>6.3375019299999993</v>
      </c>
      <c r="K84" s="94"/>
      <c r="L84" s="84">
        <v>0.94213225480000007</v>
      </c>
      <c r="M84" s="614">
        <v>1.7013717200000003</v>
      </c>
      <c r="N84" s="614">
        <v>0.94213225480000007</v>
      </c>
      <c r="O84" s="85">
        <v>0</v>
      </c>
    </row>
    <row r="85" spans="1:15" outlineLevel="1">
      <c r="A85" s="237" t="s">
        <v>218</v>
      </c>
      <c r="B85" s="236" t="s">
        <v>80</v>
      </c>
      <c r="C85" s="23" t="s">
        <v>38</v>
      </c>
      <c r="D85" s="426" t="s">
        <v>80</v>
      </c>
      <c r="E85" s="76">
        <v>2.2647969799999998</v>
      </c>
      <c r="F85" s="7">
        <v>2.2647969799999998</v>
      </c>
      <c r="G85" s="77">
        <v>0.56499999999999995</v>
      </c>
      <c r="H85" s="84">
        <v>2.2647969799999998</v>
      </c>
      <c r="I85" s="5">
        <v>2.2647969799999998</v>
      </c>
      <c r="J85" s="85">
        <v>0.56499999999999995</v>
      </c>
      <c r="K85" s="94"/>
      <c r="L85" s="84">
        <v>-3.5636372000000005</v>
      </c>
      <c r="M85" s="614">
        <v>-1.1980316499999999</v>
      </c>
      <c r="N85" s="614">
        <v>-3.5636372000000005</v>
      </c>
      <c r="O85" s="85">
        <v>0</v>
      </c>
    </row>
    <row r="86" spans="1:15" outlineLevel="1">
      <c r="A86" s="237" t="s">
        <v>218</v>
      </c>
      <c r="B86" s="236" t="s">
        <v>104</v>
      </c>
      <c r="C86" s="23" t="s">
        <v>38</v>
      </c>
      <c r="D86" s="64" t="s">
        <v>405</v>
      </c>
      <c r="E86" s="76">
        <v>1.9229537800000001</v>
      </c>
      <c r="F86" s="7">
        <v>1.90606721</v>
      </c>
      <c r="G86" s="77">
        <v>1.8929211700000002</v>
      </c>
      <c r="H86" s="84">
        <v>1.9229537800000001</v>
      </c>
      <c r="I86" s="5">
        <v>1.90606721</v>
      </c>
      <c r="J86" s="85">
        <v>1.8929211700000002</v>
      </c>
      <c r="K86" s="94"/>
      <c r="L86" s="84">
        <v>0.73215331439999987</v>
      </c>
      <c r="M86" s="614">
        <v>0.88111311440000017</v>
      </c>
      <c r="N86" s="614">
        <v>0.73215331439999987</v>
      </c>
      <c r="O86" s="85">
        <v>0</v>
      </c>
    </row>
    <row r="87" spans="1:15" outlineLevel="1">
      <c r="A87" s="237" t="s">
        <v>218</v>
      </c>
      <c r="B87" s="236" t="s">
        <v>105</v>
      </c>
      <c r="C87" s="23" t="s">
        <v>38</v>
      </c>
      <c r="D87" s="65" t="s">
        <v>25</v>
      </c>
      <c r="E87" s="417">
        <v>9.5077912379999994</v>
      </c>
      <c r="F87" s="7">
        <v>9.452855118000004</v>
      </c>
      <c r="G87" s="77">
        <v>10.531012800000003</v>
      </c>
      <c r="H87" s="84">
        <v>9.5077912379999994</v>
      </c>
      <c r="I87" s="5">
        <v>9.452855118000004</v>
      </c>
      <c r="J87" s="85">
        <v>10.531012800000003</v>
      </c>
      <c r="K87" s="94"/>
      <c r="L87" s="84">
        <v>12.095773603000005</v>
      </c>
      <c r="M87" s="614">
        <v>9.4036168730000025</v>
      </c>
      <c r="N87" s="614">
        <v>12.095773603000005</v>
      </c>
      <c r="O87" s="85">
        <v>0</v>
      </c>
    </row>
    <row r="88" spans="1:15" s="4" customFormat="1">
      <c r="A88" s="237" t="s">
        <v>218</v>
      </c>
      <c r="B88" s="236" t="s">
        <v>26</v>
      </c>
      <c r="C88" s="20" t="s">
        <v>38</v>
      </c>
      <c r="D88" s="61" t="s">
        <v>26</v>
      </c>
      <c r="E88" s="73">
        <v>65.737110553100123</v>
      </c>
      <c r="F88" s="74">
        <v>62.843911576200078</v>
      </c>
      <c r="G88" s="75">
        <v>58.24351912110005</v>
      </c>
      <c r="H88" s="82">
        <v>65.28735301310013</v>
      </c>
      <c r="I88" s="18">
        <v>62.394154036200078</v>
      </c>
      <c r="J88" s="83">
        <v>57.79376158110005</v>
      </c>
      <c r="K88" s="93"/>
      <c r="L88" s="82">
        <v>52.395914246199993</v>
      </c>
      <c r="M88" s="612">
        <v>35.165695203300004</v>
      </c>
      <c r="N88" s="612">
        <v>52.395914246199993</v>
      </c>
      <c r="O88" s="83">
        <v>0</v>
      </c>
    </row>
    <row r="89" spans="1:15" outlineLevel="1">
      <c r="A89" s="237" t="s">
        <v>218</v>
      </c>
      <c r="B89" s="236" t="s">
        <v>235</v>
      </c>
      <c r="C89" s="23" t="s">
        <v>38</v>
      </c>
      <c r="D89" s="65" t="s">
        <v>28</v>
      </c>
      <c r="E89" s="76">
        <v>14.262813910999999</v>
      </c>
      <c r="F89" s="7">
        <v>13.041660590999998</v>
      </c>
      <c r="G89" s="77">
        <v>12.58100100589999</v>
      </c>
      <c r="H89" s="84">
        <v>14.262813910999999</v>
      </c>
      <c r="I89" s="5">
        <v>13.041660590999998</v>
      </c>
      <c r="J89" s="85">
        <v>12.58100100589999</v>
      </c>
      <c r="K89" s="94"/>
      <c r="L89" s="84">
        <v>10.362646206999997</v>
      </c>
      <c r="M89" s="614">
        <v>9.4770574038000017</v>
      </c>
      <c r="N89" s="614">
        <v>10.362646206999997</v>
      </c>
      <c r="O89" s="85">
        <v>0</v>
      </c>
    </row>
    <row r="90" spans="1:15" outlineLevel="1">
      <c r="A90" s="237" t="s">
        <v>218</v>
      </c>
      <c r="B90" s="236" t="s">
        <v>106</v>
      </c>
      <c r="C90" s="23" t="s">
        <v>38</v>
      </c>
      <c r="D90" s="65" t="s">
        <v>27</v>
      </c>
      <c r="E90" s="76">
        <v>10.162157139299996</v>
      </c>
      <c r="F90" s="7">
        <v>9.9014733392999972</v>
      </c>
      <c r="G90" s="77">
        <v>9.4838730592999987</v>
      </c>
      <c r="H90" s="84">
        <v>10.162157139299996</v>
      </c>
      <c r="I90" s="5">
        <v>9.9014733392999972</v>
      </c>
      <c r="J90" s="85">
        <v>9.4838730592999987</v>
      </c>
      <c r="K90" s="94"/>
      <c r="L90" s="84">
        <v>2.1894679911999999</v>
      </c>
      <c r="M90" s="614">
        <v>1.4684846278999997</v>
      </c>
      <c r="N90" s="614">
        <v>2.1894679911999999</v>
      </c>
      <c r="O90" s="85">
        <v>0</v>
      </c>
    </row>
    <row r="91" spans="1:15" outlineLevel="1">
      <c r="A91" s="237" t="s">
        <v>218</v>
      </c>
      <c r="B91" s="236" t="s">
        <v>87</v>
      </c>
      <c r="C91" s="23" t="s">
        <v>38</v>
      </c>
      <c r="D91" s="65" t="s">
        <v>30</v>
      </c>
      <c r="E91" s="76">
        <v>6.7017599085000006</v>
      </c>
      <c r="F91" s="7">
        <v>6.7017599085000006</v>
      </c>
      <c r="G91" s="77">
        <v>5.0323652084999999</v>
      </c>
      <c r="H91" s="84">
        <v>6.7017599085000006</v>
      </c>
      <c r="I91" s="5">
        <v>6.7017599085000006</v>
      </c>
      <c r="J91" s="85">
        <v>5.0323652084999999</v>
      </c>
      <c r="K91" s="94"/>
      <c r="L91" s="84">
        <v>4.6583792568999991</v>
      </c>
      <c r="M91" s="614">
        <v>1.5341205600000003</v>
      </c>
      <c r="N91" s="614">
        <v>4.6583792568999991</v>
      </c>
      <c r="O91" s="85">
        <v>0</v>
      </c>
    </row>
    <row r="92" spans="1:15" outlineLevel="1">
      <c r="A92" s="237" t="s">
        <v>218</v>
      </c>
      <c r="B92" s="236" t="s">
        <v>107</v>
      </c>
      <c r="C92" s="23" t="s">
        <v>38</v>
      </c>
      <c r="D92" s="65" t="s">
        <v>29</v>
      </c>
      <c r="E92" s="76">
        <v>2.99612868</v>
      </c>
      <c r="F92" s="7">
        <v>2.99612868</v>
      </c>
      <c r="G92" s="77">
        <v>3.8447672900000005</v>
      </c>
      <c r="H92" s="84">
        <v>2.99612868</v>
      </c>
      <c r="I92" s="5">
        <v>2.99612868</v>
      </c>
      <c r="J92" s="85">
        <v>3.8447672900000005</v>
      </c>
      <c r="K92" s="94"/>
      <c r="L92" s="84">
        <v>0.98006949999999993</v>
      </c>
      <c r="M92" s="614">
        <v>1.2760535199999996</v>
      </c>
      <c r="N92" s="614">
        <v>0.98006949999999993</v>
      </c>
      <c r="O92" s="85">
        <v>0</v>
      </c>
    </row>
    <row r="93" spans="1:15" outlineLevel="1">
      <c r="A93" s="237" t="s">
        <v>218</v>
      </c>
      <c r="B93" s="236" t="s">
        <v>236</v>
      </c>
      <c r="C93" s="23" t="s">
        <v>38</v>
      </c>
      <c r="D93" s="65" t="s">
        <v>31</v>
      </c>
      <c r="E93" s="76">
        <v>3.4135612769999999</v>
      </c>
      <c r="F93" s="7">
        <v>3.0800112800999999</v>
      </c>
      <c r="G93" s="77">
        <v>2.4310717001</v>
      </c>
      <c r="H93" s="84">
        <v>2.9638037370000001</v>
      </c>
      <c r="I93" s="5">
        <v>2.6302537401000001</v>
      </c>
      <c r="J93" s="85">
        <v>1.9813141601000002</v>
      </c>
      <c r="K93" s="94"/>
      <c r="L93" s="84">
        <v>2.3307633999999995</v>
      </c>
      <c r="M93" s="614">
        <v>2.58541036</v>
      </c>
      <c r="N93" s="614">
        <v>2.3307633999999995</v>
      </c>
      <c r="O93" s="85">
        <v>0</v>
      </c>
    </row>
    <row r="94" spans="1:15" outlineLevel="1">
      <c r="A94" s="237" t="s">
        <v>218</v>
      </c>
      <c r="B94" s="236" t="s">
        <v>237</v>
      </c>
      <c r="C94" s="23" t="s">
        <v>38</v>
      </c>
      <c r="D94" s="65" t="s">
        <v>394</v>
      </c>
      <c r="E94" s="76">
        <v>21.6854527317</v>
      </c>
      <c r="F94" s="7">
        <v>20.646360581700002</v>
      </c>
      <c r="G94" s="77">
        <v>19.028170291700004</v>
      </c>
      <c r="H94" s="84">
        <v>21.6854527317</v>
      </c>
      <c r="I94" s="5">
        <v>20.646360581700002</v>
      </c>
      <c r="J94" s="85">
        <v>19.028170291700004</v>
      </c>
      <c r="K94" s="94"/>
      <c r="L94" s="84">
        <v>23.1875012711</v>
      </c>
      <c r="M94" s="614">
        <v>10.742780961599996</v>
      </c>
      <c r="N94" s="614">
        <v>23.1875012711</v>
      </c>
      <c r="O94" s="85">
        <v>0</v>
      </c>
    </row>
    <row r="95" spans="1:15" outlineLevel="1">
      <c r="A95" s="237" t="s">
        <v>218</v>
      </c>
      <c r="B95" s="236" t="s">
        <v>163</v>
      </c>
      <c r="C95" s="23" t="s">
        <v>38</v>
      </c>
      <c r="D95" s="65" t="s">
        <v>403</v>
      </c>
      <c r="E95" s="76">
        <v>6.515236905600001</v>
      </c>
      <c r="F95" s="7">
        <v>6.4765171956000014</v>
      </c>
      <c r="G95" s="77">
        <v>5.8422705656000016</v>
      </c>
      <c r="H95" s="84">
        <v>6.515236905600001</v>
      </c>
      <c r="I95" s="5">
        <v>6.4765171956000014</v>
      </c>
      <c r="J95" s="85">
        <v>5.8422705656000016</v>
      </c>
      <c r="K95" s="94"/>
      <c r="L95" s="84">
        <v>8.6870866200000005</v>
      </c>
      <c r="M95" s="614">
        <v>8.08178777</v>
      </c>
      <c r="N95" s="614">
        <v>8.6870866200000005</v>
      </c>
      <c r="O95" s="85">
        <v>0</v>
      </c>
    </row>
    <row r="96" spans="1:15" outlineLevel="1">
      <c r="A96" s="237" t="s">
        <v>218</v>
      </c>
      <c r="B96" s="236" t="s">
        <v>404</v>
      </c>
      <c r="C96" s="23" t="s">
        <v>38</v>
      </c>
      <c r="D96" s="65" t="s">
        <v>395</v>
      </c>
      <c r="E96" s="76">
        <v>0</v>
      </c>
      <c r="F96" s="7">
        <v>0</v>
      </c>
      <c r="G96" s="77">
        <v>0</v>
      </c>
      <c r="H96" s="84">
        <v>0</v>
      </c>
      <c r="I96" s="5">
        <v>0</v>
      </c>
      <c r="J96" s="85">
        <v>0</v>
      </c>
      <c r="K96" s="94"/>
      <c r="L96" s="84">
        <v>0</v>
      </c>
      <c r="M96" s="614">
        <v>0</v>
      </c>
      <c r="N96" s="614">
        <v>0</v>
      </c>
      <c r="O96" s="85">
        <v>0</v>
      </c>
    </row>
    <row r="97" spans="1:15" s="4" customFormat="1">
      <c r="A97" s="237" t="s">
        <v>218</v>
      </c>
      <c r="B97" s="236" t="s">
        <v>59</v>
      </c>
      <c r="C97" s="20" t="s">
        <v>38</v>
      </c>
      <c r="D97" s="61" t="s">
        <v>33</v>
      </c>
      <c r="E97" s="73">
        <v>3.1541110900000007</v>
      </c>
      <c r="F97" s="74">
        <v>2.7989114700000006</v>
      </c>
      <c r="G97" s="75">
        <v>3.5181063900000007</v>
      </c>
      <c r="H97" s="82">
        <v>3.1541110900000007</v>
      </c>
      <c r="I97" s="18">
        <v>2.7989114700000006</v>
      </c>
      <c r="J97" s="83">
        <v>3.5181063900000007</v>
      </c>
      <c r="K97" s="93"/>
      <c r="L97" s="82">
        <v>9.8456755705000027</v>
      </c>
      <c r="M97" s="612">
        <v>8.3112608200000029</v>
      </c>
      <c r="N97" s="612">
        <v>9.8456755705000027</v>
      </c>
      <c r="O97" s="83">
        <v>0</v>
      </c>
    </row>
    <row r="98" spans="1:15" s="4" customFormat="1">
      <c r="A98" s="237" t="s">
        <v>218</v>
      </c>
      <c r="B98" s="236" t="s">
        <v>34</v>
      </c>
      <c r="C98" s="20" t="s">
        <v>38</v>
      </c>
      <c r="D98" s="61" t="s">
        <v>34</v>
      </c>
      <c r="E98" s="73">
        <v>22.054092364700008</v>
      </c>
      <c r="F98" s="74">
        <v>21.381511984700008</v>
      </c>
      <c r="G98" s="75">
        <v>19.996685593200002</v>
      </c>
      <c r="H98" s="82">
        <v>22.054092364700008</v>
      </c>
      <c r="I98" s="18">
        <v>21.381511984700008</v>
      </c>
      <c r="J98" s="83">
        <v>19.996685593200002</v>
      </c>
      <c r="K98" s="93"/>
      <c r="L98" s="82">
        <v>13.880126746800009</v>
      </c>
      <c r="M98" s="612">
        <v>13.304634490000007</v>
      </c>
      <c r="N98" s="612">
        <v>13.880126746800009</v>
      </c>
      <c r="O98" s="83">
        <v>0</v>
      </c>
    </row>
    <row r="99" spans="1:15" outlineLevel="1">
      <c r="A99" s="237" t="s">
        <v>218</v>
      </c>
      <c r="B99" s="236" t="s">
        <v>399</v>
      </c>
      <c r="C99" s="23" t="s">
        <v>38</v>
      </c>
      <c r="D99" s="65" t="s">
        <v>296</v>
      </c>
      <c r="E99" s="76">
        <v>5.5996330400000005</v>
      </c>
      <c r="F99" s="7">
        <v>5.0140654100000006</v>
      </c>
      <c r="G99" s="77">
        <v>4.6524064200000002</v>
      </c>
      <c r="H99" s="84">
        <v>5.5996330400000005</v>
      </c>
      <c r="I99" s="5">
        <v>5.0140654100000006</v>
      </c>
      <c r="J99" s="85">
        <v>4.6524064200000002</v>
      </c>
      <c r="K99" s="94"/>
      <c r="L99" s="84">
        <v>5.7210730299999986</v>
      </c>
      <c r="M99" s="614">
        <v>3.9134528299999998</v>
      </c>
      <c r="N99" s="614">
        <v>5.7210730299999986</v>
      </c>
      <c r="O99" s="85">
        <v>0</v>
      </c>
    </row>
    <row r="100" spans="1:15" outlineLevel="1">
      <c r="A100" s="237" t="s">
        <v>218</v>
      </c>
      <c r="B100" s="236" t="s">
        <v>400</v>
      </c>
      <c r="C100" s="23" t="s">
        <v>38</v>
      </c>
      <c r="D100" s="65" t="s">
        <v>396</v>
      </c>
      <c r="E100" s="76">
        <v>1.1797998599999997</v>
      </c>
      <c r="F100" s="7">
        <v>1.1662187199999996</v>
      </c>
      <c r="G100" s="77">
        <v>1.1969229599999995</v>
      </c>
      <c r="H100" s="84">
        <v>1.1797998599999997</v>
      </c>
      <c r="I100" s="5">
        <v>1.1662187199999996</v>
      </c>
      <c r="J100" s="85">
        <v>1.1969229599999995</v>
      </c>
      <c r="K100" s="94"/>
      <c r="L100" s="84">
        <v>0.96371175000000009</v>
      </c>
      <c r="M100" s="614">
        <v>0.61271953999999995</v>
      </c>
      <c r="N100" s="614">
        <v>0.96371175000000009</v>
      </c>
      <c r="O100" s="85">
        <v>0</v>
      </c>
    </row>
    <row r="101" spans="1:15" outlineLevel="1">
      <c r="A101" s="237" t="s">
        <v>218</v>
      </c>
      <c r="B101" s="236" t="s">
        <v>401</v>
      </c>
      <c r="C101" s="23" t="s">
        <v>38</v>
      </c>
      <c r="D101" s="65" t="s">
        <v>397</v>
      </c>
      <c r="E101" s="76">
        <v>2.2796762899999994</v>
      </c>
      <c r="F101" s="7">
        <v>2.2415782099999997</v>
      </c>
      <c r="G101" s="77">
        <v>2.1726440299999998</v>
      </c>
      <c r="H101" s="84">
        <v>2.2796762899999994</v>
      </c>
      <c r="I101" s="5">
        <v>2.2415782099999997</v>
      </c>
      <c r="J101" s="85">
        <v>2.1726440299999998</v>
      </c>
      <c r="K101" s="94"/>
      <c r="L101" s="84">
        <v>0.41556587679999979</v>
      </c>
      <c r="M101" s="614">
        <v>0.90400237999999988</v>
      </c>
      <c r="N101" s="614">
        <v>0.41556587679999979</v>
      </c>
      <c r="O101" s="85">
        <v>0</v>
      </c>
    </row>
    <row r="102" spans="1:15" outlineLevel="1">
      <c r="A102" s="237" t="s">
        <v>218</v>
      </c>
      <c r="B102" s="236" t="s">
        <v>93</v>
      </c>
      <c r="C102" s="23" t="s">
        <v>38</v>
      </c>
      <c r="D102" s="65" t="s">
        <v>35</v>
      </c>
      <c r="E102" s="76">
        <v>2.1881104046999997</v>
      </c>
      <c r="F102" s="7">
        <v>2.1881104046999997</v>
      </c>
      <c r="G102" s="77">
        <v>3.4481239831999999</v>
      </c>
      <c r="H102" s="84">
        <v>2.1881104046999997</v>
      </c>
      <c r="I102" s="5">
        <v>2.1881104046999997</v>
      </c>
      <c r="J102" s="85">
        <v>3.4481239831999999</v>
      </c>
      <c r="K102" s="94"/>
      <c r="L102" s="84">
        <v>0.52173884000000004</v>
      </c>
      <c r="M102" s="614">
        <v>1.4208469500000001</v>
      </c>
      <c r="N102" s="614">
        <v>0.52173884000000004</v>
      </c>
      <c r="O102" s="85">
        <v>0</v>
      </c>
    </row>
    <row r="103" spans="1:15" outlineLevel="1">
      <c r="A103" s="237" t="s">
        <v>218</v>
      </c>
      <c r="B103" s="236" t="s">
        <v>238</v>
      </c>
      <c r="C103" s="23" t="s">
        <v>38</v>
      </c>
      <c r="D103" s="65" t="s">
        <v>36</v>
      </c>
      <c r="E103" s="76">
        <v>10.806872770000002</v>
      </c>
      <c r="F103" s="7">
        <v>10.771539239999999</v>
      </c>
      <c r="G103" s="77">
        <v>8.5265882000000008</v>
      </c>
      <c r="H103" s="84">
        <v>10.806872770000002</v>
      </c>
      <c r="I103" s="5">
        <v>10.771539239999999</v>
      </c>
      <c r="J103" s="85">
        <v>8.5265882000000008</v>
      </c>
      <c r="K103" s="94"/>
      <c r="L103" s="84">
        <v>6.2580372499999983</v>
      </c>
      <c r="M103" s="614">
        <v>6.4536127899999975</v>
      </c>
      <c r="N103" s="614">
        <v>6.2580372499999983</v>
      </c>
      <c r="O103" s="85">
        <v>0</v>
      </c>
    </row>
    <row r="104" spans="1:15" outlineLevel="1">
      <c r="A104" s="237" t="s">
        <v>218</v>
      </c>
      <c r="B104" s="236" t="s">
        <v>402</v>
      </c>
      <c r="C104" s="23" t="s">
        <v>38</v>
      </c>
      <c r="D104" s="65" t="s">
        <v>398</v>
      </c>
      <c r="E104" s="76">
        <v>0</v>
      </c>
      <c r="F104" s="7">
        <v>0</v>
      </c>
      <c r="G104" s="77">
        <v>0</v>
      </c>
      <c r="H104" s="84">
        <v>0</v>
      </c>
      <c r="I104" s="5">
        <v>0</v>
      </c>
      <c r="J104" s="85">
        <v>0</v>
      </c>
      <c r="K104" s="94"/>
      <c r="L104" s="84">
        <v>0</v>
      </c>
      <c r="M104" s="614">
        <v>0</v>
      </c>
      <c r="N104" s="614">
        <v>0</v>
      </c>
      <c r="O104" s="85">
        <v>0</v>
      </c>
    </row>
    <row r="105" spans="1:15">
      <c r="C105" s="580"/>
      <c r="D105" s="581"/>
      <c r="E105" s="76"/>
      <c r="F105" s="7"/>
      <c r="G105" s="77"/>
      <c r="H105" s="84"/>
      <c r="I105" s="5"/>
      <c r="J105" s="85"/>
      <c r="K105" s="94"/>
      <c r="L105" s="84"/>
      <c r="M105" s="614"/>
      <c r="N105" s="614"/>
      <c r="O105" s="85"/>
    </row>
    <row r="106" spans="1:15">
      <c r="A106" s="237" t="s">
        <v>57</v>
      </c>
      <c r="B106" s="236" t="s">
        <v>13</v>
      </c>
      <c r="C106" s="580"/>
      <c r="D106" s="581"/>
      <c r="E106" s="76"/>
      <c r="F106" s="7"/>
      <c r="G106" s="77"/>
      <c r="H106" s="84"/>
      <c r="I106" s="5"/>
      <c r="J106" s="85"/>
      <c r="K106" s="94"/>
      <c r="L106" s="84"/>
      <c r="M106" s="614"/>
      <c r="N106" s="614"/>
      <c r="O106" s="85"/>
    </row>
    <row r="107" spans="1:15" s="4" customFormat="1">
      <c r="A107" s="237" t="s">
        <v>39</v>
      </c>
      <c r="B107" s="236" t="s">
        <v>13</v>
      </c>
      <c r="C107" s="20" t="s">
        <v>354</v>
      </c>
      <c r="D107" s="16" t="s">
        <v>12</v>
      </c>
      <c r="E107" s="73">
        <v>0</v>
      </c>
      <c r="F107" s="74">
        <v>0</v>
      </c>
      <c r="G107" s="75">
        <v>0</v>
      </c>
      <c r="H107" s="82">
        <v>0</v>
      </c>
      <c r="I107" s="18">
        <v>0</v>
      </c>
      <c r="J107" s="83">
        <v>0</v>
      </c>
      <c r="K107" s="93"/>
      <c r="L107" s="82">
        <v>0</v>
      </c>
      <c r="M107" s="612">
        <v>0</v>
      </c>
      <c r="N107" s="612">
        <v>0</v>
      </c>
      <c r="O107" s="83">
        <v>0</v>
      </c>
    </row>
    <row r="108" spans="1:15" s="4" customFormat="1" outlineLevel="1">
      <c r="A108" s="237"/>
      <c r="B108" s="236"/>
      <c r="C108" s="369" t="s">
        <v>355</v>
      </c>
      <c r="D108" s="16" t="s">
        <v>12</v>
      </c>
      <c r="E108" s="73">
        <v>0</v>
      </c>
      <c r="F108" s="74">
        <v>0</v>
      </c>
      <c r="G108" s="75">
        <v>0</v>
      </c>
      <c r="H108" s="82">
        <v>0</v>
      </c>
      <c r="I108" s="18">
        <v>0</v>
      </c>
      <c r="J108" s="83">
        <v>0</v>
      </c>
      <c r="K108" s="93"/>
      <c r="L108" s="82">
        <v>0</v>
      </c>
      <c r="M108" s="612">
        <v>0</v>
      </c>
      <c r="N108" s="612">
        <v>0</v>
      </c>
      <c r="O108" s="83">
        <v>0</v>
      </c>
    </row>
    <row r="109" spans="1:15" s="4" customFormat="1" outlineLevel="1">
      <c r="A109" s="237"/>
      <c r="B109" s="236"/>
      <c r="C109" s="369" t="s">
        <v>356</v>
      </c>
      <c r="D109" s="16" t="s">
        <v>12</v>
      </c>
      <c r="E109" s="73">
        <v>0</v>
      </c>
      <c r="F109" s="74">
        <v>0</v>
      </c>
      <c r="G109" s="75">
        <v>0</v>
      </c>
      <c r="H109" s="82">
        <v>0</v>
      </c>
      <c r="I109" s="18">
        <v>0</v>
      </c>
      <c r="J109" s="83">
        <v>0</v>
      </c>
      <c r="K109" s="93"/>
      <c r="L109" s="82">
        <v>0</v>
      </c>
      <c r="M109" s="612">
        <v>0</v>
      </c>
      <c r="N109" s="612">
        <v>0</v>
      </c>
      <c r="O109" s="83">
        <v>0</v>
      </c>
    </row>
    <row r="110" spans="1:15" s="4" customFormat="1" outlineLevel="1">
      <c r="A110" s="237"/>
      <c r="B110" s="236"/>
      <c r="C110" s="369" t="s">
        <v>357</v>
      </c>
      <c r="D110" s="16" t="s">
        <v>12</v>
      </c>
      <c r="E110" s="73">
        <v>0</v>
      </c>
      <c r="F110" s="74">
        <v>0</v>
      </c>
      <c r="G110" s="75">
        <v>0</v>
      </c>
      <c r="H110" s="82">
        <v>0</v>
      </c>
      <c r="I110" s="18">
        <v>0</v>
      </c>
      <c r="J110" s="83">
        <v>0</v>
      </c>
      <c r="K110" s="93"/>
      <c r="L110" s="82">
        <v>0</v>
      </c>
      <c r="M110" s="612">
        <v>0</v>
      </c>
      <c r="N110" s="612">
        <v>0</v>
      </c>
      <c r="O110" s="83">
        <v>0</v>
      </c>
    </row>
    <row r="111" spans="1:15" s="4" customFormat="1" outlineLevel="1">
      <c r="A111" s="237"/>
      <c r="B111" s="236"/>
      <c r="C111" s="369" t="s">
        <v>358</v>
      </c>
      <c r="D111" s="16" t="s">
        <v>12</v>
      </c>
      <c r="E111" s="73">
        <v>0</v>
      </c>
      <c r="F111" s="74">
        <v>0</v>
      </c>
      <c r="G111" s="75">
        <v>0</v>
      </c>
      <c r="H111" s="82">
        <v>0</v>
      </c>
      <c r="I111" s="18">
        <v>0</v>
      </c>
      <c r="J111" s="83">
        <v>0</v>
      </c>
      <c r="K111" s="93"/>
      <c r="L111" s="82">
        <v>0</v>
      </c>
      <c r="M111" s="612">
        <v>0</v>
      </c>
      <c r="N111" s="612">
        <v>0</v>
      </c>
      <c r="O111" s="83">
        <v>0</v>
      </c>
    </row>
    <row r="112" spans="1:15" s="4" customFormat="1" outlineLevel="1">
      <c r="A112" s="237"/>
      <c r="B112" s="236"/>
      <c r="C112" s="369" t="s">
        <v>359</v>
      </c>
      <c r="D112" s="16" t="s">
        <v>12</v>
      </c>
      <c r="E112" s="73">
        <v>0</v>
      </c>
      <c r="F112" s="74">
        <v>0</v>
      </c>
      <c r="G112" s="75">
        <v>0</v>
      </c>
      <c r="H112" s="82">
        <v>0</v>
      </c>
      <c r="I112" s="18">
        <v>0</v>
      </c>
      <c r="J112" s="83">
        <v>0</v>
      </c>
      <c r="K112" s="93"/>
      <c r="L112" s="82">
        <v>0</v>
      </c>
      <c r="M112" s="612">
        <v>0</v>
      </c>
      <c r="N112" s="612">
        <v>0</v>
      </c>
      <c r="O112" s="83">
        <v>0</v>
      </c>
    </row>
    <row r="113" spans="1:17" s="4" customFormat="1">
      <c r="A113" s="237"/>
      <c r="B113" s="236"/>
      <c r="C113" s="582"/>
      <c r="D113" s="582"/>
      <c r="E113" s="73"/>
      <c r="F113" s="74"/>
      <c r="G113" s="75"/>
      <c r="H113" s="82"/>
      <c r="I113" s="18"/>
      <c r="J113" s="83"/>
      <c r="K113" s="93"/>
      <c r="L113" s="82"/>
      <c r="M113" s="612"/>
      <c r="N113" s="612"/>
      <c r="O113" s="83"/>
    </row>
    <row r="114" spans="1:17" s="4" customFormat="1">
      <c r="A114" s="357" t="s">
        <v>39</v>
      </c>
      <c r="B114" s="358" t="s">
        <v>234</v>
      </c>
      <c r="C114" s="20" t="s">
        <v>39</v>
      </c>
      <c r="D114" s="61" t="s">
        <v>14</v>
      </c>
      <c r="E114" s="73">
        <v>0</v>
      </c>
      <c r="F114" s="74">
        <v>0</v>
      </c>
      <c r="G114" s="75">
        <v>0</v>
      </c>
      <c r="H114" s="82">
        <v>0</v>
      </c>
      <c r="I114" s="18">
        <v>0</v>
      </c>
      <c r="J114" s="83">
        <v>0</v>
      </c>
      <c r="K114" s="93"/>
      <c r="L114" s="82">
        <v>0</v>
      </c>
      <c r="M114" s="612">
        <v>0</v>
      </c>
      <c r="N114" s="612">
        <v>0</v>
      </c>
      <c r="O114" s="83">
        <v>0</v>
      </c>
      <c r="Q114" s="239"/>
    </row>
    <row r="115" spans="1:17" s="4" customFormat="1">
      <c r="A115" s="357" t="s">
        <v>39</v>
      </c>
      <c r="B115" s="358" t="s">
        <v>58</v>
      </c>
      <c r="C115" s="20" t="s">
        <v>39</v>
      </c>
      <c r="D115" s="61" t="s">
        <v>15</v>
      </c>
      <c r="E115" s="73">
        <v>0</v>
      </c>
      <c r="F115" s="74">
        <v>0</v>
      </c>
      <c r="G115" s="75">
        <v>0</v>
      </c>
      <c r="H115" s="82">
        <v>0</v>
      </c>
      <c r="I115" s="18">
        <v>0</v>
      </c>
      <c r="J115" s="83">
        <v>0</v>
      </c>
      <c r="K115" s="93"/>
      <c r="L115" s="82">
        <v>0</v>
      </c>
      <c r="M115" s="612">
        <v>0</v>
      </c>
      <c r="N115" s="612">
        <v>0</v>
      </c>
      <c r="O115" s="83">
        <v>0</v>
      </c>
    </row>
    <row r="116" spans="1:17" outlineLevel="1">
      <c r="A116" s="357" t="s">
        <v>39</v>
      </c>
      <c r="B116" s="425" t="s">
        <v>17</v>
      </c>
      <c r="C116" s="23" t="s">
        <v>39</v>
      </c>
      <c r="D116" s="581"/>
      <c r="E116" s="76"/>
      <c r="F116" s="7"/>
      <c r="G116" s="77"/>
      <c r="H116" s="84"/>
      <c r="I116" s="5"/>
      <c r="J116" s="85"/>
      <c r="K116" s="94"/>
      <c r="L116" s="84"/>
      <c r="M116" s="614"/>
      <c r="N116" s="614"/>
      <c r="O116" s="85"/>
    </row>
    <row r="117" spans="1:17" outlineLevel="1">
      <c r="A117" s="357" t="s">
        <v>39</v>
      </c>
      <c r="B117" s="425" t="s">
        <v>17</v>
      </c>
      <c r="C117" s="23" t="s">
        <v>39</v>
      </c>
      <c r="D117" s="581"/>
      <c r="E117" s="76"/>
      <c r="F117" s="7"/>
      <c r="G117" s="77"/>
      <c r="H117" s="84"/>
      <c r="I117" s="5"/>
      <c r="J117" s="85"/>
      <c r="K117" s="94"/>
      <c r="L117" s="84"/>
      <c r="M117" s="614"/>
      <c r="N117" s="614"/>
      <c r="O117" s="85"/>
    </row>
    <row r="118" spans="1:17" outlineLevel="1">
      <c r="A118" s="357" t="s">
        <v>39</v>
      </c>
      <c r="B118" s="425" t="s">
        <v>18</v>
      </c>
      <c r="C118" s="23" t="s">
        <v>39</v>
      </c>
      <c r="D118" s="581"/>
      <c r="E118" s="76"/>
      <c r="F118" s="7"/>
      <c r="G118" s="77"/>
      <c r="H118" s="84"/>
      <c r="I118" s="5"/>
      <c r="J118" s="85"/>
      <c r="K118" s="94"/>
      <c r="L118" s="84"/>
      <c r="M118" s="614"/>
      <c r="N118" s="614"/>
      <c r="O118" s="85"/>
    </row>
    <row r="119" spans="1:17" outlineLevel="1">
      <c r="A119" s="357" t="s">
        <v>39</v>
      </c>
      <c r="B119" s="425" t="s">
        <v>18</v>
      </c>
      <c r="C119" s="23" t="s">
        <v>39</v>
      </c>
      <c r="D119" s="581"/>
      <c r="E119" s="76"/>
      <c r="F119" s="7"/>
      <c r="G119" s="77"/>
      <c r="H119" s="84"/>
      <c r="I119" s="5"/>
      <c r="J119" s="85"/>
      <c r="K119" s="94"/>
      <c r="L119" s="84"/>
      <c r="M119" s="614"/>
      <c r="N119" s="614"/>
      <c r="O119" s="85"/>
    </row>
    <row r="120" spans="1:17" outlineLevel="1">
      <c r="A120" s="357" t="s">
        <v>39</v>
      </c>
      <c r="B120" s="425" t="s">
        <v>19</v>
      </c>
      <c r="C120" s="23" t="s">
        <v>39</v>
      </c>
      <c r="D120" s="581"/>
      <c r="E120" s="76"/>
      <c r="F120" s="7"/>
      <c r="G120" s="77"/>
      <c r="H120" s="84"/>
      <c r="I120" s="5"/>
      <c r="J120" s="85"/>
      <c r="K120" s="94"/>
      <c r="L120" s="84"/>
      <c r="M120" s="614"/>
      <c r="N120" s="614"/>
      <c r="O120" s="85"/>
    </row>
    <row r="121" spans="1:17" outlineLevel="1">
      <c r="A121" s="357" t="s">
        <v>39</v>
      </c>
      <c r="B121" s="425" t="s">
        <v>19</v>
      </c>
      <c r="C121" s="23" t="s">
        <v>39</v>
      </c>
      <c r="D121" s="581"/>
      <c r="E121" s="76"/>
      <c r="F121" s="7"/>
      <c r="G121" s="77"/>
      <c r="H121" s="84"/>
      <c r="I121" s="5"/>
      <c r="J121" s="85"/>
      <c r="K121" s="94"/>
      <c r="L121" s="84"/>
      <c r="M121" s="614"/>
      <c r="N121" s="614"/>
      <c r="O121" s="85"/>
    </row>
    <row r="122" spans="1:17" outlineLevel="1">
      <c r="A122" s="357" t="s">
        <v>39</v>
      </c>
      <c r="B122" s="425" t="s">
        <v>19</v>
      </c>
      <c r="C122" s="23" t="s">
        <v>39</v>
      </c>
      <c r="D122" s="581"/>
      <c r="E122" s="76"/>
      <c r="F122" s="7"/>
      <c r="G122" s="77"/>
      <c r="H122" s="84"/>
      <c r="I122" s="5"/>
      <c r="J122" s="85"/>
      <c r="K122" s="94"/>
      <c r="L122" s="84"/>
      <c r="M122" s="614"/>
      <c r="N122" s="614"/>
      <c r="O122" s="85"/>
    </row>
    <row r="123" spans="1:17" outlineLevel="1">
      <c r="A123" s="357" t="s">
        <v>39</v>
      </c>
      <c r="B123" s="425" t="s">
        <v>19</v>
      </c>
      <c r="C123" s="23" t="s">
        <v>39</v>
      </c>
      <c r="D123" s="581"/>
      <c r="E123" s="76"/>
      <c r="F123" s="7"/>
      <c r="G123" s="77"/>
      <c r="H123" s="84"/>
      <c r="I123" s="5"/>
      <c r="J123" s="85"/>
      <c r="K123" s="94"/>
      <c r="L123" s="84"/>
      <c r="M123" s="614"/>
      <c r="N123" s="614"/>
      <c r="O123" s="85"/>
    </row>
    <row r="124" spans="1:17" outlineLevel="1">
      <c r="A124" s="357" t="s">
        <v>39</v>
      </c>
      <c r="B124" s="425" t="s">
        <v>19</v>
      </c>
      <c r="C124" s="23" t="s">
        <v>39</v>
      </c>
      <c r="D124" s="581"/>
      <c r="E124" s="76"/>
      <c r="F124" s="7"/>
      <c r="G124" s="77"/>
      <c r="H124" s="84"/>
      <c r="I124" s="5"/>
      <c r="J124" s="85"/>
      <c r="K124" s="94"/>
      <c r="L124" s="84"/>
      <c r="M124" s="614"/>
      <c r="N124" s="614"/>
      <c r="O124" s="85"/>
    </row>
    <row r="125" spans="1:17" outlineLevel="1">
      <c r="A125" s="357" t="s">
        <v>39</v>
      </c>
      <c r="B125" s="425" t="s">
        <v>77</v>
      </c>
      <c r="C125" s="23" t="s">
        <v>39</v>
      </c>
      <c r="D125" s="581"/>
      <c r="E125" s="76"/>
      <c r="F125" s="7"/>
      <c r="G125" s="77"/>
      <c r="H125" s="84"/>
      <c r="I125" s="5"/>
      <c r="J125" s="85"/>
      <c r="K125" s="94"/>
      <c r="L125" s="84"/>
      <c r="M125" s="614"/>
      <c r="N125" s="614"/>
      <c r="O125" s="85"/>
    </row>
    <row r="126" spans="1:17" outlineLevel="1">
      <c r="A126" s="357" t="s">
        <v>39</v>
      </c>
      <c r="B126" s="425" t="s">
        <v>77</v>
      </c>
      <c r="C126" s="23" t="s">
        <v>39</v>
      </c>
      <c r="D126" s="581"/>
      <c r="E126" s="76"/>
      <c r="F126" s="7"/>
      <c r="G126" s="77"/>
      <c r="H126" s="84"/>
      <c r="I126" s="5"/>
      <c r="J126" s="85"/>
      <c r="K126" s="94"/>
      <c r="L126" s="84"/>
      <c r="M126" s="614"/>
      <c r="N126" s="614"/>
      <c r="O126" s="85"/>
    </row>
    <row r="127" spans="1:17" outlineLevel="1">
      <c r="A127" s="357" t="s">
        <v>39</v>
      </c>
      <c r="B127" s="425" t="s">
        <v>78</v>
      </c>
      <c r="C127" s="23" t="s">
        <v>39</v>
      </c>
      <c r="D127" s="581"/>
      <c r="E127" s="76"/>
      <c r="F127" s="7"/>
      <c r="G127" s="77"/>
      <c r="H127" s="84"/>
      <c r="I127" s="5"/>
      <c r="J127" s="85"/>
      <c r="K127" s="94"/>
      <c r="L127" s="84"/>
      <c r="M127" s="614"/>
      <c r="N127" s="614"/>
      <c r="O127" s="85"/>
    </row>
    <row r="128" spans="1:17" outlineLevel="1">
      <c r="A128" s="357" t="s">
        <v>39</v>
      </c>
      <c r="B128" s="425" t="s">
        <v>78</v>
      </c>
      <c r="C128" s="23" t="s">
        <v>39</v>
      </c>
      <c r="D128" s="581"/>
      <c r="E128" s="76"/>
      <c r="F128" s="7"/>
      <c r="G128" s="77"/>
      <c r="H128" s="84"/>
      <c r="I128" s="5"/>
      <c r="J128" s="85"/>
      <c r="K128" s="94"/>
      <c r="L128" s="84"/>
      <c r="M128" s="614"/>
      <c r="N128" s="614"/>
      <c r="O128" s="85"/>
    </row>
    <row r="129" spans="1:15" outlineLevel="1">
      <c r="A129" s="357" t="s">
        <v>39</v>
      </c>
      <c r="B129" s="425" t="s">
        <v>78</v>
      </c>
      <c r="C129" s="23" t="s">
        <v>39</v>
      </c>
      <c r="D129" s="581"/>
      <c r="E129" s="76"/>
      <c r="F129" s="7"/>
      <c r="G129" s="77"/>
      <c r="H129" s="84"/>
      <c r="I129" s="5"/>
      <c r="J129" s="85"/>
      <c r="K129" s="94"/>
      <c r="L129" s="84"/>
      <c r="M129" s="614"/>
      <c r="N129" s="614"/>
      <c r="O129" s="85"/>
    </row>
    <row r="130" spans="1:15" outlineLevel="1">
      <c r="A130" s="357" t="s">
        <v>39</v>
      </c>
      <c r="B130" s="425" t="s">
        <v>78</v>
      </c>
      <c r="C130" s="23" t="s">
        <v>39</v>
      </c>
      <c r="D130" s="581"/>
      <c r="E130" s="76"/>
      <c r="F130" s="7"/>
      <c r="G130" s="77"/>
      <c r="H130" s="84"/>
      <c r="I130" s="5"/>
      <c r="J130" s="85"/>
      <c r="K130" s="94"/>
      <c r="L130" s="84"/>
      <c r="M130" s="614"/>
      <c r="N130" s="614"/>
      <c r="O130" s="85"/>
    </row>
    <row r="131" spans="1:15" outlineLevel="1">
      <c r="A131" s="357" t="s">
        <v>39</v>
      </c>
      <c r="B131" s="425" t="s">
        <v>393</v>
      </c>
      <c r="C131" s="23" t="s">
        <v>39</v>
      </c>
      <c r="D131" s="581"/>
      <c r="E131" s="76"/>
      <c r="F131" s="7"/>
      <c r="G131" s="77"/>
      <c r="H131" s="84"/>
      <c r="I131" s="5"/>
      <c r="J131" s="85"/>
      <c r="K131" s="94"/>
      <c r="L131" s="84"/>
      <c r="M131" s="614"/>
      <c r="N131" s="614"/>
      <c r="O131" s="85"/>
    </row>
    <row r="132" spans="1:15" outlineLevel="1">
      <c r="A132" s="357" t="s">
        <v>39</v>
      </c>
      <c r="B132" s="425" t="s">
        <v>393</v>
      </c>
      <c r="C132" s="23" t="s">
        <v>39</v>
      </c>
      <c r="D132" s="581"/>
      <c r="E132" s="76"/>
      <c r="F132" s="7"/>
      <c r="G132" s="77"/>
      <c r="H132" s="84"/>
      <c r="I132" s="5"/>
      <c r="J132" s="85"/>
      <c r="K132" s="94"/>
      <c r="L132" s="84"/>
      <c r="M132" s="614"/>
      <c r="N132" s="614"/>
      <c r="O132" s="85"/>
    </row>
    <row r="133" spans="1:15" outlineLevel="1">
      <c r="A133" s="357" t="s">
        <v>39</v>
      </c>
      <c r="B133" s="425" t="s">
        <v>393</v>
      </c>
      <c r="C133" s="23" t="s">
        <v>39</v>
      </c>
      <c r="D133" s="581"/>
      <c r="E133" s="76"/>
      <c r="F133" s="7"/>
      <c r="G133" s="77"/>
      <c r="H133" s="84"/>
      <c r="I133" s="5"/>
      <c r="J133" s="85"/>
      <c r="K133" s="94"/>
      <c r="L133" s="84"/>
      <c r="M133" s="614"/>
      <c r="N133" s="614"/>
      <c r="O133" s="85"/>
    </row>
    <row r="134" spans="1:15" outlineLevel="1">
      <c r="A134" s="357" t="s">
        <v>39</v>
      </c>
      <c r="B134" s="425" t="s">
        <v>80</v>
      </c>
      <c r="C134" s="23" t="s">
        <v>39</v>
      </c>
      <c r="D134" s="581"/>
      <c r="E134" s="76"/>
      <c r="F134" s="7"/>
      <c r="G134" s="77"/>
      <c r="H134" s="84"/>
      <c r="I134" s="5"/>
      <c r="J134" s="85"/>
      <c r="K134" s="94"/>
      <c r="L134" s="84"/>
      <c r="M134" s="614"/>
      <c r="N134" s="614"/>
      <c r="O134" s="85"/>
    </row>
    <row r="135" spans="1:15" outlineLevel="1">
      <c r="A135" s="357" t="s">
        <v>39</v>
      </c>
      <c r="B135" s="358" t="s">
        <v>104</v>
      </c>
      <c r="C135" s="23" t="s">
        <v>39</v>
      </c>
      <c r="D135" s="64" t="s">
        <v>405</v>
      </c>
      <c r="E135" s="76">
        <v>0</v>
      </c>
      <c r="F135" s="7">
        <v>0</v>
      </c>
      <c r="G135" s="77">
        <v>0</v>
      </c>
      <c r="H135" s="84">
        <v>0</v>
      </c>
      <c r="I135" s="5">
        <v>0</v>
      </c>
      <c r="J135" s="85">
        <v>0</v>
      </c>
      <c r="K135" s="94"/>
      <c r="L135" s="84">
        <v>0</v>
      </c>
      <c r="M135" s="614">
        <v>0</v>
      </c>
      <c r="N135" s="614">
        <v>0</v>
      </c>
      <c r="O135" s="85">
        <v>0</v>
      </c>
    </row>
    <row r="136" spans="1:15" outlineLevel="1">
      <c r="A136" s="357" t="s">
        <v>39</v>
      </c>
      <c r="B136" s="358" t="s">
        <v>105</v>
      </c>
      <c r="C136" s="23" t="s">
        <v>39</v>
      </c>
      <c r="D136" s="65" t="s">
        <v>25</v>
      </c>
      <c r="E136" s="76">
        <v>0</v>
      </c>
      <c r="F136" s="7">
        <v>0</v>
      </c>
      <c r="G136" s="77">
        <v>0</v>
      </c>
      <c r="H136" s="84">
        <v>0</v>
      </c>
      <c r="I136" s="5">
        <v>0</v>
      </c>
      <c r="J136" s="85">
        <v>0</v>
      </c>
      <c r="K136" s="94"/>
      <c r="L136" s="84">
        <v>0</v>
      </c>
      <c r="M136" s="614">
        <v>0</v>
      </c>
      <c r="N136" s="614">
        <v>0</v>
      </c>
      <c r="O136" s="85">
        <v>0</v>
      </c>
    </row>
    <row r="137" spans="1:15" s="4" customFormat="1">
      <c r="A137" s="357" t="s">
        <v>39</v>
      </c>
      <c r="B137" s="358" t="s">
        <v>26</v>
      </c>
      <c r="C137" s="20" t="s">
        <v>39</v>
      </c>
      <c r="D137" s="61" t="s">
        <v>26</v>
      </c>
      <c r="E137" s="73">
        <v>0</v>
      </c>
      <c r="F137" s="74">
        <v>0</v>
      </c>
      <c r="G137" s="75">
        <v>0</v>
      </c>
      <c r="H137" s="82">
        <v>0</v>
      </c>
      <c r="I137" s="18">
        <v>0</v>
      </c>
      <c r="J137" s="83">
        <v>0</v>
      </c>
      <c r="K137" s="93"/>
      <c r="L137" s="82">
        <v>0</v>
      </c>
      <c r="M137" s="612">
        <v>0</v>
      </c>
      <c r="N137" s="612">
        <v>0</v>
      </c>
      <c r="O137" s="83">
        <v>0</v>
      </c>
    </row>
    <row r="138" spans="1:15" outlineLevel="1">
      <c r="A138" s="357" t="s">
        <v>39</v>
      </c>
      <c r="B138" s="358" t="s">
        <v>235</v>
      </c>
      <c r="C138" s="23" t="s">
        <v>39</v>
      </c>
      <c r="D138" s="65" t="s">
        <v>28</v>
      </c>
      <c r="E138" s="76">
        <v>0</v>
      </c>
      <c r="F138" s="7">
        <v>0</v>
      </c>
      <c r="G138" s="77">
        <v>0</v>
      </c>
      <c r="H138" s="84">
        <v>0</v>
      </c>
      <c r="I138" s="5">
        <v>0</v>
      </c>
      <c r="J138" s="85">
        <v>0</v>
      </c>
      <c r="K138" s="94"/>
      <c r="L138" s="84">
        <v>0</v>
      </c>
      <c r="M138" s="614">
        <v>0</v>
      </c>
      <c r="N138" s="614">
        <v>0</v>
      </c>
      <c r="O138" s="85">
        <v>0</v>
      </c>
    </row>
    <row r="139" spans="1:15" outlineLevel="1">
      <c r="A139" s="357" t="s">
        <v>39</v>
      </c>
      <c r="B139" s="358" t="s">
        <v>106</v>
      </c>
      <c r="C139" s="23" t="s">
        <v>39</v>
      </c>
      <c r="D139" s="65" t="s">
        <v>27</v>
      </c>
      <c r="E139" s="76">
        <v>0</v>
      </c>
      <c r="F139" s="7">
        <v>0</v>
      </c>
      <c r="G139" s="77">
        <v>0</v>
      </c>
      <c r="H139" s="84">
        <v>0</v>
      </c>
      <c r="I139" s="5">
        <v>0</v>
      </c>
      <c r="J139" s="85">
        <v>0</v>
      </c>
      <c r="K139" s="94"/>
      <c r="L139" s="84">
        <v>0</v>
      </c>
      <c r="M139" s="614">
        <v>0</v>
      </c>
      <c r="N139" s="614">
        <v>0</v>
      </c>
      <c r="O139" s="85">
        <v>0</v>
      </c>
    </row>
    <row r="140" spans="1:15" outlineLevel="1">
      <c r="A140" s="357" t="s">
        <v>39</v>
      </c>
      <c r="B140" s="358" t="s">
        <v>87</v>
      </c>
      <c r="C140" s="23" t="s">
        <v>39</v>
      </c>
      <c r="D140" s="65" t="s">
        <v>30</v>
      </c>
      <c r="E140" s="76">
        <v>0</v>
      </c>
      <c r="F140" s="7">
        <v>0</v>
      </c>
      <c r="G140" s="77">
        <v>0</v>
      </c>
      <c r="H140" s="84">
        <v>0</v>
      </c>
      <c r="I140" s="5">
        <v>0</v>
      </c>
      <c r="J140" s="85">
        <v>0</v>
      </c>
      <c r="K140" s="94"/>
      <c r="L140" s="84">
        <v>0</v>
      </c>
      <c r="M140" s="614">
        <v>0</v>
      </c>
      <c r="N140" s="614">
        <v>0</v>
      </c>
      <c r="O140" s="85">
        <v>0</v>
      </c>
    </row>
    <row r="141" spans="1:15" outlineLevel="1">
      <c r="A141" s="357" t="s">
        <v>39</v>
      </c>
      <c r="B141" s="358" t="s">
        <v>107</v>
      </c>
      <c r="C141" s="23" t="s">
        <v>39</v>
      </c>
      <c r="D141" s="65" t="s">
        <v>29</v>
      </c>
      <c r="E141" s="76">
        <v>0</v>
      </c>
      <c r="F141" s="7">
        <v>0</v>
      </c>
      <c r="G141" s="77">
        <v>0</v>
      </c>
      <c r="H141" s="84">
        <v>0</v>
      </c>
      <c r="I141" s="5">
        <v>0</v>
      </c>
      <c r="J141" s="85">
        <v>0</v>
      </c>
      <c r="K141" s="94"/>
      <c r="L141" s="84">
        <v>0</v>
      </c>
      <c r="M141" s="614">
        <v>0</v>
      </c>
      <c r="N141" s="614">
        <v>0</v>
      </c>
      <c r="O141" s="85">
        <v>0</v>
      </c>
    </row>
    <row r="142" spans="1:15" outlineLevel="1">
      <c r="A142" s="357" t="s">
        <v>39</v>
      </c>
      <c r="B142" s="358" t="s">
        <v>236</v>
      </c>
      <c r="C142" s="23" t="s">
        <v>39</v>
      </c>
      <c r="D142" s="65" t="s">
        <v>31</v>
      </c>
      <c r="E142" s="76">
        <v>0</v>
      </c>
      <c r="F142" s="7">
        <v>0</v>
      </c>
      <c r="G142" s="77">
        <v>0</v>
      </c>
      <c r="H142" s="84">
        <v>0</v>
      </c>
      <c r="I142" s="5">
        <v>0</v>
      </c>
      <c r="J142" s="85">
        <v>0</v>
      </c>
      <c r="K142" s="94"/>
      <c r="L142" s="84">
        <v>0</v>
      </c>
      <c r="M142" s="614">
        <v>0</v>
      </c>
      <c r="N142" s="614">
        <v>0</v>
      </c>
      <c r="O142" s="85">
        <v>0</v>
      </c>
    </row>
    <row r="143" spans="1:15" outlineLevel="1">
      <c r="A143" s="357" t="s">
        <v>39</v>
      </c>
      <c r="B143" s="358" t="s">
        <v>237</v>
      </c>
      <c r="C143" s="23" t="s">
        <v>39</v>
      </c>
      <c r="D143" s="65" t="s">
        <v>394</v>
      </c>
      <c r="E143" s="76">
        <v>0</v>
      </c>
      <c r="F143" s="7">
        <v>0</v>
      </c>
      <c r="G143" s="77">
        <v>0</v>
      </c>
      <c r="H143" s="84">
        <v>0</v>
      </c>
      <c r="I143" s="5">
        <v>0</v>
      </c>
      <c r="J143" s="85">
        <v>0</v>
      </c>
      <c r="K143" s="94"/>
      <c r="L143" s="84">
        <v>0</v>
      </c>
      <c r="M143" s="614">
        <v>0</v>
      </c>
      <c r="N143" s="614">
        <v>0</v>
      </c>
      <c r="O143" s="85">
        <v>0</v>
      </c>
    </row>
    <row r="144" spans="1:15" outlineLevel="1">
      <c r="A144" s="357" t="s">
        <v>39</v>
      </c>
      <c r="B144" s="358" t="s">
        <v>163</v>
      </c>
      <c r="C144" s="23" t="s">
        <v>39</v>
      </c>
      <c r="D144" s="65" t="s">
        <v>403</v>
      </c>
      <c r="E144" s="76">
        <v>0</v>
      </c>
      <c r="F144" s="7">
        <v>0</v>
      </c>
      <c r="G144" s="77">
        <v>0</v>
      </c>
      <c r="H144" s="84">
        <v>0</v>
      </c>
      <c r="I144" s="5">
        <v>0</v>
      </c>
      <c r="J144" s="85">
        <v>0</v>
      </c>
      <c r="K144" s="94"/>
      <c r="L144" s="84">
        <v>0</v>
      </c>
      <c r="M144" s="614">
        <v>0</v>
      </c>
      <c r="N144" s="614">
        <v>0</v>
      </c>
      <c r="O144" s="85">
        <v>0</v>
      </c>
    </row>
    <row r="145" spans="1:15" outlineLevel="1">
      <c r="A145" s="357" t="s">
        <v>39</v>
      </c>
      <c r="B145" s="358" t="s">
        <v>404</v>
      </c>
      <c r="C145" s="23" t="s">
        <v>39</v>
      </c>
      <c r="D145" s="65" t="s">
        <v>395</v>
      </c>
      <c r="E145" s="76">
        <v>0</v>
      </c>
      <c r="F145" s="7">
        <v>0</v>
      </c>
      <c r="G145" s="77">
        <v>0</v>
      </c>
      <c r="H145" s="84">
        <v>0</v>
      </c>
      <c r="I145" s="5">
        <v>0</v>
      </c>
      <c r="J145" s="85">
        <v>0</v>
      </c>
      <c r="K145" s="94"/>
      <c r="L145" s="84">
        <v>0</v>
      </c>
      <c r="M145" s="614">
        <v>0</v>
      </c>
      <c r="N145" s="614">
        <v>0</v>
      </c>
      <c r="O145" s="85">
        <v>0</v>
      </c>
    </row>
    <row r="146" spans="1:15" s="4" customFormat="1">
      <c r="A146" s="357" t="s">
        <v>39</v>
      </c>
      <c r="B146" s="358" t="s">
        <v>59</v>
      </c>
      <c r="C146" s="20" t="s">
        <v>39</v>
      </c>
      <c r="D146" s="61" t="s">
        <v>33</v>
      </c>
      <c r="E146" s="73">
        <v>0</v>
      </c>
      <c r="F146" s="74">
        <v>0</v>
      </c>
      <c r="G146" s="75">
        <v>0</v>
      </c>
      <c r="H146" s="82">
        <v>0</v>
      </c>
      <c r="I146" s="18">
        <v>0</v>
      </c>
      <c r="J146" s="83">
        <v>0</v>
      </c>
      <c r="K146" s="93"/>
      <c r="L146" s="82">
        <v>0</v>
      </c>
      <c r="M146" s="612">
        <v>0</v>
      </c>
      <c r="N146" s="612">
        <v>0</v>
      </c>
      <c r="O146" s="83">
        <v>0</v>
      </c>
    </row>
    <row r="147" spans="1:15" s="4" customFormat="1">
      <c r="A147" s="357" t="s">
        <v>39</v>
      </c>
      <c r="B147" s="358" t="s">
        <v>34</v>
      </c>
      <c r="C147" s="20" t="s">
        <v>39</v>
      </c>
      <c r="D147" s="61" t="s">
        <v>34</v>
      </c>
      <c r="E147" s="73">
        <v>0</v>
      </c>
      <c r="F147" s="74">
        <v>0</v>
      </c>
      <c r="G147" s="75">
        <v>0</v>
      </c>
      <c r="H147" s="82">
        <v>0</v>
      </c>
      <c r="I147" s="18">
        <v>0</v>
      </c>
      <c r="J147" s="83">
        <v>0</v>
      </c>
      <c r="K147" s="93"/>
      <c r="L147" s="82">
        <v>0</v>
      </c>
      <c r="M147" s="612">
        <v>0</v>
      </c>
      <c r="N147" s="612">
        <v>0</v>
      </c>
      <c r="O147" s="83">
        <v>0</v>
      </c>
    </row>
    <row r="148" spans="1:15" outlineLevel="1">
      <c r="A148" s="357" t="s">
        <v>39</v>
      </c>
      <c r="B148" s="358" t="s">
        <v>399</v>
      </c>
      <c r="C148" s="23" t="s">
        <v>39</v>
      </c>
      <c r="D148" s="65" t="s">
        <v>296</v>
      </c>
      <c r="E148" s="76">
        <v>0</v>
      </c>
      <c r="F148" s="7">
        <v>0</v>
      </c>
      <c r="G148" s="77">
        <v>0</v>
      </c>
      <c r="H148" s="84">
        <v>0</v>
      </c>
      <c r="I148" s="5">
        <v>0</v>
      </c>
      <c r="J148" s="85">
        <v>0</v>
      </c>
      <c r="K148" s="94"/>
      <c r="L148" s="84">
        <v>0</v>
      </c>
      <c r="M148" s="614">
        <v>0</v>
      </c>
      <c r="N148" s="614">
        <v>0</v>
      </c>
      <c r="O148" s="85">
        <v>0</v>
      </c>
    </row>
    <row r="149" spans="1:15" outlineLevel="1">
      <c r="A149" s="357" t="s">
        <v>39</v>
      </c>
      <c r="B149" s="358" t="s">
        <v>400</v>
      </c>
      <c r="C149" s="23" t="s">
        <v>39</v>
      </c>
      <c r="D149" s="65" t="s">
        <v>396</v>
      </c>
      <c r="E149" s="76">
        <v>0</v>
      </c>
      <c r="F149" s="7">
        <v>0</v>
      </c>
      <c r="G149" s="77">
        <v>0</v>
      </c>
      <c r="H149" s="84">
        <v>0</v>
      </c>
      <c r="I149" s="5">
        <v>0</v>
      </c>
      <c r="J149" s="85">
        <v>0</v>
      </c>
      <c r="K149" s="94"/>
      <c r="L149" s="84">
        <v>0</v>
      </c>
      <c r="M149" s="614">
        <v>0</v>
      </c>
      <c r="N149" s="614">
        <v>0</v>
      </c>
      <c r="O149" s="85">
        <v>0</v>
      </c>
    </row>
    <row r="150" spans="1:15" outlineLevel="1">
      <c r="A150" s="357" t="s">
        <v>39</v>
      </c>
      <c r="B150" s="358" t="s">
        <v>401</v>
      </c>
      <c r="C150" s="23" t="s">
        <v>39</v>
      </c>
      <c r="D150" s="65" t="s">
        <v>397</v>
      </c>
      <c r="E150" s="76">
        <v>0</v>
      </c>
      <c r="F150" s="7">
        <v>0</v>
      </c>
      <c r="G150" s="77">
        <v>0</v>
      </c>
      <c r="H150" s="84">
        <v>0</v>
      </c>
      <c r="I150" s="5">
        <v>0</v>
      </c>
      <c r="J150" s="85">
        <v>0</v>
      </c>
      <c r="K150" s="94"/>
      <c r="L150" s="84">
        <v>0</v>
      </c>
      <c r="M150" s="614">
        <v>0</v>
      </c>
      <c r="N150" s="614">
        <v>0</v>
      </c>
      <c r="O150" s="85">
        <v>0</v>
      </c>
    </row>
    <row r="151" spans="1:15" outlineLevel="1">
      <c r="A151" s="357" t="s">
        <v>39</v>
      </c>
      <c r="B151" s="358" t="s">
        <v>93</v>
      </c>
      <c r="C151" s="23" t="s">
        <v>39</v>
      </c>
      <c r="D151" s="65" t="s">
        <v>35</v>
      </c>
      <c r="E151" s="76">
        <v>0</v>
      </c>
      <c r="F151" s="7">
        <v>0</v>
      </c>
      <c r="G151" s="77">
        <v>0</v>
      </c>
      <c r="H151" s="84">
        <v>0</v>
      </c>
      <c r="I151" s="5">
        <v>0</v>
      </c>
      <c r="J151" s="85">
        <v>0</v>
      </c>
      <c r="K151" s="94"/>
      <c r="L151" s="84">
        <v>0</v>
      </c>
      <c r="M151" s="614">
        <v>0</v>
      </c>
      <c r="N151" s="614">
        <v>0</v>
      </c>
      <c r="O151" s="85">
        <v>0</v>
      </c>
    </row>
    <row r="152" spans="1:15" outlineLevel="1">
      <c r="A152" s="357" t="s">
        <v>39</v>
      </c>
      <c r="B152" s="358" t="s">
        <v>238</v>
      </c>
      <c r="C152" s="23" t="s">
        <v>39</v>
      </c>
      <c r="D152" s="65" t="s">
        <v>36</v>
      </c>
      <c r="E152" s="76">
        <v>0</v>
      </c>
      <c r="F152" s="7">
        <v>0</v>
      </c>
      <c r="G152" s="77">
        <v>0</v>
      </c>
      <c r="H152" s="84">
        <v>0</v>
      </c>
      <c r="I152" s="5">
        <v>0</v>
      </c>
      <c r="J152" s="85">
        <v>0</v>
      </c>
      <c r="K152" s="94"/>
      <c r="L152" s="84">
        <v>0</v>
      </c>
      <c r="M152" s="614">
        <v>0</v>
      </c>
      <c r="N152" s="614">
        <v>0</v>
      </c>
      <c r="O152" s="85">
        <v>0</v>
      </c>
    </row>
    <row r="153" spans="1:15" s="4" customFormat="1">
      <c r="A153" s="357" t="s">
        <v>39</v>
      </c>
      <c r="B153" s="358" t="s">
        <v>402</v>
      </c>
      <c r="C153" s="23" t="s">
        <v>39</v>
      </c>
      <c r="D153" s="65" t="s">
        <v>398</v>
      </c>
      <c r="E153" s="73">
        <v>0</v>
      </c>
      <c r="F153" s="74">
        <v>0</v>
      </c>
      <c r="G153" s="75">
        <v>0</v>
      </c>
      <c r="H153" s="82">
        <v>0</v>
      </c>
      <c r="I153" s="18">
        <v>0</v>
      </c>
      <c r="J153" s="83">
        <v>0</v>
      </c>
      <c r="K153" s="93"/>
      <c r="L153" s="82">
        <v>0</v>
      </c>
      <c r="M153" s="612">
        <v>0</v>
      </c>
      <c r="N153" s="612">
        <v>0</v>
      </c>
      <c r="O153" s="83">
        <v>0</v>
      </c>
    </row>
    <row r="154" spans="1:15" s="4" customFormat="1">
      <c r="A154" s="237"/>
      <c r="B154" s="236"/>
      <c r="C154" s="582"/>
      <c r="D154" s="582"/>
      <c r="E154" s="359"/>
      <c r="F154" s="74"/>
      <c r="G154" s="75"/>
      <c r="H154" s="82"/>
      <c r="I154" s="18"/>
      <c r="J154" s="83"/>
      <c r="K154" s="93"/>
      <c r="L154" s="359"/>
      <c r="M154" s="612"/>
      <c r="N154" s="612"/>
      <c r="O154" s="83"/>
    </row>
    <row r="155" spans="1:15" s="4" customFormat="1">
      <c r="A155" s="237"/>
      <c r="B155" s="236"/>
      <c r="C155" s="582"/>
      <c r="D155" s="582"/>
      <c r="E155" s="359"/>
      <c r="F155" s="74"/>
      <c r="G155" s="75"/>
      <c r="H155" s="82"/>
      <c r="I155" s="18"/>
      <c r="J155" s="83"/>
      <c r="K155" s="93"/>
      <c r="L155" s="359"/>
      <c r="M155" s="612"/>
      <c r="N155" s="612"/>
      <c r="O155" s="83"/>
    </row>
    <row r="156" spans="1:15" s="4" customFormat="1" ht="18">
      <c r="A156" s="237"/>
      <c r="B156" s="236"/>
      <c r="C156" s="578"/>
      <c r="D156" s="582"/>
      <c r="E156" s="359"/>
      <c r="F156" s="74"/>
      <c r="G156" s="75"/>
      <c r="H156" s="82"/>
      <c r="I156" s="18"/>
      <c r="J156" s="83"/>
      <c r="K156" s="93"/>
      <c r="L156" s="359"/>
      <c r="M156" s="612"/>
      <c r="N156" s="612"/>
      <c r="O156" s="83"/>
    </row>
    <row r="157" spans="1:15" s="4" customFormat="1" ht="18">
      <c r="A157" s="237"/>
      <c r="B157" s="236"/>
      <c r="C157" s="578"/>
      <c r="D157" s="579"/>
      <c r="E157" s="359"/>
      <c r="F157" s="74"/>
      <c r="G157" s="75"/>
      <c r="H157" s="82"/>
      <c r="I157" s="18"/>
      <c r="J157" s="83"/>
      <c r="K157" s="93"/>
      <c r="L157" s="359"/>
      <c r="M157" s="612"/>
      <c r="N157" s="612"/>
      <c r="O157" s="83"/>
    </row>
    <row r="158" spans="1:15" s="4" customFormat="1" ht="18">
      <c r="A158" s="237"/>
      <c r="B158" s="236"/>
      <c r="C158" s="24" t="s">
        <v>40</v>
      </c>
      <c r="D158" s="60" t="s">
        <v>12</v>
      </c>
      <c r="E158" s="78">
        <v>256.76875552409956</v>
      </c>
      <c r="F158" s="74">
        <v>249.07663990689977</v>
      </c>
      <c r="G158" s="75">
        <v>216.87743036019964</v>
      </c>
      <c r="H158" s="82">
        <v>255.74594098409958</v>
      </c>
      <c r="I158" s="18">
        <v>248.05382536689976</v>
      </c>
      <c r="J158" s="83">
        <v>215.85461582019963</v>
      </c>
      <c r="K158" s="93"/>
      <c r="L158" s="82">
        <v>229.59643274399966</v>
      </c>
      <c r="M158" s="612">
        <v>185.9158267095994</v>
      </c>
      <c r="N158" s="612">
        <v>229.59643274399966</v>
      </c>
      <c r="O158" s="613">
        <v>0</v>
      </c>
    </row>
    <row r="159" spans="1:15" s="4" customFormat="1" ht="18">
      <c r="A159" s="237"/>
      <c r="B159" s="236"/>
      <c r="C159" s="578"/>
      <c r="D159" s="579"/>
      <c r="E159" s="73"/>
      <c r="F159" s="74"/>
      <c r="G159" s="75"/>
      <c r="H159" s="82"/>
      <c r="I159" s="18"/>
      <c r="J159" s="83"/>
      <c r="K159" s="93"/>
      <c r="L159" s="82"/>
      <c r="M159" s="612"/>
      <c r="N159" s="612"/>
      <c r="O159" s="83"/>
    </row>
    <row r="160" spans="1:15" s="4" customFormat="1">
      <c r="A160" s="237"/>
      <c r="B160" s="236"/>
      <c r="C160" s="16" t="s">
        <v>40</v>
      </c>
      <c r="D160" s="61" t="s">
        <v>14</v>
      </c>
      <c r="E160" s="73">
        <v>0</v>
      </c>
      <c r="F160" s="74">
        <v>0</v>
      </c>
      <c r="G160" s="75">
        <v>0</v>
      </c>
      <c r="H160" s="82">
        <v>0</v>
      </c>
      <c r="I160" s="18">
        <v>0</v>
      </c>
      <c r="J160" s="83">
        <v>0</v>
      </c>
      <c r="K160" s="93"/>
      <c r="L160" s="82">
        <v>0</v>
      </c>
      <c r="M160" s="612">
        <v>0</v>
      </c>
      <c r="N160" s="612">
        <v>0</v>
      </c>
      <c r="O160" s="83">
        <v>0</v>
      </c>
    </row>
    <row r="161" spans="1:15" s="4" customFormat="1">
      <c r="A161" s="237"/>
      <c r="B161" s="236"/>
      <c r="C161" s="16" t="s">
        <v>40</v>
      </c>
      <c r="D161" s="61" t="s">
        <v>15</v>
      </c>
      <c r="E161" s="73">
        <v>108.82447709600004</v>
      </c>
      <c r="F161" s="74">
        <v>108.53776295830001</v>
      </c>
      <c r="G161" s="75">
        <v>91.160530656699933</v>
      </c>
      <c r="H161" s="82">
        <v>108.82447709600004</v>
      </c>
      <c r="I161" s="18">
        <v>108.53776295830001</v>
      </c>
      <c r="J161" s="83">
        <v>91.160530656699933</v>
      </c>
      <c r="K161" s="93"/>
      <c r="L161" s="82">
        <v>68.212366335099858</v>
      </c>
      <c r="M161" s="612">
        <v>59.814479513000016</v>
      </c>
      <c r="N161" s="612">
        <v>68.212366335099858</v>
      </c>
      <c r="O161" s="83">
        <v>0</v>
      </c>
    </row>
    <row r="162" spans="1:15" outlineLevel="1">
      <c r="B162" s="236"/>
      <c r="C162" s="25" t="s">
        <v>40</v>
      </c>
      <c r="D162" s="581"/>
      <c r="E162" s="76"/>
      <c r="F162" s="7"/>
      <c r="G162" s="77"/>
      <c r="H162" s="84"/>
      <c r="I162" s="5"/>
      <c r="J162" s="85"/>
      <c r="K162" s="94"/>
      <c r="L162" s="84"/>
      <c r="M162" s="614"/>
      <c r="N162" s="614"/>
      <c r="O162" s="85"/>
    </row>
    <row r="163" spans="1:15" outlineLevel="1">
      <c r="B163" s="236"/>
      <c r="C163" s="25" t="s">
        <v>40</v>
      </c>
      <c r="D163" s="581"/>
      <c r="E163" s="76"/>
      <c r="F163" s="7"/>
      <c r="G163" s="77"/>
      <c r="H163" s="84"/>
      <c r="I163" s="5"/>
      <c r="J163" s="85"/>
      <c r="K163" s="94"/>
      <c r="L163" s="84"/>
      <c r="M163" s="614"/>
      <c r="N163" s="614"/>
      <c r="O163" s="85"/>
    </row>
    <row r="164" spans="1:15" outlineLevel="1">
      <c r="B164" s="236"/>
      <c r="C164" s="25" t="s">
        <v>40</v>
      </c>
      <c r="D164" s="581"/>
      <c r="E164" s="76"/>
      <c r="F164" s="7"/>
      <c r="G164" s="77"/>
      <c r="H164" s="84"/>
      <c r="I164" s="5"/>
      <c r="J164" s="85"/>
      <c r="K164" s="94"/>
      <c r="L164" s="84"/>
      <c r="M164" s="614"/>
      <c r="N164" s="614"/>
      <c r="O164" s="85"/>
    </row>
    <row r="165" spans="1:15" outlineLevel="1">
      <c r="B165" s="236"/>
      <c r="C165" s="25" t="s">
        <v>40</v>
      </c>
      <c r="D165" s="581"/>
      <c r="E165" s="76"/>
      <c r="F165" s="7"/>
      <c r="G165" s="77"/>
      <c r="H165" s="84"/>
      <c r="I165" s="5"/>
      <c r="J165" s="85"/>
      <c r="K165" s="94"/>
      <c r="L165" s="84"/>
      <c r="M165" s="614"/>
      <c r="N165" s="614"/>
      <c r="O165" s="85"/>
    </row>
    <row r="166" spans="1:15" outlineLevel="1">
      <c r="B166" s="236"/>
      <c r="C166" s="25" t="s">
        <v>40</v>
      </c>
      <c r="D166" s="581"/>
      <c r="E166" s="76"/>
      <c r="F166" s="7"/>
      <c r="G166" s="77"/>
      <c r="H166" s="84"/>
      <c r="I166" s="5"/>
      <c r="J166" s="85"/>
      <c r="K166" s="94"/>
      <c r="L166" s="84"/>
      <c r="M166" s="614"/>
      <c r="N166" s="614"/>
      <c r="O166" s="85"/>
    </row>
    <row r="167" spans="1:15" outlineLevel="1">
      <c r="B167" s="236"/>
      <c r="C167" s="25" t="s">
        <v>40</v>
      </c>
      <c r="D167" s="581"/>
      <c r="E167" s="76"/>
      <c r="F167" s="7"/>
      <c r="G167" s="77"/>
      <c r="H167" s="84"/>
      <c r="I167" s="5"/>
      <c r="J167" s="85"/>
      <c r="K167" s="94"/>
      <c r="L167" s="84"/>
      <c r="M167" s="614"/>
      <c r="N167" s="614"/>
      <c r="O167" s="85"/>
    </row>
    <row r="168" spans="1:15" outlineLevel="1">
      <c r="B168" s="236"/>
      <c r="C168" s="25" t="s">
        <v>40</v>
      </c>
      <c r="D168" s="581"/>
      <c r="E168" s="76"/>
      <c r="F168" s="7"/>
      <c r="G168" s="77"/>
      <c r="H168" s="84"/>
      <c r="I168" s="5"/>
      <c r="J168" s="85"/>
      <c r="K168" s="94"/>
      <c r="L168" s="84"/>
      <c r="M168" s="614"/>
      <c r="N168" s="614"/>
      <c r="O168" s="85"/>
    </row>
    <row r="169" spans="1:15" outlineLevel="1">
      <c r="B169" s="236"/>
      <c r="C169" s="25" t="s">
        <v>40</v>
      </c>
      <c r="D169" s="581"/>
      <c r="E169" s="76"/>
      <c r="F169" s="7"/>
      <c r="G169" s="77"/>
      <c r="H169" s="84"/>
      <c r="I169" s="5"/>
      <c r="J169" s="85"/>
      <c r="K169" s="94"/>
      <c r="L169" s="84"/>
      <c r="M169" s="614"/>
      <c r="N169" s="614"/>
      <c r="O169" s="85"/>
    </row>
    <row r="170" spans="1:15" outlineLevel="1">
      <c r="B170" s="236"/>
      <c r="C170" s="25" t="s">
        <v>40</v>
      </c>
      <c r="D170" s="581"/>
      <c r="E170" s="76"/>
      <c r="F170" s="7"/>
      <c r="G170" s="77"/>
      <c r="H170" s="84"/>
      <c r="I170" s="5"/>
      <c r="J170" s="85"/>
      <c r="K170" s="94"/>
      <c r="L170" s="84"/>
      <c r="M170" s="614"/>
      <c r="N170" s="614"/>
      <c r="O170" s="85"/>
    </row>
    <row r="171" spans="1:15" outlineLevel="1">
      <c r="B171" s="236"/>
      <c r="C171" s="25" t="s">
        <v>40</v>
      </c>
      <c r="D171" s="581"/>
      <c r="E171" s="76"/>
      <c r="F171" s="7"/>
      <c r="G171" s="77"/>
      <c r="H171" s="84"/>
      <c r="I171" s="5"/>
      <c r="J171" s="85"/>
      <c r="K171" s="94"/>
      <c r="L171" s="84"/>
      <c r="M171" s="614"/>
      <c r="N171" s="614"/>
      <c r="O171" s="85"/>
    </row>
    <row r="172" spans="1:15" outlineLevel="1">
      <c r="B172" s="236"/>
      <c r="C172" s="25" t="s">
        <v>40</v>
      </c>
      <c r="D172" s="64" t="s">
        <v>405</v>
      </c>
      <c r="E172" s="76">
        <v>3.1425038887999994</v>
      </c>
      <c r="F172" s="7">
        <v>3.0719846218999995</v>
      </c>
      <c r="G172" s="77">
        <v>2.1019041219000005</v>
      </c>
      <c r="H172" s="84">
        <v>3.1425038887999994</v>
      </c>
      <c r="I172" s="5">
        <v>3.0719846218999995</v>
      </c>
      <c r="J172" s="85">
        <v>2.1019041219000005</v>
      </c>
      <c r="K172" s="94"/>
      <c r="L172" s="84">
        <v>3.6677370127999991</v>
      </c>
      <c r="M172" s="614">
        <v>4.3949456812000003</v>
      </c>
      <c r="N172" s="614">
        <v>3.6677370127999991</v>
      </c>
      <c r="O172" s="85">
        <v>0</v>
      </c>
    </row>
    <row r="173" spans="1:15" outlineLevel="1">
      <c r="B173" s="236"/>
      <c r="C173" s="25" t="s">
        <v>40</v>
      </c>
      <c r="D173" s="65" t="s">
        <v>25</v>
      </c>
      <c r="E173" s="76">
        <v>19.672193783499999</v>
      </c>
      <c r="F173" s="7">
        <v>19.485157711599999</v>
      </c>
      <c r="G173" s="77">
        <v>19.615912399699994</v>
      </c>
      <c r="H173" s="84">
        <v>19.672193783499999</v>
      </c>
      <c r="I173" s="5">
        <v>19.485157711599999</v>
      </c>
      <c r="J173" s="85">
        <v>19.615912399699994</v>
      </c>
      <c r="K173" s="94"/>
      <c r="L173" s="84">
        <v>23.527661966399993</v>
      </c>
      <c r="M173" s="614">
        <v>19.973531013400009</v>
      </c>
      <c r="N173" s="614">
        <v>23.527661966399993</v>
      </c>
      <c r="O173" s="85">
        <v>0</v>
      </c>
    </row>
    <row r="174" spans="1:15" s="4" customFormat="1">
      <c r="A174" s="237"/>
      <c r="B174" s="236"/>
      <c r="C174" s="16" t="s">
        <v>40</v>
      </c>
      <c r="D174" s="61" t="s">
        <v>26</v>
      </c>
      <c r="E174" s="73">
        <v>94.333666898599986</v>
      </c>
      <c r="F174" s="74">
        <v>91.054012825499981</v>
      </c>
      <c r="G174" s="75">
        <v>83.553063608999963</v>
      </c>
      <c r="H174" s="82">
        <v>93.310852358599988</v>
      </c>
      <c r="I174" s="18">
        <v>90.031198285499983</v>
      </c>
      <c r="J174" s="83">
        <v>82.530249068999964</v>
      </c>
      <c r="K174" s="93"/>
      <c r="L174" s="82">
        <v>88.878907077900109</v>
      </c>
      <c r="M174" s="612">
        <v>67.289678500400029</v>
      </c>
      <c r="N174" s="612">
        <v>88.878907077900109</v>
      </c>
      <c r="O174" s="83">
        <v>0</v>
      </c>
    </row>
    <row r="175" spans="1:15" outlineLevel="1">
      <c r="B175" s="236"/>
      <c r="C175" s="25" t="s">
        <v>40</v>
      </c>
      <c r="D175" s="65" t="s">
        <v>28</v>
      </c>
      <c r="E175" s="76">
        <v>19.194249595300008</v>
      </c>
      <c r="F175" s="7">
        <v>17.973096265300008</v>
      </c>
      <c r="G175" s="77">
        <v>17.206477182800011</v>
      </c>
      <c r="H175" s="84">
        <v>19.194249595300008</v>
      </c>
      <c r="I175" s="5">
        <v>17.973096265300008</v>
      </c>
      <c r="J175" s="85">
        <v>17.206477182800011</v>
      </c>
      <c r="K175" s="94"/>
      <c r="L175" s="84">
        <v>12.945365597199999</v>
      </c>
      <c r="M175" s="614">
        <v>12.0323918134</v>
      </c>
      <c r="N175" s="614">
        <v>12.945365597199999</v>
      </c>
      <c r="O175" s="85">
        <v>0</v>
      </c>
    </row>
    <row r="176" spans="1:15" outlineLevel="1">
      <c r="B176" s="236"/>
      <c r="C176" s="25" t="s">
        <v>40</v>
      </c>
      <c r="D176" s="65" t="s">
        <v>27</v>
      </c>
      <c r="E176" s="76">
        <v>12.121116471199995</v>
      </c>
      <c r="F176" s="7">
        <v>11.809047293099997</v>
      </c>
      <c r="G176" s="77">
        <v>11.016899067799999</v>
      </c>
      <c r="H176" s="84">
        <v>11.736751471199995</v>
      </c>
      <c r="I176" s="5">
        <v>11.424682293099996</v>
      </c>
      <c r="J176" s="85">
        <v>10.632534067799998</v>
      </c>
      <c r="K176" s="94"/>
      <c r="L176" s="84">
        <v>3.6887037416000008</v>
      </c>
      <c r="M176" s="614">
        <v>2.6440478131999998</v>
      </c>
      <c r="N176" s="614">
        <v>3.6887037416000008</v>
      </c>
      <c r="O176" s="85">
        <v>0</v>
      </c>
    </row>
    <row r="177" spans="1:15" outlineLevel="1">
      <c r="B177" s="236"/>
      <c r="C177" s="25" t="s">
        <v>40</v>
      </c>
      <c r="D177" s="65" t="s">
        <v>30</v>
      </c>
      <c r="E177" s="76">
        <v>7.9623828047000007</v>
      </c>
      <c r="F177" s="7">
        <v>7.9623828047000007</v>
      </c>
      <c r="G177" s="77">
        <v>6.0376931547000003</v>
      </c>
      <c r="H177" s="84">
        <v>7.9623828047000007</v>
      </c>
      <c r="I177" s="5">
        <v>7.9623828047000007</v>
      </c>
      <c r="J177" s="85">
        <v>6.0376931547000003</v>
      </c>
      <c r="K177" s="94"/>
      <c r="L177" s="84">
        <v>10.452889223700002</v>
      </c>
      <c r="M177" s="614">
        <v>6.5714180821000001</v>
      </c>
      <c r="N177" s="614">
        <v>10.452889223700002</v>
      </c>
      <c r="O177" s="85">
        <v>0</v>
      </c>
    </row>
    <row r="178" spans="1:15" outlineLevel="1">
      <c r="B178" s="236"/>
      <c r="C178" s="25" t="s">
        <v>40</v>
      </c>
      <c r="D178" s="65" t="s">
        <v>29</v>
      </c>
      <c r="E178" s="76">
        <v>4.8599848678000015</v>
      </c>
      <c r="F178" s="7">
        <v>4.8443556573000013</v>
      </c>
      <c r="G178" s="77">
        <v>5.5656198126000014</v>
      </c>
      <c r="H178" s="84">
        <v>4.8599848678000015</v>
      </c>
      <c r="I178" s="5">
        <v>4.8443556573000013</v>
      </c>
      <c r="J178" s="85">
        <v>5.5656198126000014</v>
      </c>
      <c r="K178" s="94"/>
      <c r="L178" s="84">
        <v>2.587951375299999</v>
      </c>
      <c r="M178" s="614">
        <v>3.0078427619999992</v>
      </c>
      <c r="N178" s="614">
        <v>2.587951375299999</v>
      </c>
      <c r="O178" s="85">
        <v>0</v>
      </c>
    </row>
    <row r="179" spans="1:15" outlineLevel="1">
      <c r="B179" s="236"/>
      <c r="C179" s="25" t="s">
        <v>40</v>
      </c>
      <c r="D179" s="65" t="s">
        <v>31</v>
      </c>
      <c r="E179" s="76">
        <v>8.0471997856000002</v>
      </c>
      <c r="F179" s="7">
        <v>7.6709624111000014</v>
      </c>
      <c r="G179" s="77">
        <v>7.019871901100001</v>
      </c>
      <c r="H179" s="84">
        <v>7.4087502456000003</v>
      </c>
      <c r="I179" s="5">
        <v>7.0325128711000016</v>
      </c>
      <c r="J179" s="85">
        <v>6.3814223611000012</v>
      </c>
      <c r="K179" s="94"/>
      <c r="L179" s="84">
        <v>5.2198311366999981</v>
      </c>
      <c r="M179" s="614">
        <v>5.5177186487999998</v>
      </c>
      <c r="N179" s="614">
        <v>5.2198311366999981</v>
      </c>
      <c r="O179" s="85">
        <v>0</v>
      </c>
    </row>
    <row r="180" spans="1:15" outlineLevel="1">
      <c r="B180" s="236"/>
      <c r="C180" s="25" t="s">
        <v>40</v>
      </c>
      <c r="D180" s="65" t="s">
        <v>394</v>
      </c>
      <c r="E180" s="76">
        <v>28.571573050000016</v>
      </c>
      <c r="F180" s="7">
        <v>27.255727780000019</v>
      </c>
      <c r="G180" s="77">
        <v>24.638602431700022</v>
      </c>
      <c r="H180" s="84">
        <v>28.571573050000016</v>
      </c>
      <c r="I180" s="5">
        <v>27.255727780000019</v>
      </c>
      <c r="J180" s="85">
        <v>24.638602431700022</v>
      </c>
      <c r="K180" s="94"/>
      <c r="L180" s="84">
        <v>36.759731051500005</v>
      </c>
      <c r="M180" s="614">
        <v>22.533496098200008</v>
      </c>
      <c r="N180" s="614">
        <v>36.759731051500005</v>
      </c>
      <c r="O180" s="85">
        <v>0</v>
      </c>
    </row>
    <row r="181" spans="1:15" outlineLevel="1">
      <c r="B181" s="236"/>
      <c r="C181" s="25" t="s">
        <v>40</v>
      </c>
      <c r="D181" s="65" t="s">
        <v>403</v>
      </c>
      <c r="E181" s="76">
        <v>13.577160323999998</v>
      </c>
      <c r="F181" s="7">
        <v>13.538440613999999</v>
      </c>
      <c r="G181" s="77">
        <v>12.067900058299996</v>
      </c>
      <c r="H181" s="84">
        <v>13.577160323999998</v>
      </c>
      <c r="I181" s="5">
        <v>13.538440613999999</v>
      </c>
      <c r="J181" s="85">
        <v>12.067900058299996</v>
      </c>
      <c r="K181" s="94"/>
      <c r="L181" s="84">
        <v>17.224434951900001</v>
      </c>
      <c r="M181" s="614">
        <v>14.982763282700001</v>
      </c>
      <c r="N181" s="614">
        <v>17.224434951900001</v>
      </c>
      <c r="O181" s="85">
        <v>0</v>
      </c>
    </row>
    <row r="182" spans="1:15" s="367" customFormat="1">
      <c r="A182" s="237"/>
      <c r="B182" s="236"/>
      <c r="C182" s="16" t="s">
        <v>40</v>
      </c>
      <c r="D182" s="65" t="s">
        <v>395</v>
      </c>
      <c r="E182" s="360">
        <v>0</v>
      </c>
      <c r="F182" s="361">
        <v>0</v>
      </c>
      <c r="G182" s="362">
        <v>0</v>
      </c>
      <c r="H182" s="363">
        <v>0</v>
      </c>
      <c r="I182" s="364">
        <v>0</v>
      </c>
      <c r="J182" s="365">
        <v>0</v>
      </c>
      <c r="K182" s="366"/>
      <c r="L182" s="363">
        <v>0</v>
      </c>
      <c r="M182" s="615">
        <v>0</v>
      </c>
      <c r="N182" s="615">
        <v>0</v>
      </c>
      <c r="O182" s="365">
        <v>0</v>
      </c>
    </row>
    <row r="183" spans="1:15" s="4" customFormat="1">
      <c r="A183" s="237"/>
      <c r="B183" s="236"/>
      <c r="C183" s="16" t="s">
        <v>40</v>
      </c>
      <c r="D183" s="61" t="s">
        <v>33</v>
      </c>
      <c r="E183" s="73">
        <v>18.961590897400008</v>
      </c>
      <c r="F183" s="74">
        <v>15.598816592100002</v>
      </c>
      <c r="G183" s="75">
        <v>10.1205290893</v>
      </c>
      <c r="H183" s="82">
        <v>18.961590897400008</v>
      </c>
      <c r="I183" s="18">
        <v>15.598816592100002</v>
      </c>
      <c r="J183" s="83">
        <v>10.1205290893</v>
      </c>
      <c r="K183" s="93"/>
      <c r="L183" s="82">
        <v>37.270573501699985</v>
      </c>
      <c r="M183" s="612">
        <v>27.523396756199997</v>
      </c>
      <c r="N183" s="612">
        <v>37.270573501699985</v>
      </c>
      <c r="O183" s="83">
        <v>0</v>
      </c>
    </row>
    <row r="184" spans="1:15" s="4" customFormat="1">
      <c r="A184" s="237"/>
      <c r="B184" s="236"/>
      <c r="C184" s="16" t="s">
        <v>40</v>
      </c>
      <c r="D184" s="61" t="s">
        <v>34</v>
      </c>
      <c r="E184" s="73">
        <v>34.649020632100047</v>
      </c>
      <c r="F184" s="74">
        <v>33.886047531000038</v>
      </c>
      <c r="G184" s="75">
        <v>32.04330700520002</v>
      </c>
      <c r="H184" s="82">
        <v>34.649020632100047</v>
      </c>
      <c r="I184" s="18">
        <v>33.886047531000038</v>
      </c>
      <c r="J184" s="83">
        <v>32.04330700520002</v>
      </c>
      <c r="K184" s="93"/>
      <c r="L184" s="82">
        <v>35.234585829299981</v>
      </c>
      <c r="M184" s="612">
        <v>31.288271940000012</v>
      </c>
      <c r="N184" s="612">
        <v>35.234585829299981</v>
      </c>
      <c r="O184" s="83">
        <v>0</v>
      </c>
    </row>
    <row r="185" spans="1:15">
      <c r="B185" s="236"/>
      <c r="C185" s="25" t="s">
        <v>40</v>
      </c>
      <c r="D185" s="65" t="s">
        <v>296</v>
      </c>
      <c r="E185" s="76">
        <v>10.627037460899993</v>
      </c>
      <c r="F185" s="7">
        <v>10.041469830899995</v>
      </c>
      <c r="G185" s="77">
        <v>7.8664918703999991</v>
      </c>
      <c r="H185" s="84">
        <v>10.627037460899993</v>
      </c>
      <c r="I185" s="5">
        <v>10.041469830899995</v>
      </c>
      <c r="J185" s="85">
        <v>7.8664918703999991</v>
      </c>
      <c r="K185" s="94"/>
      <c r="L185" s="84">
        <v>14.747036654700006</v>
      </c>
      <c r="M185" s="614">
        <v>11.443199302400002</v>
      </c>
      <c r="N185" s="614">
        <v>14.747036654700006</v>
      </c>
      <c r="O185" s="85">
        <v>0</v>
      </c>
    </row>
    <row r="186" spans="1:15">
      <c r="B186" s="236"/>
      <c r="C186" s="25" t="s">
        <v>40</v>
      </c>
      <c r="D186" s="65" t="s">
        <v>396</v>
      </c>
      <c r="E186" s="76">
        <v>1.7495387206999995</v>
      </c>
      <c r="F186" s="7">
        <v>1.7359575806999994</v>
      </c>
      <c r="G186" s="77">
        <v>1.8221267306999995</v>
      </c>
      <c r="H186" s="84">
        <v>1.7495387206999995</v>
      </c>
      <c r="I186" s="5">
        <v>1.7359575806999994</v>
      </c>
      <c r="J186" s="85">
        <v>1.8221267306999995</v>
      </c>
      <c r="K186" s="94"/>
      <c r="L186" s="84">
        <v>2.4086914772999997</v>
      </c>
      <c r="M186" s="614">
        <v>0.83918411199999987</v>
      </c>
      <c r="N186" s="614">
        <v>2.4086914772999997</v>
      </c>
      <c r="O186" s="85">
        <v>0</v>
      </c>
    </row>
    <row r="187" spans="1:15">
      <c r="B187" s="236"/>
      <c r="C187" s="25" t="s">
        <v>40</v>
      </c>
      <c r="D187" s="65" t="s">
        <v>397</v>
      </c>
      <c r="E187" s="76">
        <v>5.0692888919000003</v>
      </c>
      <c r="F187" s="7">
        <v>5.0161916308000007</v>
      </c>
      <c r="G187" s="77">
        <v>4.4620811191999996</v>
      </c>
      <c r="H187" s="84">
        <v>5.0692888919000003</v>
      </c>
      <c r="I187" s="5">
        <v>5.0161916308000007</v>
      </c>
      <c r="J187" s="85">
        <v>4.4620811191999996</v>
      </c>
      <c r="K187" s="94"/>
      <c r="L187" s="84">
        <v>6.5211214018000021</v>
      </c>
      <c r="M187" s="614">
        <v>4.3756011242000001</v>
      </c>
      <c r="N187" s="614">
        <v>6.5211214018000021</v>
      </c>
      <c r="O187" s="85">
        <v>0</v>
      </c>
    </row>
    <row r="188" spans="1:15">
      <c r="B188" s="236"/>
      <c r="C188" s="25" t="s">
        <v>40</v>
      </c>
      <c r="D188" s="65" t="s">
        <v>35</v>
      </c>
      <c r="E188" s="76">
        <v>2.9048750385999993</v>
      </c>
      <c r="F188" s="7">
        <v>2.9048750385999993</v>
      </c>
      <c r="G188" s="77">
        <v>5.155629824900001</v>
      </c>
      <c r="H188" s="84">
        <v>2.9048750385999993</v>
      </c>
      <c r="I188" s="5">
        <v>2.9048750385999993</v>
      </c>
      <c r="J188" s="85">
        <v>5.155629824900001</v>
      </c>
      <c r="K188" s="94"/>
      <c r="L188" s="84">
        <v>2.1444050955000025</v>
      </c>
      <c r="M188" s="614">
        <v>4.7309565313999995</v>
      </c>
      <c r="N188" s="614">
        <v>2.1444050955000025</v>
      </c>
      <c r="O188" s="85">
        <v>0</v>
      </c>
    </row>
    <row r="189" spans="1:15">
      <c r="B189" s="236"/>
      <c r="C189" s="25" t="s">
        <v>40</v>
      </c>
      <c r="D189" s="65" t="s">
        <v>36</v>
      </c>
      <c r="E189" s="76">
        <v>14.298280520000009</v>
      </c>
      <c r="F189" s="7">
        <v>14.187553450000006</v>
      </c>
      <c r="G189" s="77">
        <v>12.736977460000004</v>
      </c>
      <c r="H189" s="84">
        <v>14.298280520000009</v>
      </c>
      <c r="I189" s="5">
        <v>14.187553450000006</v>
      </c>
      <c r="J189" s="85">
        <v>12.736977460000004</v>
      </c>
      <c r="K189" s="94"/>
      <c r="L189" s="84">
        <v>9.4133311999999982</v>
      </c>
      <c r="M189" s="614">
        <v>9.8993308699999982</v>
      </c>
      <c r="N189" s="614">
        <v>9.4133311999999982</v>
      </c>
      <c r="O189" s="85">
        <v>0</v>
      </c>
    </row>
    <row r="190" spans="1:15" ht="15" thickBot="1">
      <c r="B190" s="236"/>
      <c r="C190" s="25" t="s">
        <v>40</v>
      </c>
      <c r="D190" s="65" t="s">
        <v>398</v>
      </c>
      <c r="E190" s="79">
        <v>0</v>
      </c>
      <c r="F190" s="80">
        <v>0</v>
      </c>
      <c r="G190" s="81">
        <v>0</v>
      </c>
      <c r="H190" s="86">
        <v>0</v>
      </c>
      <c r="I190" s="87">
        <v>0</v>
      </c>
      <c r="J190" s="88">
        <v>0</v>
      </c>
      <c r="K190" s="94"/>
      <c r="L190" s="86">
        <v>0</v>
      </c>
      <c r="M190" s="87">
        <v>0</v>
      </c>
      <c r="N190" s="87">
        <v>0</v>
      </c>
      <c r="O190" s="88">
        <v>0</v>
      </c>
    </row>
    <row r="191" spans="1:15">
      <c r="B191" s="236"/>
      <c r="H191" s="5">
        <f>+H158-J158</f>
        <v>39.89132516389995</v>
      </c>
      <c r="I191" s="1"/>
      <c r="J191" s="1"/>
      <c r="K191" s="91"/>
    </row>
    <row r="192" spans="1:15">
      <c r="B192" s="236" t="s">
        <v>194</v>
      </c>
      <c r="H192" s="5">
        <f>+H160-J160</f>
        <v>0</v>
      </c>
      <c r="I192" s="1"/>
      <c r="J192" s="1"/>
      <c r="K192" s="91"/>
    </row>
    <row r="193" spans="1:15">
      <c r="E193" t="s">
        <v>353</v>
      </c>
      <c r="H193" s="5">
        <f>+H161-J161</f>
        <v>17.663946439300105</v>
      </c>
      <c r="I193" s="1"/>
      <c r="J193" s="1"/>
      <c r="K193" s="91"/>
    </row>
    <row r="194" spans="1:15">
      <c r="E194" s="3">
        <f>+E115-E160</f>
        <v>0</v>
      </c>
      <c r="H194" s="5">
        <f>+H174-J174</f>
        <v>10.780603289600023</v>
      </c>
      <c r="I194" s="1"/>
      <c r="J194" s="1"/>
      <c r="K194" s="91"/>
    </row>
    <row r="195" spans="1:15">
      <c r="H195" s="5">
        <f>+H183-J183</f>
        <v>8.8410618081000081</v>
      </c>
      <c r="I195" s="1"/>
      <c r="J195" s="1"/>
      <c r="K195" s="91"/>
    </row>
    <row r="196" spans="1:15">
      <c r="H196" s="5">
        <f>+H184-J184</f>
        <v>2.6057136269000267</v>
      </c>
      <c r="I196" s="1"/>
      <c r="J196" s="1"/>
      <c r="K196" s="91"/>
    </row>
    <row r="197" spans="1:15">
      <c r="H197" s="1"/>
      <c r="I197" s="1"/>
      <c r="J197" s="1"/>
      <c r="K197" s="91"/>
    </row>
    <row r="198" spans="1:15" ht="18">
      <c r="A198" s="237" t="s">
        <v>242</v>
      </c>
      <c r="B198" s="236" t="s">
        <v>13</v>
      </c>
      <c r="C198" s="24" t="s">
        <v>360</v>
      </c>
      <c r="D198" s="60" t="s">
        <v>12</v>
      </c>
      <c r="E198" s="7">
        <f t="shared" ref="E198:O198" si="1">SUM(E13,E44,E75)</f>
        <v>256.76875552409984</v>
      </c>
      <c r="F198" s="7">
        <f t="shared" si="1"/>
        <v>249.07663990689994</v>
      </c>
      <c r="G198" s="7">
        <f t="shared" si="1"/>
        <v>216.87743036019992</v>
      </c>
      <c r="H198" s="7">
        <f t="shared" si="1"/>
        <v>255.74594098409983</v>
      </c>
      <c r="I198" s="7">
        <f t="shared" si="1"/>
        <v>248.05382536689993</v>
      </c>
      <c r="J198" s="7">
        <f t="shared" si="1"/>
        <v>215.85461582019991</v>
      </c>
      <c r="K198" s="7">
        <f t="shared" si="1"/>
        <v>0</v>
      </c>
      <c r="L198" s="7">
        <f t="shared" si="1"/>
        <v>229.59643274400003</v>
      </c>
      <c r="M198" s="7">
        <f t="shared" si="1"/>
        <v>185.9158267096002</v>
      </c>
      <c r="N198" s="7">
        <f t="shared" si="1"/>
        <v>229.59643274400003</v>
      </c>
      <c r="O198" s="7">
        <f t="shared" si="1"/>
        <v>0</v>
      </c>
    </row>
    <row r="199" spans="1:15" ht="18">
      <c r="B199" s="236"/>
      <c r="C199" s="378"/>
      <c r="D199" s="379"/>
      <c r="K199"/>
      <c r="L199"/>
      <c r="M199"/>
      <c r="N199"/>
      <c r="O199"/>
    </row>
    <row r="200" spans="1:15">
      <c r="A200" s="237" t="s">
        <v>242</v>
      </c>
      <c r="B200" s="236" t="s">
        <v>234</v>
      </c>
      <c r="C200" s="16" t="s">
        <v>360</v>
      </c>
      <c r="D200" s="61" t="s">
        <v>14</v>
      </c>
      <c r="E200" s="7">
        <f t="shared" ref="E200:O204" si="2">SUM(E15,E46,E77)</f>
        <v>0</v>
      </c>
      <c r="F200" s="7">
        <f t="shared" si="2"/>
        <v>0</v>
      </c>
      <c r="G200" s="7">
        <f t="shared" si="2"/>
        <v>0</v>
      </c>
      <c r="H200" s="7">
        <f t="shared" si="2"/>
        <v>0</v>
      </c>
      <c r="I200" s="7">
        <f t="shared" si="2"/>
        <v>0</v>
      </c>
      <c r="J200" s="7">
        <f t="shared" si="2"/>
        <v>0</v>
      </c>
      <c r="K200" s="7">
        <f t="shared" si="2"/>
        <v>0</v>
      </c>
      <c r="L200" s="7">
        <f t="shared" si="2"/>
        <v>0</v>
      </c>
      <c r="M200" s="7">
        <f t="shared" si="2"/>
        <v>0</v>
      </c>
      <c r="N200" s="7">
        <f t="shared" si="2"/>
        <v>0</v>
      </c>
      <c r="O200" s="7">
        <f t="shared" si="2"/>
        <v>0</v>
      </c>
    </row>
    <row r="201" spans="1:15" s="132" customFormat="1">
      <c r="A201" s="237" t="s">
        <v>242</v>
      </c>
      <c r="B201" s="236" t="s">
        <v>58</v>
      </c>
      <c r="C201" s="16" t="s">
        <v>360</v>
      </c>
      <c r="D201" s="61" t="s">
        <v>15</v>
      </c>
      <c r="E201" s="419">
        <f t="shared" si="2"/>
        <v>108.82447709600001</v>
      </c>
      <c r="F201" s="419">
        <f t="shared" si="2"/>
        <v>108.53776295829999</v>
      </c>
      <c r="G201" s="419">
        <f t="shared" si="2"/>
        <v>91.160530656700018</v>
      </c>
      <c r="H201" s="419">
        <f t="shared" si="2"/>
        <v>108.82447709600001</v>
      </c>
      <c r="I201" s="419">
        <f t="shared" si="2"/>
        <v>108.53776295829999</v>
      </c>
      <c r="J201" s="419">
        <f t="shared" si="2"/>
        <v>91.160530656700018</v>
      </c>
      <c r="K201" s="419">
        <f t="shared" si="2"/>
        <v>0</v>
      </c>
      <c r="L201" s="419">
        <f t="shared" si="2"/>
        <v>68.2123663351</v>
      </c>
      <c r="M201" s="419">
        <f t="shared" si="2"/>
        <v>59.814479512999981</v>
      </c>
      <c r="N201" s="419">
        <f t="shared" si="2"/>
        <v>68.2123663351</v>
      </c>
      <c r="O201" s="419">
        <f t="shared" si="2"/>
        <v>0</v>
      </c>
    </row>
    <row r="202" spans="1:15" outlineLevel="1">
      <c r="A202" s="237" t="s">
        <v>242</v>
      </c>
      <c r="B202" s="236" t="s">
        <v>17</v>
      </c>
      <c r="C202" s="25" t="s">
        <v>360</v>
      </c>
      <c r="D202" s="62"/>
      <c r="E202" s="7">
        <f t="shared" si="2"/>
        <v>20.278771583800001</v>
      </c>
      <c r="F202" s="7">
        <f t="shared" si="2"/>
        <v>20.278771583800001</v>
      </c>
      <c r="G202" s="7">
        <f t="shared" si="2"/>
        <v>17.7778343212</v>
      </c>
      <c r="H202" s="7">
        <f t="shared" si="2"/>
        <v>20.278771583800001</v>
      </c>
      <c r="I202" s="7">
        <f t="shared" si="2"/>
        <v>20.278771583800001</v>
      </c>
      <c r="J202" s="7">
        <f t="shared" si="2"/>
        <v>17.7778343212</v>
      </c>
      <c r="K202" s="7">
        <f t="shared" si="2"/>
        <v>0</v>
      </c>
      <c r="L202" s="7">
        <f t="shared" si="2"/>
        <v>16.466967668599999</v>
      </c>
      <c r="M202" s="7">
        <f t="shared" si="2"/>
        <v>11.8158634242</v>
      </c>
      <c r="N202" s="7">
        <f t="shared" si="2"/>
        <v>16.466967668599999</v>
      </c>
      <c r="O202" s="7">
        <f t="shared" si="2"/>
        <v>0</v>
      </c>
    </row>
    <row r="203" spans="1:15" outlineLevel="1">
      <c r="A203" s="237" t="s">
        <v>242</v>
      </c>
      <c r="B203" s="236" t="s">
        <v>18</v>
      </c>
      <c r="C203" s="25" t="s">
        <v>360</v>
      </c>
      <c r="D203" s="62"/>
      <c r="E203" s="7">
        <f t="shared" si="2"/>
        <v>0.13187364530000001</v>
      </c>
      <c r="F203" s="7">
        <f t="shared" si="2"/>
        <v>0.13187364530000001</v>
      </c>
      <c r="G203" s="7">
        <f t="shared" si="2"/>
        <v>0.1355537453</v>
      </c>
      <c r="H203" s="7">
        <f t="shared" si="2"/>
        <v>0.13187364530000001</v>
      </c>
      <c r="I203" s="7">
        <f t="shared" si="2"/>
        <v>0.13187364530000001</v>
      </c>
      <c r="J203" s="7">
        <f t="shared" si="2"/>
        <v>0.1355537453</v>
      </c>
      <c r="K203" s="7">
        <f t="shared" si="2"/>
        <v>0</v>
      </c>
      <c r="L203" s="7">
        <f t="shared" si="2"/>
        <v>6.3904393014000007</v>
      </c>
      <c r="M203" s="7">
        <f t="shared" si="2"/>
        <v>5.6148785053000001</v>
      </c>
      <c r="N203" s="7">
        <f t="shared" si="2"/>
        <v>6.3904393014000007</v>
      </c>
      <c r="O203" s="7">
        <f t="shared" si="2"/>
        <v>0</v>
      </c>
    </row>
    <row r="204" spans="1:15" outlineLevel="1">
      <c r="A204" s="237" t="s">
        <v>242</v>
      </c>
      <c r="B204" s="236" t="s">
        <v>19</v>
      </c>
      <c r="C204" s="25" t="s">
        <v>360</v>
      </c>
      <c r="D204" s="62"/>
      <c r="E204" s="7">
        <f t="shared" si="2"/>
        <v>23.337435926900007</v>
      </c>
      <c r="F204" s="7">
        <f t="shared" si="2"/>
        <v>23.308277128000007</v>
      </c>
      <c r="G204" s="7">
        <f t="shared" si="2"/>
        <v>17.321207509600001</v>
      </c>
      <c r="H204" s="7">
        <f t="shared" si="2"/>
        <v>23.337435926900007</v>
      </c>
      <c r="I204" s="7">
        <f t="shared" si="2"/>
        <v>23.308277128000007</v>
      </c>
      <c r="J204" s="7">
        <f t="shared" si="2"/>
        <v>17.321207509600001</v>
      </c>
      <c r="K204" s="7">
        <f t="shared" si="2"/>
        <v>0</v>
      </c>
      <c r="L204" s="7">
        <f t="shared" si="2"/>
        <v>14.851599416400003</v>
      </c>
      <c r="M204" s="7">
        <f t="shared" si="2"/>
        <v>9.9508546118000005</v>
      </c>
      <c r="N204" s="7">
        <f t="shared" si="2"/>
        <v>14.851599416400003</v>
      </c>
      <c r="O204" s="7">
        <f t="shared" si="2"/>
        <v>0</v>
      </c>
    </row>
    <row r="205" spans="1:15" outlineLevel="1">
      <c r="A205" s="237" t="s">
        <v>242</v>
      </c>
      <c r="B205" s="236" t="s">
        <v>77</v>
      </c>
      <c r="C205" s="25" t="s">
        <v>360</v>
      </c>
      <c r="D205" s="62"/>
      <c r="E205" s="7">
        <f t="shared" ref="E205:O212" si="3">SUM(E20,E51,E82)</f>
        <v>24.009448000600003</v>
      </c>
      <c r="F205" s="7">
        <f t="shared" si="3"/>
        <v>24.009448000600003</v>
      </c>
      <c r="G205" s="7">
        <f t="shared" si="3"/>
        <v>23.050850313700003</v>
      </c>
      <c r="H205" s="7">
        <f t="shared" si="3"/>
        <v>24.009448000600003</v>
      </c>
      <c r="I205" s="7">
        <f t="shared" si="3"/>
        <v>24.009448000600003</v>
      </c>
      <c r="J205" s="7">
        <f t="shared" si="3"/>
        <v>23.050850313700003</v>
      </c>
      <c r="K205" s="7">
        <f t="shared" si="3"/>
        <v>0</v>
      </c>
      <c r="L205" s="7">
        <f t="shared" si="3"/>
        <v>6.6933750851000005</v>
      </c>
      <c r="M205" s="7">
        <f t="shared" si="3"/>
        <v>7.5896191551000003</v>
      </c>
      <c r="N205" s="7">
        <f t="shared" si="3"/>
        <v>6.6933750851000005</v>
      </c>
      <c r="O205" s="7">
        <f t="shared" si="3"/>
        <v>0</v>
      </c>
    </row>
    <row r="206" spans="1:15" outlineLevel="1">
      <c r="A206" s="237" t="s">
        <v>242</v>
      </c>
      <c r="B206" s="236" t="s">
        <v>78</v>
      </c>
      <c r="C206" s="25" t="s">
        <v>360</v>
      </c>
      <c r="D206" s="62"/>
      <c r="E206" s="7">
        <f t="shared" si="3"/>
        <v>4.7605485899</v>
      </c>
      <c r="F206" s="7">
        <f t="shared" si="3"/>
        <v>4.7605485899</v>
      </c>
      <c r="G206" s="7">
        <f t="shared" si="3"/>
        <v>3.3580391881000002</v>
      </c>
      <c r="H206" s="7">
        <f t="shared" si="3"/>
        <v>4.7605485899</v>
      </c>
      <c r="I206" s="7">
        <f t="shared" si="3"/>
        <v>4.7605485899</v>
      </c>
      <c r="J206" s="7">
        <f t="shared" si="3"/>
        <v>3.3580391881000002</v>
      </c>
      <c r="K206" s="7">
        <f t="shared" si="3"/>
        <v>0</v>
      </c>
      <c r="L206" s="7">
        <f t="shared" si="3"/>
        <v>3.2430446921999998</v>
      </c>
      <c r="M206" s="7">
        <f t="shared" si="3"/>
        <v>1.9118527374000001</v>
      </c>
      <c r="N206" s="7">
        <f t="shared" si="3"/>
        <v>3.2430446921999998</v>
      </c>
      <c r="O206" s="7">
        <f t="shared" si="3"/>
        <v>0</v>
      </c>
    </row>
    <row r="207" spans="1:15" outlineLevel="1">
      <c r="A207" s="237" t="s">
        <v>242</v>
      </c>
      <c r="B207" s="236" t="s">
        <v>393</v>
      </c>
      <c r="C207" s="25" t="s">
        <v>360</v>
      </c>
      <c r="D207" s="62"/>
      <c r="E207" s="7">
        <f t="shared" si="3"/>
        <v>9.0145524571999971</v>
      </c>
      <c r="F207" s="7">
        <f t="shared" si="3"/>
        <v>9.0145524571999971</v>
      </c>
      <c r="G207" s="7">
        <f t="shared" si="3"/>
        <v>7.2279324371999989</v>
      </c>
      <c r="H207" s="7">
        <f t="shared" si="3"/>
        <v>9.0145524571999971</v>
      </c>
      <c r="I207" s="7">
        <f t="shared" si="3"/>
        <v>9.0145524571999971</v>
      </c>
      <c r="J207" s="7">
        <f t="shared" si="3"/>
        <v>7.2279324371999989</v>
      </c>
      <c r="K207" s="7">
        <f t="shared" si="3"/>
        <v>0</v>
      </c>
      <c r="L207" s="7">
        <f t="shared" si="3"/>
        <v>1.0371255022000001</v>
      </c>
      <c r="M207" s="7">
        <f t="shared" si="3"/>
        <v>1.6713598946000003</v>
      </c>
      <c r="N207" s="7">
        <f t="shared" si="3"/>
        <v>1.0371255022000001</v>
      </c>
      <c r="O207" s="7">
        <f t="shared" si="3"/>
        <v>0</v>
      </c>
    </row>
    <row r="208" spans="1:15" outlineLevel="1">
      <c r="A208" s="237" t="s">
        <v>242</v>
      </c>
      <c r="B208" s="236" t="s">
        <v>80</v>
      </c>
      <c r="C208" s="25" t="s">
        <v>360</v>
      </c>
      <c r="D208" s="62"/>
      <c r="E208" s="7">
        <f t="shared" si="3"/>
        <v>4.4771492200000003</v>
      </c>
      <c r="F208" s="7">
        <f t="shared" si="3"/>
        <v>4.4771492200000003</v>
      </c>
      <c r="G208" s="7">
        <f t="shared" si="3"/>
        <v>0.57129661999999992</v>
      </c>
      <c r="H208" s="7">
        <f t="shared" si="3"/>
        <v>4.4771492200000003</v>
      </c>
      <c r="I208" s="7">
        <f t="shared" si="3"/>
        <v>4.4771492200000003</v>
      </c>
      <c r="J208" s="7">
        <f t="shared" si="3"/>
        <v>0.57129661999999992</v>
      </c>
      <c r="K208" s="7">
        <f t="shared" si="3"/>
        <v>0</v>
      </c>
      <c r="L208" s="7">
        <f t="shared" si="3"/>
        <v>-7.6655843100000007</v>
      </c>
      <c r="M208" s="7">
        <f t="shared" si="3"/>
        <v>-3.10842551</v>
      </c>
      <c r="N208" s="7">
        <f t="shared" si="3"/>
        <v>-7.6655843100000007</v>
      </c>
      <c r="O208" s="7">
        <f t="shared" si="3"/>
        <v>0</v>
      </c>
    </row>
    <row r="209" spans="1:15" outlineLevel="1">
      <c r="A209" s="237" t="s">
        <v>242</v>
      </c>
      <c r="B209" s="236" t="s">
        <v>104</v>
      </c>
      <c r="C209" s="25" t="s">
        <v>360</v>
      </c>
      <c r="D209" s="64" t="s">
        <v>405</v>
      </c>
      <c r="E209" s="7">
        <f t="shared" si="3"/>
        <v>3.1425038888000003</v>
      </c>
      <c r="F209" s="7">
        <f t="shared" si="3"/>
        <v>3.0719846219000004</v>
      </c>
      <c r="G209" s="7">
        <f t="shared" si="3"/>
        <v>2.1019041219000001</v>
      </c>
      <c r="H209" s="7">
        <f t="shared" si="3"/>
        <v>3.1425038888000003</v>
      </c>
      <c r="I209" s="7">
        <f t="shared" si="3"/>
        <v>3.0719846219000004</v>
      </c>
      <c r="J209" s="7">
        <f t="shared" si="3"/>
        <v>2.1019041219000001</v>
      </c>
      <c r="K209" s="7">
        <f t="shared" si="3"/>
        <v>0</v>
      </c>
      <c r="L209" s="7">
        <f t="shared" si="3"/>
        <v>3.6677370127999991</v>
      </c>
      <c r="M209" s="7">
        <f t="shared" si="3"/>
        <v>4.3949456812000003</v>
      </c>
      <c r="N209" s="7">
        <f t="shared" si="3"/>
        <v>3.6677370127999991</v>
      </c>
      <c r="O209" s="7">
        <f t="shared" si="3"/>
        <v>0</v>
      </c>
    </row>
    <row r="210" spans="1:15" outlineLevel="1">
      <c r="A210" s="237" t="s">
        <v>242</v>
      </c>
      <c r="B210" s="236" t="s">
        <v>105</v>
      </c>
      <c r="C210" s="25" t="s">
        <v>360</v>
      </c>
      <c r="D210" s="65" t="s">
        <v>25</v>
      </c>
      <c r="E210" s="7">
        <f t="shared" si="3"/>
        <v>19.672193783499999</v>
      </c>
      <c r="F210" s="7">
        <f t="shared" si="3"/>
        <v>19.485157711600003</v>
      </c>
      <c r="G210" s="7">
        <f t="shared" si="3"/>
        <v>19.615912399700001</v>
      </c>
      <c r="H210" s="7">
        <f t="shared" si="3"/>
        <v>19.672193783499999</v>
      </c>
      <c r="I210" s="7">
        <f t="shared" si="3"/>
        <v>19.485157711600003</v>
      </c>
      <c r="J210" s="7">
        <f t="shared" si="3"/>
        <v>19.615912399700001</v>
      </c>
      <c r="K210" s="7">
        <f t="shared" si="3"/>
        <v>0</v>
      </c>
      <c r="L210" s="7">
        <f t="shared" si="3"/>
        <v>23.527661966400004</v>
      </c>
      <c r="M210" s="7">
        <f t="shared" si="3"/>
        <v>19.973531013399999</v>
      </c>
      <c r="N210" s="7">
        <f t="shared" si="3"/>
        <v>23.527661966400004</v>
      </c>
      <c r="O210" s="7">
        <f t="shared" si="3"/>
        <v>0</v>
      </c>
    </row>
    <row r="211" spans="1:15" s="132" customFormat="1">
      <c r="A211" s="237" t="s">
        <v>242</v>
      </c>
      <c r="B211" s="236" t="s">
        <v>26</v>
      </c>
      <c r="C211" s="16" t="s">
        <v>360</v>
      </c>
      <c r="D211" s="61" t="s">
        <v>26</v>
      </c>
      <c r="E211" s="419">
        <f t="shared" si="3"/>
        <v>94.333666898600129</v>
      </c>
      <c r="F211" s="419">
        <f t="shared" si="3"/>
        <v>91.054012825500081</v>
      </c>
      <c r="G211" s="419">
        <f t="shared" si="3"/>
        <v>83.553063609000077</v>
      </c>
      <c r="H211" s="419">
        <f t="shared" si="3"/>
        <v>93.31085235860013</v>
      </c>
      <c r="I211" s="419">
        <f t="shared" si="3"/>
        <v>90.031198285500096</v>
      </c>
      <c r="J211" s="419">
        <f t="shared" si="3"/>
        <v>82.530249069000064</v>
      </c>
      <c r="K211" s="419">
        <f t="shared" si="3"/>
        <v>0</v>
      </c>
      <c r="L211" s="419">
        <f t="shared" si="3"/>
        <v>88.878907077899981</v>
      </c>
      <c r="M211" s="419">
        <f t="shared" si="3"/>
        <v>67.289678500400001</v>
      </c>
      <c r="N211" s="419">
        <f t="shared" si="3"/>
        <v>88.878907077899981</v>
      </c>
      <c r="O211" s="419">
        <f t="shared" si="3"/>
        <v>0</v>
      </c>
    </row>
    <row r="212" spans="1:15" outlineLevel="1">
      <c r="A212" s="237" t="s">
        <v>242</v>
      </c>
      <c r="B212" s="236" t="s">
        <v>235</v>
      </c>
      <c r="C212" s="25" t="s">
        <v>360</v>
      </c>
      <c r="D212" s="65" t="s">
        <v>28</v>
      </c>
      <c r="E212" s="7">
        <f t="shared" si="3"/>
        <v>19.194249595299997</v>
      </c>
      <c r="F212" s="7">
        <f t="shared" si="3"/>
        <v>17.973096265299997</v>
      </c>
      <c r="G212" s="7">
        <f t="shared" si="3"/>
        <v>17.20647718279999</v>
      </c>
      <c r="H212" s="7">
        <f t="shared" si="3"/>
        <v>19.194249595299997</v>
      </c>
      <c r="I212" s="7">
        <f t="shared" si="3"/>
        <v>17.973096265299997</v>
      </c>
      <c r="J212" s="7">
        <f t="shared" si="3"/>
        <v>17.20647718279999</v>
      </c>
      <c r="K212" s="7">
        <f t="shared" si="3"/>
        <v>0</v>
      </c>
      <c r="L212" s="7">
        <f t="shared" si="3"/>
        <v>12.945365597199999</v>
      </c>
      <c r="M212" s="7">
        <f t="shared" si="3"/>
        <v>12.032391813400002</v>
      </c>
      <c r="N212" s="7">
        <f t="shared" si="3"/>
        <v>12.945365597199999</v>
      </c>
      <c r="O212" s="7">
        <f t="shared" si="3"/>
        <v>0</v>
      </c>
    </row>
    <row r="213" spans="1:15" outlineLevel="1">
      <c r="A213" s="237" t="s">
        <v>242</v>
      </c>
      <c r="B213" s="236" t="s">
        <v>106</v>
      </c>
      <c r="C213" s="25" t="s">
        <v>360</v>
      </c>
      <c r="D213" s="65" t="s">
        <v>27</v>
      </c>
      <c r="E213" s="7">
        <f t="shared" ref="E213:O220" si="4">SUM(E28,E59,E90)</f>
        <v>12.121116471199997</v>
      </c>
      <c r="F213" s="7">
        <f t="shared" si="4"/>
        <v>11.809047293099997</v>
      </c>
      <c r="G213" s="7">
        <f t="shared" si="4"/>
        <v>11.016899067799999</v>
      </c>
      <c r="H213" s="7">
        <f t="shared" si="4"/>
        <v>11.736751471199996</v>
      </c>
      <c r="I213" s="7">
        <f t="shared" si="4"/>
        <v>11.424682293099998</v>
      </c>
      <c r="J213" s="7">
        <f t="shared" si="4"/>
        <v>10.632534067799998</v>
      </c>
      <c r="K213" s="7">
        <f t="shared" si="4"/>
        <v>0</v>
      </c>
      <c r="L213" s="7">
        <f t="shared" si="4"/>
        <v>3.6887037415999999</v>
      </c>
      <c r="M213" s="7">
        <f t="shared" si="4"/>
        <v>2.6440478131999994</v>
      </c>
      <c r="N213" s="7">
        <f t="shared" si="4"/>
        <v>3.6887037415999999</v>
      </c>
      <c r="O213" s="7">
        <f t="shared" si="4"/>
        <v>0</v>
      </c>
    </row>
    <row r="214" spans="1:15" outlineLevel="1">
      <c r="A214" s="237" t="s">
        <v>242</v>
      </c>
      <c r="B214" s="236" t="s">
        <v>87</v>
      </c>
      <c r="C214" s="25" t="s">
        <v>360</v>
      </c>
      <c r="D214" s="65" t="s">
        <v>30</v>
      </c>
      <c r="E214" s="7">
        <f t="shared" si="4"/>
        <v>7.9623828047000007</v>
      </c>
      <c r="F214" s="7">
        <f t="shared" si="4"/>
        <v>7.9623828047000007</v>
      </c>
      <c r="G214" s="7">
        <f t="shared" si="4"/>
        <v>6.0376931546999995</v>
      </c>
      <c r="H214" s="7">
        <f t="shared" si="4"/>
        <v>7.9623828047000007</v>
      </c>
      <c r="I214" s="7">
        <f t="shared" si="4"/>
        <v>7.9623828047000007</v>
      </c>
      <c r="J214" s="7">
        <f t="shared" si="4"/>
        <v>6.0376931546999995</v>
      </c>
      <c r="K214" s="7">
        <f t="shared" si="4"/>
        <v>0</v>
      </c>
      <c r="L214" s="7">
        <f t="shared" si="4"/>
        <v>10.452889223699998</v>
      </c>
      <c r="M214" s="7">
        <f t="shared" si="4"/>
        <v>6.5714180820999992</v>
      </c>
      <c r="N214" s="7">
        <f t="shared" si="4"/>
        <v>10.452889223699998</v>
      </c>
      <c r="O214" s="7">
        <f t="shared" si="4"/>
        <v>0</v>
      </c>
    </row>
    <row r="215" spans="1:15" outlineLevel="1">
      <c r="A215" s="237" t="s">
        <v>242</v>
      </c>
      <c r="B215" s="236" t="s">
        <v>107</v>
      </c>
      <c r="C215" s="25" t="s">
        <v>360</v>
      </c>
      <c r="D215" s="65" t="s">
        <v>29</v>
      </c>
      <c r="E215" s="7">
        <f t="shared" si="4"/>
        <v>4.8599848677999997</v>
      </c>
      <c r="F215" s="7">
        <f t="shared" si="4"/>
        <v>4.8443556572999995</v>
      </c>
      <c r="G215" s="7">
        <f t="shared" si="4"/>
        <v>5.5656198126000005</v>
      </c>
      <c r="H215" s="7">
        <f t="shared" si="4"/>
        <v>4.8599848677999997</v>
      </c>
      <c r="I215" s="7">
        <f t="shared" si="4"/>
        <v>4.8443556572999995</v>
      </c>
      <c r="J215" s="7">
        <f t="shared" si="4"/>
        <v>5.5656198126000005</v>
      </c>
      <c r="K215" s="7">
        <f t="shared" si="4"/>
        <v>0</v>
      </c>
      <c r="L215" s="7">
        <f t="shared" si="4"/>
        <v>2.5879513753000003</v>
      </c>
      <c r="M215" s="7">
        <f t="shared" si="4"/>
        <v>3.0078427619999997</v>
      </c>
      <c r="N215" s="7">
        <f t="shared" si="4"/>
        <v>2.5879513753000003</v>
      </c>
      <c r="O215" s="7">
        <f t="shared" si="4"/>
        <v>0</v>
      </c>
    </row>
    <row r="216" spans="1:15" outlineLevel="1">
      <c r="A216" s="237" t="s">
        <v>242</v>
      </c>
      <c r="B216" s="236" t="s">
        <v>236</v>
      </c>
      <c r="C216" s="25" t="s">
        <v>360</v>
      </c>
      <c r="D216" s="65" t="s">
        <v>31</v>
      </c>
      <c r="E216" s="7">
        <f t="shared" si="4"/>
        <v>8.0471997856000002</v>
      </c>
      <c r="F216" s="7">
        <f t="shared" si="4"/>
        <v>7.6709624110999997</v>
      </c>
      <c r="G216" s="7">
        <f t="shared" si="4"/>
        <v>7.0198719011000001</v>
      </c>
      <c r="H216" s="7">
        <f t="shared" si="4"/>
        <v>7.4087502455999994</v>
      </c>
      <c r="I216" s="7">
        <f t="shared" si="4"/>
        <v>7.0325128710999998</v>
      </c>
      <c r="J216" s="7">
        <f t="shared" si="4"/>
        <v>6.3814223611000003</v>
      </c>
      <c r="K216" s="7">
        <f t="shared" si="4"/>
        <v>0</v>
      </c>
      <c r="L216" s="7">
        <f t="shared" si="4"/>
        <v>5.2198311367000008</v>
      </c>
      <c r="M216" s="7">
        <f t="shared" si="4"/>
        <v>5.5177186488000007</v>
      </c>
      <c r="N216" s="7">
        <f t="shared" si="4"/>
        <v>5.2198311367000008</v>
      </c>
      <c r="O216" s="7">
        <f t="shared" si="4"/>
        <v>0</v>
      </c>
    </row>
    <row r="217" spans="1:15" outlineLevel="1">
      <c r="A217" s="237" t="s">
        <v>242</v>
      </c>
      <c r="B217" s="236" t="s">
        <v>237</v>
      </c>
      <c r="C217" s="25" t="s">
        <v>360</v>
      </c>
      <c r="D217" s="65" t="s">
        <v>394</v>
      </c>
      <c r="E217" s="7">
        <f t="shared" si="4"/>
        <v>28.571573049999998</v>
      </c>
      <c r="F217" s="7">
        <f t="shared" si="4"/>
        <v>27.255727780000001</v>
      </c>
      <c r="G217" s="7">
        <f t="shared" si="4"/>
        <v>24.638602431700004</v>
      </c>
      <c r="H217" s="7">
        <f t="shared" si="4"/>
        <v>28.571573049999998</v>
      </c>
      <c r="I217" s="7">
        <f t="shared" si="4"/>
        <v>27.255727780000001</v>
      </c>
      <c r="J217" s="7">
        <f t="shared" si="4"/>
        <v>24.638602431700004</v>
      </c>
      <c r="K217" s="7">
        <f t="shared" si="4"/>
        <v>0</v>
      </c>
      <c r="L217" s="7">
        <f t="shared" si="4"/>
        <v>36.759731051499998</v>
      </c>
      <c r="M217" s="7">
        <f t="shared" si="4"/>
        <v>22.533496098199997</v>
      </c>
      <c r="N217" s="7">
        <f t="shared" si="4"/>
        <v>36.759731051499998</v>
      </c>
      <c r="O217" s="7">
        <f t="shared" si="4"/>
        <v>0</v>
      </c>
    </row>
    <row r="218" spans="1:15" outlineLevel="1">
      <c r="A218" s="237" t="s">
        <v>242</v>
      </c>
      <c r="B218" s="236" t="s">
        <v>163</v>
      </c>
      <c r="C218" s="25" t="s">
        <v>360</v>
      </c>
      <c r="D218" s="65" t="s">
        <v>403</v>
      </c>
      <c r="E218" s="7">
        <f t="shared" si="4"/>
        <v>13.577160324000001</v>
      </c>
      <c r="F218" s="7">
        <f t="shared" si="4"/>
        <v>13.538440614000001</v>
      </c>
      <c r="G218" s="7">
        <f t="shared" si="4"/>
        <v>12.067900058300001</v>
      </c>
      <c r="H218" s="7">
        <f t="shared" si="4"/>
        <v>13.577160324000001</v>
      </c>
      <c r="I218" s="7">
        <f t="shared" si="4"/>
        <v>13.538440614000001</v>
      </c>
      <c r="J218" s="7">
        <f t="shared" si="4"/>
        <v>12.067900058300001</v>
      </c>
      <c r="K218" s="7">
        <f t="shared" si="4"/>
        <v>0</v>
      </c>
      <c r="L218" s="7">
        <f t="shared" si="4"/>
        <v>17.224434951900001</v>
      </c>
      <c r="M218" s="7">
        <f t="shared" si="4"/>
        <v>14.982763282699999</v>
      </c>
      <c r="N218" s="7">
        <f t="shared" si="4"/>
        <v>17.224434951900001</v>
      </c>
      <c r="O218" s="7">
        <f t="shared" si="4"/>
        <v>0</v>
      </c>
    </row>
    <row r="219" spans="1:15" outlineLevel="1">
      <c r="A219" s="237" t="s">
        <v>242</v>
      </c>
      <c r="B219" s="236" t="s">
        <v>404</v>
      </c>
      <c r="C219" s="25" t="s">
        <v>360</v>
      </c>
      <c r="D219" s="65" t="s">
        <v>395</v>
      </c>
      <c r="E219" s="7">
        <f t="shared" si="4"/>
        <v>0</v>
      </c>
      <c r="F219" s="7">
        <f t="shared" si="4"/>
        <v>0</v>
      </c>
      <c r="G219" s="7">
        <f t="shared" si="4"/>
        <v>0</v>
      </c>
      <c r="H219" s="7">
        <f t="shared" si="4"/>
        <v>0</v>
      </c>
      <c r="I219" s="7">
        <f t="shared" si="4"/>
        <v>0</v>
      </c>
      <c r="J219" s="7">
        <f t="shared" si="4"/>
        <v>0</v>
      </c>
      <c r="K219" s="7">
        <f t="shared" si="4"/>
        <v>0</v>
      </c>
      <c r="L219" s="7">
        <f t="shared" si="4"/>
        <v>0</v>
      </c>
      <c r="M219" s="7">
        <f t="shared" si="4"/>
        <v>0</v>
      </c>
      <c r="N219" s="7">
        <f t="shared" si="4"/>
        <v>0</v>
      </c>
      <c r="O219" s="7">
        <f t="shared" si="4"/>
        <v>0</v>
      </c>
    </row>
    <row r="220" spans="1:15" s="132" customFormat="1">
      <c r="A220" s="237" t="s">
        <v>242</v>
      </c>
      <c r="B220" s="236" t="s">
        <v>59</v>
      </c>
      <c r="C220" s="16" t="s">
        <v>360</v>
      </c>
      <c r="D220" s="61" t="s">
        <v>33</v>
      </c>
      <c r="E220" s="419">
        <f t="shared" si="4"/>
        <v>18.961590897400001</v>
      </c>
      <c r="F220" s="419">
        <f t="shared" si="4"/>
        <v>15.5988165921</v>
      </c>
      <c r="G220" s="419">
        <f t="shared" si="4"/>
        <v>10.120529089300003</v>
      </c>
      <c r="H220" s="419">
        <f t="shared" si="4"/>
        <v>18.961590897400001</v>
      </c>
      <c r="I220" s="419">
        <f t="shared" si="4"/>
        <v>15.5988165921</v>
      </c>
      <c r="J220" s="419">
        <f t="shared" si="4"/>
        <v>10.120529089300003</v>
      </c>
      <c r="K220" s="419">
        <f t="shared" si="4"/>
        <v>0</v>
      </c>
      <c r="L220" s="419">
        <f t="shared" si="4"/>
        <v>37.270573501699999</v>
      </c>
      <c r="M220" s="419">
        <f t="shared" si="4"/>
        <v>27.5233967562</v>
      </c>
      <c r="N220" s="419">
        <f t="shared" si="4"/>
        <v>37.270573501699999</v>
      </c>
      <c r="O220" s="419">
        <f t="shared" si="4"/>
        <v>0</v>
      </c>
    </row>
    <row r="221" spans="1:15" s="132" customFormat="1">
      <c r="A221" s="237" t="s">
        <v>242</v>
      </c>
      <c r="B221" s="236" t="s">
        <v>34</v>
      </c>
      <c r="C221" s="16" t="s">
        <v>360</v>
      </c>
      <c r="D221" s="61" t="s">
        <v>34</v>
      </c>
      <c r="E221" s="419">
        <f t="shared" ref="E221:O226" si="5">SUM(E36,E67,E98)</f>
        <v>34.649020632100004</v>
      </c>
      <c r="F221" s="419">
        <f t="shared" si="5"/>
        <v>33.88604753100001</v>
      </c>
      <c r="G221" s="419">
        <f t="shared" si="5"/>
        <v>32.043307005200006</v>
      </c>
      <c r="H221" s="419">
        <f t="shared" si="5"/>
        <v>34.649020632100004</v>
      </c>
      <c r="I221" s="419">
        <f t="shared" si="5"/>
        <v>33.88604753100001</v>
      </c>
      <c r="J221" s="419">
        <f t="shared" si="5"/>
        <v>32.043307005200006</v>
      </c>
      <c r="K221" s="419">
        <f t="shared" si="5"/>
        <v>0</v>
      </c>
      <c r="L221" s="419">
        <f t="shared" si="5"/>
        <v>35.234585829300016</v>
      </c>
      <c r="M221" s="419">
        <f t="shared" si="5"/>
        <v>31.288271940000008</v>
      </c>
      <c r="N221" s="419">
        <f t="shared" si="5"/>
        <v>35.234585829300016</v>
      </c>
      <c r="O221" s="419">
        <f t="shared" si="5"/>
        <v>0</v>
      </c>
    </row>
    <row r="222" spans="1:15" outlineLevel="1">
      <c r="A222" s="237" t="s">
        <v>242</v>
      </c>
      <c r="B222" s="236" t="s">
        <v>399</v>
      </c>
      <c r="C222" s="16" t="s">
        <v>360</v>
      </c>
      <c r="D222" s="65" t="s">
        <v>296</v>
      </c>
      <c r="E222" s="7">
        <f t="shared" si="5"/>
        <v>10.6270374609</v>
      </c>
      <c r="F222" s="7">
        <f t="shared" si="5"/>
        <v>10.041469830900001</v>
      </c>
      <c r="G222" s="7">
        <f t="shared" si="5"/>
        <v>7.8664918704000009</v>
      </c>
      <c r="H222" s="7">
        <f t="shared" si="5"/>
        <v>10.6270374609</v>
      </c>
      <c r="I222" s="7">
        <f t="shared" si="5"/>
        <v>10.041469830900001</v>
      </c>
      <c r="J222" s="7">
        <f t="shared" si="5"/>
        <v>7.8664918704000009</v>
      </c>
      <c r="K222" s="7">
        <f t="shared" si="5"/>
        <v>0</v>
      </c>
      <c r="L222" s="7">
        <f t="shared" si="5"/>
        <v>14.747036654699997</v>
      </c>
      <c r="M222" s="7">
        <f t="shared" si="5"/>
        <v>11.4431993024</v>
      </c>
      <c r="N222" s="7">
        <f t="shared" si="5"/>
        <v>14.747036654699997</v>
      </c>
      <c r="O222" s="7">
        <f t="shared" si="5"/>
        <v>0</v>
      </c>
    </row>
    <row r="223" spans="1:15" outlineLevel="1">
      <c r="A223" s="237" t="s">
        <v>242</v>
      </c>
      <c r="B223" s="236" t="s">
        <v>400</v>
      </c>
      <c r="C223" s="16" t="s">
        <v>360</v>
      </c>
      <c r="D223" s="65" t="s">
        <v>396</v>
      </c>
      <c r="E223" s="7">
        <f t="shared" si="5"/>
        <v>1.7495387206999997</v>
      </c>
      <c r="F223" s="7">
        <f t="shared" si="5"/>
        <v>1.7359575806999996</v>
      </c>
      <c r="G223" s="7">
        <f t="shared" si="5"/>
        <v>1.8221267306999995</v>
      </c>
      <c r="H223" s="7">
        <f t="shared" si="5"/>
        <v>1.7495387206999997</v>
      </c>
      <c r="I223" s="7">
        <f t="shared" si="5"/>
        <v>1.7359575806999996</v>
      </c>
      <c r="J223" s="7">
        <f t="shared" si="5"/>
        <v>1.8221267306999995</v>
      </c>
      <c r="K223" s="7">
        <f t="shared" si="5"/>
        <v>0</v>
      </c>
      <c r="L223" s="7">
        <f t="shared" si="5"/>
        <v>2.4086914773000001</v>
      </c>
      <c r="M223" s="7">
        <f t="shared" si="5"/>
        <v>0.83918411199999998</v>
      </c>
      <c r="N223" s="7">
        <f t="shared" si="5"/>
        <v>2.4086914773000001</v>
      </c>
      <c r="O223" s="7">
        <f t="shared" si="5"/>
        <v>0</v>
      </c>
    </row>
    <row r="224" spans="1:15" outlineLevel="1">
      <c r="A224" s="237" t="s">
        <v>242</v>
      </c>
      <c r="B224" s="236" t="s">
        <v>401</v>
      </c>
      <c r="C224" s="16" t="s">
        <v>360</v>
      </c>
      <c r="D224" s="65" t="s">
        <v>397</v>
      </c>
      <c r="E224" s="7">
        <f t="shared" si="5"/>
        <v>5.0692888919000003</v>
      </c>
      <c r="F224" s="7">
        <f t="shared" si="5"/>
        <v>5.0161916307999999</v>
      </c>
      <c r="G224" s="7">
        <f t="shared" si="5"/>
        <v>4.4620811191999996</v>
      </c>
      <c r="H224" s="7">
        <f t="shared" si="5"/>
        <v>5.0692888919000003</v>
      </c>
      <c r="I224" s="7">
        <f t="shared" si="5"/>
        <v>5.0161916307999999</v>
      </c>
      <c r="J224" s="7">
        <f t="shared" si="5"/>
        <v>4.4620811191999996</v>
      </c>
      <c r="K224" s="7">
        <f t="shared" si="5"/>
        <v>0</v>
      </c>
      <c r="L224" s="7">
        <f t="shared" si="5"/>
        <v>6.5211214017999994</v>
      </c>
      <c r="M224" s="7">
        <f t="shared" si="5"/>
        <v>4.3756011241999992</v>
      </c>
      <c r="N224" s="7">
        <f t="shared" si="5"/>
        <v>6.5211214017999994</v>
      </c>
      <c r="O224" s="7">
        <f t="shared" si="5"/>
        <v>0</v>
      </c>
    </row>
    <row r="225" spans="1:15" outlineLevel="1">
      <c r="A225" s="237" t="s">
        <v>242</v>
      </c>
      <c r="B225" s="236" t="s">
        <v>93</v>
      </c>
      <c r="C225" s="25" t="s">
        <v>360</v>
      </c>
      <c r="D225" s="65" t="s">
        <v>35</v>
      </c>
      <c r="E225" s="7">
        <f t="shared" si="5"/>
        <v>2.9048750385999993</v>
      </c>
      <c r="F225" s="7">
        <f t="shared" si="5"/>
        <v>2.9048750385999993</v>
      </c>
      <c r="G225" s="7">
        <f t="shared" si="5"/>
        <v>5.1556298249000001</v>
      </c>
      <c r="H225" s="7">
        <f t="shared" si="5"/>
        <v>2.9048750385999993</v>
      </c>
      <c r="I225" s="7">
        <f t="shared" si="5"/>
        <v>2.9048750385999993</v>
      </c>
      <c r="J225" s="7">
        <f t="shared" si="5"/>
        <v>5.1556298249000001</v>
      </c>
      <c r="K225" s="7">
        <f t="shared" si="5"/>
        <v>0</v>
      </c>
      <c r="L225" s="7">
        <f t="shared" si="5"/>
        <v>2.1444050955000007</v>
      </c>
      <c r="M225" s="7">
        <f t="shared" si="5"/>
        <v>4.7309565314000004</v>
      </c>
      <c r="N225" s="7">
        <f t="shared" si="5"/>
        <v>2.1444050955000007</v>
      </c>
      <c r="O225" s="7">
        <f t="shared" si="5"/>
        <v>0</v>
      </c>
    </row>
    <row r="226" spans="1:15" outlineLevel="1">
      <c r="A226" s="237" t="s">
        <v>242</v>
      </c>
      <c r="B226" s="236" t="s">
        <v>238</v>
      </c>
      <c r="C226" s="25" t="s">
        <v>360</v>
      </c>
      <c r="D226" s="65" t="s">
        <v>36</v>
      </c>
      <c r="E226" s="7">
        <f t="shared" si="5"/>
        <v>14.298280520000002</v>
      </c>
      <c r="F226" s="7">
        <f t="shared" si="5"/>
        <v>14.187553449999999</v>
      </c>
      <c r="G226" s="7">
        <f t="shared" si="5"/>
        <v>12.73697746</v>
      </c>
      <c r="H226" s="7">
        <f t="shared" si="5"/>
        <v>14.298280520000002</v>
      </c>
      <c r="I226" s="7">
        <f t="shared" si="5"/>
        <v>14.187553449999999</v>
      </c>
      <c r="J226" s="7">
        <f t="shared" si="5"/>
        <v>12.73697746</v>
      </c>
      <c r="K226" s="7">
        <f t="shared" si="5"/>
        <v>0</v>
      </c>
      <c r="L226" s="7">
        <f t="shared" si="5"/>
        <v>9.4133311999999982</v>
      </c>
      <c r="M226" s="7">
        <f t="shared" si="5"/>
        <v>9.8993308699999965</v>
      </c>
      <c r="N226" s="7">
        <f t="shared" si="5"/>
        <v>9.4133311999999982</v>
      </c>
      <c r="O226" s="7">
        <f t="shared" si="5"/>
        <v>0</v>
      </c>
    </row>
    <row r="227" spans="1:15" outlineLevel="1">
      <c r="A227" s="237" t="s">
        <v>242</v>
      </c>
      <c r="B227" s="236" t="s">
        <v>402</v>
      </c>
      <c r="C227" s="25" t="s">
        <v>360</v>
      </c>
      <c r="D227" s="65" t="s">
        <v>398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</sheetData>
  <autoFilter ref="C12:D196" xr:uid="{FBA03D81-6969-4452-BACF-6B59E0ADFC1E}"/>
  <mergeCells count="3">
    <mergeCell ref="E7:G7"/>
    <mergeCell ref="H7:J7"/>
    <mergeCell ref="L7:O7"/>
  </mergeCells>
  <pageMargins left="0.7" right="0.7" top="0.75" bottom="0.75" header="0.3" footer="0.3"/>
  <pageSetup orientation="portrait" r:id="rId1"/>
  <customProperties>
    <customPr name="COR_MapSheets" r:id="rId2"/>
    <customPr name="Serialized_Sheet_Mapping" r:id="rId3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A8694-8D56-4302-97CB-F90D637D864F}">
  <sheetPr>
    <tabColor theme="4" tint="-0.249977111117893"/>
  </sheetPr>
  <dimension ref="A1:AN286"/>
  <sheetViews>
    <sheetView zoomScale="80" zoomScaleNormal="80" workbookViewId="0">
      <pane xSplit="4" ySplit="12" topLeftCell="E13" activePane="bottomRight" state="frozen"/>
      <selection pane="topRight" activeCell="D1" sqref="D1"/>
      <selection pane="bottomLeft" activeCell="A15" sqref="A15"/>
      <selection pane="bottomRight" activeCell="H27" sqref="H27"/>
    </sheetView>
  </sheetViews>
  <sheetFormatPr defaultColWidth="9" defaultRowHeight="14.4" outlineLevelRow="1"/>
  <cols>
    <col min="1" max="1" width="8.88671875" style="237"/>
    <col min="2" max="2" width="11.44140625" style="235" customWidth="1"/>
    <col min="3" max="3" width="15.44140625" customWidth="1"/>
    <col min="4" max="4" width="30.6640625" customWidth="1"/>
    <col min="5" max="10" width="11.5546875" customWidth="1"/>
    <col min="11" max="11" width="2.109375" style="2" customWidth="1"/>
    <col min="12" max="12" width="11.6640625" style="1" customWidth="1"/>
    <col min="13" max="14" width="11.44140625" style="1" customWidth="1"/>
    <col min="15" max="15" width="8.5546875" style="1" customWidth="1"/>
    <col min="19" max="16384" width="9" style="1"/>
  </cols>
  <sheetData>
    <row r="1" spans="1:18">
      <c r="D1" s="1"/>
      <c r="K1"/>
      <c r="L1"/>
      <c r="M1"/>
      <c r="N1"/>
      <c r="O1"/>
    </row>
    <row r="2" spans="1:18" ht="16.2" customHeight="1">
      <c r="D2" s="1"/>
      <c r="K2"/>
      <c r="L2"/>
      <c r="M2"/>
      <c r="O2" s="7"/>
    </row>
    <row r="3" spans="1:18" ht="13.2" customHeight="1">
      <c r="K3"/>
      <c r="L3"/>
      <c r="M3"/>
      <c r="N3"/>
      <c r="O3" s="168"/>
    </row>
    <row r="4" spans="1:18" ht="12.6" customHeight="1">
      <c r="C4" s="9" t="s">
        <v>1</v>
      </c>
      <c r="K4"/>
      <c r="L4"/>
      <c r="M4"/>
      <c r="N4"/>
      <c r="O4" s="168"/>
    </row>
    <row r="5" spans="1:18">
      <c r="C5" s="10" t="s">
        <v>0</v>
      </c>
      <c r="K5"/>
      <c r="L5"/>
      <c r="M5"/>
      <c r="N5"/>
      <c r="O5"/>
    </row>
    <row r="6" spans="1:18" ht="11.7" customHeight="1">
      <c r="C6" s="10" t="s">
        <v>2</v>
      </c>
    </row>
    <row r="7" spans="1:18" ht="15" thickBot="1">
      <c r="C7" s="11" t="s">
        <v>4</v>
      </c>
      <c r="E7" s="7"/>
    </row>
    <row r="8" spans="1:18" ht="13.2" customHeight="1">
      <c r="C8" s="10" t="s">
        <v>7</v>
      </c>
      <c r="E8" s="66" t="s">
        <v>112</v>
      </c>
      <c r="F8" s="67" t="s">
        <v>113</v>
      </c>
      <c r="G8" s="68" t="s">
        <v>114</v>
      </c>
      <c r="H8" s="66" t="s">
        <v>112</v>
      </c>
      <c r="I8" s="67" t="s">
        <v>113</v>
      </c>
      <c r="J8" s="68" t="s">
        <v>114</v>
      </c>
      <c r="K8" s="89"/>
      <c r="L8" s="66" t="s">
        <v>46</v>
      </c>
      <c r="M8" s="106" t="s">
        <v>161</v>
      </c>
      <c r="N8" s="106" t="s">
        <v>46</v>
      </c>
      <c r="O8" s="608" t="s">
        <v>124</v>
      </c>
    </row>
    <row r="9" spans="1:18">
      <c r="C9" s="12"/>
      <c r="D9" s="59"/>
      <c r="E9" s="69" t="s">
        <v>8</v>
      </c>
      <c r="F9" s="13" t="s">
        <v>8</v>
      </c>
      <c r="G9" s="70" t="s">
        <v>8</v>
      </c>
      <c r="H9" s="69" t="s">
        <v>8</v>
      </c>
      <c r="I9" s="13" t="s">
        <v>8</v>
      </c>
      <c r="J9" s="70" t="s">
        <v>8</v>
      </c>
      <c r="K9" s="90"/>
      <c r="L9" s="69" t="s">
        <v>8</v>
      </c>
      <c r="M9" s="609" t="s">
        <v>8</v>
      </c>
      <c r="N9" s="609" t="s">
        <v>8</v>
      </c>
      <c r="O9" s="70" t="s">
        <v>8</v>
      </c>
    </row>
    <row r="10" spans="1:18">
      <c r="C10" s="12"/>
      <c r="D10" s="59"/>
      <c r="E10" s="298" t="str">
        <f>INPUT!$B$2</f>
        <v>4Q</v>
      </c>
      <c r="F10" s="298" t="str">
        <f>INPUT!$B$2</f>
        <v>4Q</v>
      </c>
      <c r="G10" s="298" t="str">
        <f>INPUT!$B$2</f>
        <v>4Q</v>
      </c>
      <c r="H10" s="298" t="str">
        <f>INPUT!$B$4</f>
        <v>NovQTD</v>
      </c>
      <c r="I10" s="298" t="str">
        <f>INPUT!$B$4</f>
        <v>NovQTD</v>
      </c>
      <c r="J10" s="298" t="str">
        <f>INPUT!$B$4</f>
        <v>NovQTD</v>
      </c>
      <c r="K10" s="91"/>
      <c r="L10" s="298" t="str">
        <f>INPUT!$B$4</f>
        <v>NovQTD</v>
      </c>
      <c r="M10" s="298" t="str">
        <f>INPUT!$B$4</f>
        <v>NovQTD</v>
      </c>
      <c r="N10" s="298" t="str">
        <f>INPUT!$B$2</f>
        <v>4Q</v>
      </c>
      <c r="O10" s="610" t="str">
        <f>INPUT!$B$2</f>
        <v>4Q</v>
      </c>
      <c r="P10" s="1"/>
    </row>
    <row r="11" spans="1:18">
      <c r="C11" s="12"/>
      <c r="D11" s="59"/>
      <c r="E11" s="69" t="s">
        <v>202</v>
      </c>
      <c r="F11" s="13" t="str">
        <f>E11</f>
        <v>Daily Load</v>
      </c>
      <c r="G11" s="70" t="str">
        <f>E11</f>
        <v>Daily Load</v>
      </c>
      <c r="H11" s="69" t="str">
        <f>E11</f>
        <v>Daily Load</v>
      </c>
      <c r="I11" s="13" t="str">
        <f>H11</f>
        <v>Daily Load</v>
      </c>
      <c r="J11" s="70" t="str">
        <f>I11</f>
        <v>Daily Load</v>
      </c>
      <c r="K11" s="90"/>
      <c r="L11" s="69" t="s">
        <v>202</v>
      </c>
      <c r="M11" s="609" t="str">
        <f>L11</f>
        <v>Daily Load</v>
      </c>
      <c r="N11" s="609" t="str">
        <f>M11</f>
        <v>Daily Load</v>
      </c>
      <c r="O11" s="70" t="str">
        <f>M11</f>
        <v>Daily Load</v>
      </c>
      <c r="P11" s="1"/>
    </row>
    <row r="12" spans="1:18">
      <c r="A12" s="238" t="s">
        <v>240</v>
      </c>
      <c r="B12" s="236" t="s">
        <v>241</v>
      </c>
      <c r="C12" s="12"/>
      <c r="D12" s="59"/>
      <c r="E12" s="71" t="str">
        <f>INPUT!$E$2</f>
        <v>LD111325</v>
      </c>
      <c r="F12" s="14" t="str">
        <f>INPUT!$E$3</f>
        <v>LD111225</v>
      </c>
      <c r="G12" s="72" t="str">
        <f>INPUT!$E$4</f>
        <v>LD110725</v>
      </c>
      <c r="H12" s="71" t="str">
        <f>INPUT!$E$2</f>
        <v>LD111325</v>
      </c>
      <c r="I12" s="14" t="str">
        <f>INPUT!$E$3</f>
        <v>LD111225</v>
      </c>
      <c r="J12" s="72" t="str">
        <f>INPUT!$E$4</f>
        <v>LD110725</v>
      </c>
      <c r="K12" s="92"/>
      <c r="L12" s="71" t="str">
        <f>INPUT!E5</f>
        <v>LD111424</v>
      </c>
      <c r="M12" s="611" t="str">
        <f>INPUT!F9</f>
        <v>Ld103124</v>
      </c>
      <c r="N12" s="611" t="str">
        <f>INPUT!E5</f>
        <v>LD111424</v>
      </c>
      <c r="O12" s="72" t="str">
        <f>INPUT!F10</f>
        <v>Ld3Q24Final</v>
      </c>
      <c r="P12" s="1"/>
    </row>
    <row r="13" spans="1:18" s="4" customFormat="1" ht="18">
      <c r="A13" s="237">
        <v>26</v>
      </c>
      <c r="B13" s="236" t="s">
        <v>13</v>
      </c>
      <c r="C13" s="15" t="s">
        <v>11</v>
      </c>
      <c r="D13" s="60" t="s">
        <v>12</v>
      </c>
      <c r="E13" s="73">
        <v>2526.2663155929995</v>
      </c>
      <c r="F13" s="74">
        <v>2505.5187896530001</v>
      </c>
      <c r="G13" s="75">
        <v>2221.5699533829998</v>
      </c>
      <c r="H13" s="82">
        <v>23.861865222999999</v>
      </c>
      <c r="I13" s="18">
        <v>23.861865222999999</v>
      </c>
      <c r="J13" s="83">
        <v>23.690340653000014</v>
      </c>
      <c r="K13" s="93"/>
      <c r="L13" s="82">
        <v>40.810043262999997</v>
      </c>
      <c r="M13" s="612">
        <v>65.63359147200002</v>
      </c>
      <c r="N13" s="612">
        <v>282.98247258499998</v>
      </c>
      <c r="O13" s="613">
        <v>0</v>
      </c>
      <c r="P13" s="131"/>
    </row>
    <row r="14" spans="1:18" s="4" customFormat="1" ht="18">
      <c r="A14" s="237">
        <v>26</v>
      </c>
      <c r="B14" s="236" t="s">
        <v>243</v>
      </c>
      <c r="C14" s="578"/>
      <c r="D14" s="579"/>
      <c r="E14" s="73"/>
      <c r="F14" s="74"/>
      <c r="G14" s="75"/>
      <c r="H14" s="82"/>
      <c r="I14" s="18"/>
      <c r="J14" s="83"/>
      <c r="K14" s="93"/>
      <c r="L14" s="82"/>
      <c r="M14" s="612"/>
      <c r="N14" s="612"/>
      <c r="O14" s="83"/>
      <c r="P14" s="131"/>
    </row>
    <row r="15" spans="1:18" s="4" customFormat="1">
      <c r="A15" s="237">
        <v>26</v>
      </c>
      <c r="B15" s="236" t="s">
        <v>234</v>
      </c>
      <c r="C15" s="19" t="s">
        <v>11</v>
      </c>
      <c r="D15" s="61" t="s">
        <v>14</v>
      </c>
      <c r="E15" s="73">
        <v>0</v>
      </c>
      <c r="F15" s="74">
        <v>0</v>
      </c>
      <c r="G15" s="75">
        <v>0</v>
      </c>
      <c r="H15" s="82">
        <v>0</v>
      </c>
      <c r="I15" s="18">
        <v>0</v>
      </c>
      <c r="J15" s="83">
        <v>0</v>
      </c>
      <c r="K15" s="93"/>
      <c r="L15" s="82">
        <v>0</v>
      </c>
      <c r="M15" s="612">
        <v>0</v>
      </c>
      <c r="N15" s="612">
        <v>0</v>
      </c>
      <c r="O15" s="83">
        <v>0</v>
      </c>
      <c r="P15" s="131"/>
    </row>
    <row r="16" spans="1:18">
      <c r="A16" s="237">
        <v>26</v>
      </c>
      <c r="B16" s="236" t="s">
        <v>58</v>
      </c>
      <c r="C16" s="19" t="s">
        <v>11</v>
      </c>
      <c r="D16" s="20" t="s">
        <v>15</v>
      </c>
      <c r="E16" s="76">
        <v>1426.075435363</v>
      </c>
      <c r="F16" s="7">
        <v>1415.8067893930001</v>
      </c>
      <c r="G16" s="77">
        <v>1365.0789998930002</v>
      </c>
      <c r="H16" s="84">
        <v>15.610462392999999</v>
      </c>
      <c r="I16" s="5">
        <v>15.610462392999999</v>
      </c>
      <c r="J16" s="85">
        <v>15.226863003</v>
      </c>
      <c r="K16" s="94"/>
      <c r="L16" s="84">
        <v>11.00684481</v>
      </c>
      <c r="M16" s="614">
        <v>8.5145758300000001</v>
      </c>
      <c r="N16" s="614">
        <v>90.101387249999988</v>
      </c>
      <c r="O16" s="85">
        <v>0</v>
      </c>
      <c r="P16" s="131"/>
      <c r="Q16" s="1"/>
      <c r="R16" s="1"/>
    </row>
    <row r="17" spans="1:18">
      <c r="A17" s="237">
        <v>26</v>
      </c>
      <c r="B17" s="236" t="s">
        <v>17</v>
      </c>
      <c r="C17" s="21" t="s">
        <v>11</v>
      </c>
      <c r="D17" s="426" t="s">
        <v>17</v>
      </c>
      <c r="E17" s="76">
        <v>62.495480669999992</v>
      </c>
      <c r="F17" s="7">
        <v>62.494506099999995</v>
      </c>
      <c r="G17" s="77">
        <v>62.947048770000002</v>
      </c>
      <c r="H17" s="84">
        <v>3.8019831000000002</v>
      </c>
      <c r="I17" s="5">
        <v>3.8019831000000002</v>
      </c>
      <c r="J17" s="85">
        <v>3.67668667</v>
      </c>
      <c r="K17" s="94"/>
      <c r="L17" s="84">
        <v>2.5251910400000002</v>
      </c>
      <c r="M17" s="614">
        <v>2.3779526500000001</v>
      </c>
      <c r="N17" s="614">
        <v>11.199516110000003</v>
      </c>
      <c r="O17" s="85">
        <v>0</v>
      </c>
      <c r="P17" s="131"/>
      <c r="Q17" s="1"/>
      <c r="R17" s="1"/>
    </row>
    <row r="18" spans="1:18">
      <c r="A18" s="237">
        <v>26</v>
      </c>
      <c r="B18" s="236" t="s">
        <v>18</v>
      </c>
      <c r="C18" s="21" t="s">
        <v>11</v>
      </c>
      <c r="D18" s="426" t="s">
        <v>18</v>
      </c>
      <c r="E18" s="76">
        <v>1.0500000000000001E-2</v>
      </c>
      <c r="F18" s="7">
        <v>1.0500000000000001E-2</v>
      </c>
      <c r="G18" s="77">
        <v>1.0500000000000001E-2</v>
      </c>
      <c r="H18" s="84">
        <v>0</v>
      </c>
      <c r="I18" s="5">
        <v>0</v>
      </c>
      <c r="J18" s="85">
        <v>0</v>
      </c>
      <c r="K18" s="94"/>
      <c r="L18" s="84">
        <v>0.4458106</v>
      </c>
      <c r="M18" s="614">
        <v>0.42202442000000001</v>
      </c>
      <c r="N18" s="614">
        <v>7.8257179499999996</v>
      </c>
      <c r="O18" s="85">
        <v>0</v>
      </c>
      <c r="P18" s="131"/>
      <c r="Q18" s="1"/>
      <c r="R18" s="1"/>
    </row>
    <row r="19" spans="1:18">
      <c r="A19" s="237">
        <v>26</v>
      </c>
      <c r="B19" s="236" t="s">
        <v>19</v>
      </c>
      <c r="C19" s="21" t="s">
        <v>11</v>
      </c>
      <c r="D19" s="426" t="s">
        <v>19</v>
      </c>
      <c r="E19" s="76">
        <v>39.001622310000002</v>
      </c>
      <c r="F19" s="7">
        <v>38.784822310000003</v>
      </c>
      <c r="G19" s="77">
        <v>37.327297609999995</v>
      </c>
      <c r="H19" s="84">
        <v>1.1710385899999993</v>
      </c>
      <c r="I19" s="5">
        <v>1.1710385899999993</v>
      </c>
      <c r="J19" s="85">
        <v>1.0914740000000003</v>
      </c>
      <c r="K19" s="94"/>
      <c r="L19" s="84">
        <v>0.66144985000000023</v>
      </c>
      <c r="M19" s="614">
        <v>0.25128049999999996</v>
      </c>
      <c r="N19" s="614">
        <v>20.891189330000003</v>
      </c>
      <c r="O19" s="85">
        <v>0</v>
      </c>
      <c r="P19" s="131"/>
      <c r="Q19" s="1"/>
      <c r="R19" s="1"/>
    </row>
    <row r="20" spans="1:18">
      <c r="A20" s="237">
        <v>26</v>
      </c>
      <c r="B20" s="236" t="s">
        <v>77</v>
      </c>
      <c r="C20" s="21" t="s">
        <v>11</v>
      </c>
      <c r="D20" s="426" t="s">
        <v>77</v>
      </c>
      <c r="E20" s="76">
        <v>1106.9283639760001</v>
      </c>
      <c r="F20" s="7">
        <v>1096.8774925759999</v>
      </c>
      <c r="G20" s="77">
        <v>1096.0989041659998</v>
      </c>
      <c r="H20" s="84">
        <v>6.2762071759999998</v>
      </c>
      <c r="I20" s="5">
        <v>6.2762071759999998</v>
      </c>
      <c r="J20" s="85">
        <v>5.3376188359999999</v>
      </c>
      <c r="K20" s="94"/>
      <c r="L20" s="84">
        <v>2.6050306700000005</v>
      </c>
      <c r="M20" s="614">
        <v>2.0818223000000007</v>
      </c>
      <c r="N20" s="614">
        <v>43.011492620000006</v>
      </c>
      <c r="O20" s="85">
        <v>0</v>
      </c>
      <c r="P20" s="131"/>
      <c r="Q20" s="1"/>
      <c r="R20" s="1"/>
    </row>
    <row r="21" spans="1:18">
      <c r="A21" s="237">
        <v>26</v>
      </c>
      <c r="B21" s="236" t="s">
        <v>78</v>
      </c>
      <c r="C21" s="21" t="s">
        <v>11</v>
      </c>
      <c r="D21" s="426" t="s">
        <v>78</v>
      </c>
      <c r="E21" s="76">
        <v>98.681608859999983</v>
      </c>
      <c r="F21" s="7">
        <v>98.681608859999983</v>
      </c>
      <c r="G21" s="77">
        <v>68.351356909999993</v>
      </c>
      <c r="H21" s="84">
        <v>3.218298E-2</v>
      </c>
      <c r="I21" s="5">
        <v>3.218298E-2</v>
      </c>
      <c r="J21" s="85">
        <v>5.9999999999999995E-8</v>
      </c>
      <c r="K21" s="94"/>
      <c r="L21" s="84">
        <v>2.5662520000000005E-2</v>
      </c>
      <c r="M21" s="614">
        <v>-0.27115099999999998</v>
      </c>
      <c r="N21" s="614">
        <v>2.7026665099999998</v>
      </c>
      <c r="O21" s="85">
        <v>0</v>
      </c>
      <c r="P21" s="131"/>
      <c r="Q21" s="1"/>
      <c r="R21" s="1"/>
    </row>
    <row r="22" spans="1:18">
      <c r="A22" s="237">
        <v>26</v>
      </c>
      <c r="B22" s="236" t="s">
        <v>393</v>
      </c>
      <c r="C22" s="21" t="s">
        <v>11</v>
      </c>
      <c r="D22" s="426" t="s">
        <v>393</v>
      </c>
      <c r="E22" s="76">
        <v>5.5385409999999996E-2</v>
      </c>
      <c r="F22" s="7">
        <v>5.5385409999999996E-2</v>
      </c>
      <c r="G22" s="77">
        <v>8.8000059999999991E-2</v>
      </c>
      <c r="H22" s="84">
        <v>-3.2614589999999999E-2</v>
      </c>
      <c r="I22" s="5">
        <v>-3.2614589999999999E-2</v>
      </c>
      <c r="J22" s="85">
        <v>6.0000000000000008E-8</v>
      </c>
      <c r="K22" s="94"/>
      <c r="L22" s="84">
        <v>0</v>
      </c>
      <c r="M22" s="614">
        <v>8.0000000000000002E-8</v>
      </c>
      <c r="N22" s="614">
        <v>0.82435448999999994</v>
      </c>
      <c r="O22" s="85">
        <v>0</v>
      </c>
      <c r="P22" s="131"/>
      <c r="Q22" s="1"/>
      <c r="R22" s="1"/>
    </row>
    <row r="23" spans="1:18">
      <c r="A23" s="237">
        <v>26</v>
      </c>
      <c r="B23" s="236" t="s">
        <v>80</v>
      </c>
      <c r="C23" s="21" t="s">
        <v>11</v>
      </c>
      <c r="D23" s="426" t="s">
        <v>80</v>
      </c>
      <c r="E23" s="76">
        <v>-1.43405892</v>
      </c>
      <c r="F23" s="7">
        <v>-1.43405892</v>
      </c>
      <c r="G23" s="77">
        <v>-0.5755519899999999</v>
      </c>
      <c r="H23" s="84">
        <v>-2.25855892</v>
      </c>
      <c r="I23" s="5">
        <v>-2.25855892</v>
      </c>
      <c r="J23" s="85">
        <v>-1.4000519899999999</v>
      </c>
      <c r="K23" s="94"/>
      <c r="L23" s="84">
        <v>-0.04</v>
      </c>
      <c r="M23" s="614">
        <v>-0.49912499999999999</v>
      </c>
      <c r="N23" s="614">
        <v>-4.9718929999999997</v>
      </c>
      <c r="O23" s="85">
        <v>0</v>
      </c>
      <c r="P23" s="131"/>
      <c r="Q23" s="1"/>
      <c r="R23" s="1"/>
    </row>
    <row r="24" spans="1:18">
      <c r="A24" s="237">
        <v>26</v>
      </c>
      <c r="B24" s="236" t="s">
        <v>104</v>
      </c>
      <c r="C24" s="21" t="s">
        <v>11</v>
      </c>
      <c r="D24" s="64" t="s">
        <v>405</v>
      </c>
      <c r="E24" s="76">
        <v>2.56509578</v>
      </c>
      <c r="F24" s="7">
        <v>2.56509578</v>
      </c>
      <c r="G24" s="77">
        <v>2.56017334</v>
      </c>
      <c r="H24" s="84">
        <v>4.3304399999999996E-3</v>
      </c>
      <c r="I24" s="5">
        <v>4.3304399999999996E-3</v>
      </c>
      <c r="J24" s="85">
        <v>-5.9199999999999997E-4</v>
      </c>
      <c r="K24" s="94"/>
      <c r="L24" s="84">
        <v>0.45715188999999995</v>
      </c>
      <c r="M24" s="614">
        <v>0.45615389000000001</v>
      </c>
      <c r="N24" s="614">
        <v>0.3637581399999999</v>
      </c>
      <c r="O24" s="85">
        <v>0</v>
      </c>
      <c r="P24" s="131"/>
      <c r="Q24" s="1"/>
      <c r="R24" s="1"/>
    </row>
    <row r="25" spans="1:18" s="367" customFormat="1">
      <c r="A25" s="278">
        <v>26</v>
      </c>
      <c r="B25" s="236" t="s">
        <v>105</v>
      </c>
      <c r="C25" s="21" t="s">
        <v>11</v>
      </c>
      <c r="D25" s="65" t="s">
        <v>25</v>
      </c>
      <c r="E25" s="360">
        <v>117.77143727699999</v>
      </c>
      <c r="F25" s="361">
        <v>117.77143727699999</v>
      </c>
      <c r="G25" s="362">
        <v>98.271271026999983</v>
      </c>
      <c r="H25" s="363">
        <v>6.6158936169999993</v>
      </c>
      <c r="I25" s="364">
        <v>6.6158936169999993</v>
      </c>
      <c r="J25" s="365">
        <v>6.5217273669999996</v>
      </c>
      <c r="K25" s="366"/>
      <c r="L25" s="363">
        <v>4.3265482400000002</v>
      </c>
      <c r="M25" s="615">
        <v>3.6956179899999997</v>
      </c>
      <c r="N25" s="615">
        <v>8.2545850999999999</v>
      </c>
      <c r="O25" s="365">
        <v>0</v>
      </c>
      <c r="P25" s="368"/>
    </row>
    <row r="26" spans="1:18" s="132" customFormat="1">
      <c r="A26" s="237">
        <v>26</v>
      </c>
      <c r="B26" s="236" t="s">
        <v>26</v>
      </c>
      <c r="C26" s="19" t="s">
        <v>11</v>
      </c>
      <c r="D26" s="61" t="s">
        <v>26</v>
      </c>
      <c r="E26" s="418">
        <v>819.79435364999995</v>
      </c>
      <c r="F26" s="419">
        <v>818.56387726000003</v>
      </c>
      <c r="G26" s="420">
        <v>745.39349677999996</v>
      </c>
      <c r="H26" s="421">
        <v>4.8138170099999993</v>
      </c>
      <c r="I26" s="422">
        <v>4.8138170099999993</v>
      </c>
      <c r="J26" s="423">
        <v>4.3297562999999988</v>
      </c>
      <c r="K26" s="424"/>
      <c r="L26" s="421">
        <v>10.738278912999998</v>
      </c>
      <c r="M26" s="618">
        <v>21.646909202000014</v>
      </c>
      <c r="N26" s="618">
        <v>124.78084418499999</v>
      </c>
      <c r="O26" s="423">
        <v>0</v>
      </c>
      <c r="P26" s="167"/>
    </row>
    <row r="27" spans="1:18">
      <c r="A27" s="237">
        <v>26</v>
      </c>
      <c r="B27" s="236" t="s">
        <v>235</v>
      </c>
      <c r="C27" s="21" t="s">
        <v>11</v>
      </c>
      <c r="D27" s="65" t="s">
        <v>28</v>
      </c>
      <c r="E27" s="76">
        <v>172.05946745000003</v>
      </c>
      <c r="F27" s="7">
        <v>171.12739144</v>
      </c>
      <c r="G27" s="77">
        <v>157.32315883999999</v>
      </c>
      <c r="H27" s="84">
        <v>0.37718218999999997</v>
      </c>
      <c r="I27" s="5">
        <v>0.37718218999999997</v>
      </c>
      <c r="J27" s="85">
        <v>0.18441934999999998</v>
      </c>
      <c r="K27" s="94"/>
      <c r="L27" s="84">
        <v>-0.46007137000000004</v>
      </c>
      <c r="M27" s="614">
        <v>7.9523541220000009</v>
      </c>
      <c r="N27" s="614">
        <v>16.341103911999998</v>
      </c>
      <c r="O27" s="85">
        <v>0</v>
      </c>
      <c r="P27" s="131"/>
      <c r="Q27" s="1"/>
      <c r="R27" s="1"/>
    </row>
    <row r="28" spans="1:18">
      <c r="A28" s="237">
        <v>26</v>
      </c>
      <c r="B28" s="236" t="s">
        <v>106</v>
      </c>
      <c r="C28" s="21" t="s">
        <v>11</v>
      </c>
      <c r="D28" s="65" t="s">
        <v>27</v>
      </c>
      <c r="E28" s="76">
        <v>207.07893428999998</v>
      </c>
      <c r="F28" s="7">
        <v>207.07893428</v>
      </c>
      <c r="G28" s="77">
        <v>202.14583439</v>
      </c>
      <c r="H28" s="84">
        <v>-4.2599999999999999E-2</v>
      </c>
      <c r="I28" s="5">
        <v>-4.2599999999999999E-2</v>
      </c>
      <c r="J28" s="85">
        <v>-2.7625900000000001E-3</v>
      </c>
      <c r="K28" s="94"/>
      <c r="L28" s="84">
        <v>7.3785580000000003E-2</v>
      </c>
      <c r="M28" s="614">
        <v>5.0000000000000004E-8</v>
      </c>
      <c r="N28" s="614">
        <v>-0.12371128999999999</v>
      </c>
      <c r="O28" s="85">
        <v>0</v>
      </c>
      <c r="P28" s="131"/>
      <c r="Q28" s="1"/>
      <c r="R28" s="1"/>
    </row>
    <row r="29" spans="1:18">
      <c r="A29" s="237">
        <v>26</v>
      </c>
      <c r="B29" s="236" t="s">
        <v>87</v>
      </c>
      <c r="C29" s="21" t="s">
        <v>11</v>
      </c>
      <c r="D29" s="65" t="s">
        <v>30</v>
      </c>
      <c r="E29" s="76">
        <v>156.35991716000001</v>
      </c>
      <c r="F29" s="7">
        <v>156.35991716000001</v>
      </c>
      <c r="G29" s="77">
        <v>143.18240901999999</v>
      </c>
      <c r="H29" s="84">
        <v>-0.51309185000000002</v>
      </c>
      <c r="I29" s="5">
        <v>-0.51309185000000002</v>
      </c>
      <c r="J29" s="85">
        <v>-0.24282895000000002</v>
      </c>
      <c r="K29" s="94"/>
      <c r="L29" s="84">
        <v>0.11861064999999996</v>
      </c>
      <c r="M29" s="614">
        <v>0.11371624000000001</v>
      </c>
      <c r="N29" s="614">
        <v>20.86960178</v>
      </c>
      <c r="O29" s="85">
        <v>0</v>
      </c>
      <c r="P29" s="131"/>
      <c r="Q29" s="1"/>
      <c r="R29" s="1"/>
    </row>
    <row r="30" spans="1:18">
      <c r="A30" s="237">
        <v>26</v>
      </c>
      <c r="B30" s="236" t="s">
        <v>107</v>
      </c>
      <c r="C30" s="21" t="s">
        <v>11</v>
      </c>
      <c r="D30" s="65" t="s">
        <v>29</v>
      </c>
      <c r="E30" s="76">
        <v>147.38029316000001</v>
      </c>
      <c r="F30" s="7">
        <v>147.38029316000001</v>
      </c>
      <c r="G30" s="77">
        <v>98.623448820000007</v>
      </c>
      <c r="H30" s="84">
        <v>0</v>
      </c>
      <c r="I30" s="5">
        <v>0</v>
      </c>
      <c r="J30" s="85">
        <v>-6.7874690000000001E-2</v>
      </c>
      <c r="K30" s="94"/>
      <c r="L30" s="84">
        <v>0.14024841000000002</v>
      </c>
      <c r="M30" s="614">
        <v>0.14300014</v>
      </c>
      <c r="N30" s="614">
        <v>9.7725094699999993</v>
      </c>
      <c r="O30" s="85">
        <v>0</v>
      </c>
      <c r="P30" s="131"/>
      <c r="Q30" s="1"/>
      <c r="R30" s="1"/>
    </row>
    <row r="31" spans="1:18">
      <c r="A31" s="237">
        <v>26</v>
      </c>
      <c r="B31" s="236" t="s">
        <v>236</v>
      </c>
      <c r="C31" s="21" t="s">
        <v>11</v>
      </c>
      <c r="D31" s="65" t="s">
        <v>31</v>
      </c>
      <c r="E31" s="76">
        <v>48.90134887</v>
      </c>
      <c r="F31" s="7">
        <v>48.879701619999999</v>
      </c>
      <c r="G31" s="77">
        <v>48.897024270000003</v>
      </c>
      <c r="H31" s="84">
        <v>4.0412636500000003</v>
      </c>
      <c r="I31" s="5">
        <v>4.0412636500000003</v>
      </c>
      <c r="J31" s="85">
        <v>3.9941699999999996</v>
      </c>
      <c r="K31" s="94"/>
      <c r="L31" s="84">
        <v>3.7304300000000006E-2</v>
      </c>
      <c r="M31" s="614">
        <v>4.0517580000000004E-2</v>
      </c>
      <c r="N31" s="614">
        <v>6.9630635700000001</v>
      </c>
      <c r="O31" s="85">
        <v>0</v>
      </c>
      <c r="P31" s="131"/>
      <c r="Q31" s="1"/>
      <c r="R31" s="1"/>
    </row>
    <row r="32" spans="1:18">
      <c r="A32" s="237">
        <v>26</v>
      </c>
      <c r="B32" s="236" t="s">
        <v>237</v>
      </c>
      <c r="C32" s="21" t="s">
        <v>11</v>
      </c>
      <c r="D32" s="65" t="s">
        <v>394</v>
      </c>
      <c r="E32" s="76">
        <v>33.29585488</v>
      </c>
      <c r="F32" s="7">
        <v>33.019101759999998</v>
      </c>
      <c r="G32" s="77">
        <v>32.85915206</v>
      </c>
      <c r="H32" s="84">
        <v>0.79136322999999997</v>
      </c>
      <c r="I32" s="5">
        <v>0.79136322999999997</v>
      </c>
      <c r="J32" s="85">
        <v>0.55188419999999994</v>
      </c>
      <c r="K32" s="94"/>
      <c r="L32" s="84">
        <v>8.9735307000000013</v>
      </c>
      <c r="M32" s="614">
        <v>8.9069258300000023</v>
      </c>
      <c r="N32" s="614">
        <v>51.149755300000002</v>
      </c>
      <c r="O32" s="85">
        <v>0</v>
      </c>
      <c r="P32" s="131"/>
      <c r="Q32" s="1"/>
      <c r="R32" s="1"/>
    </row>
    <row r="33" spans="1:18">
      <c r="A33" s="237">
        <v>26</v>
      </c>
      <c r="B33" s="236" t="s">
        <v>163</v>
      </c>
      <c r="C33" s="21" t="s">
        <v>11</v>
      </c>
      <c r="D33" s="65" t="s">
        <v>403</v>
      </c>
      <c r="E33" s="76">
        <v>54.718537840000003</v>
      </c>
      <c r="F33" s="7">
        <v>54.718537840000003</v>
      </c>
      <c r="G33" s="77">
        <v>62.36246938</v>
      </c>
      <c r="H33" s="84">
        <v>0.15969978999999995</v>
      </c>
      <c r="I33" s="5">
        <v>0.15969978999999995</v>
      </c>
      <c r="J33" s="85">
        <v>-8.7251020000000012E-2</v>
      </c>
      <c r="K33" s="94"/>
      <c r="L33" s="84">
        <v>1.8548706430000002</v>
      </c>
      <c r="M33" s="614">
        <v>4.4903952399999998</v>
      </c>
      <c r="N33" s="614">
        <v>19.808521443000004</v>
      </c>
      <c r="O33" s="85">
        <v>0</v>
      </c>
      <c r="P33" s="131"/>
      <c r="Q33" s="1"/>
      <c r="R33" s="1"/>
    </row>
    <row r="34" spans="1:18">
      <c r="A34" s="237">
        <v>26</v>
      </c>
      <c r="B34" s="236" t="s">
        <v>404</v>
      </c>
      <c r="C34" s="580"/>
      <c r="D34" s="65" t="s">
        <v>395</v>
      </c>
      <c r="E34" s="76"/>
      <c r="F34" s="7"/>
      <c r="G34" s="77"/>
      <c r="H34" s="84"/>
      <c r="I34" s="5"/>
      <c r="J34" s="85"/>
      <c r="K34" s="94"/>
      <c r="L34" s="84"/>
      <c r="M34" s="614"/>
      <c r="N34" s="614"/>
      <c r="O34" s="85"/>
      <c r="P34" s="131"/>
      <c r="Q34" s="1"/>
      <c r="R34" s="1"/>
    </row>
    <row r="35" spans="1:18" s="4" customFormat="1">
      <c r="A35" s="237">
        <v>26</v>
      </c>
      <c r="B35" s="236" t="s">
        <v>59</v>
      </c>
      <c r="C35" s="19" t="s">
        <v>11</v>
      </c>
      <c r="D35" s="61" t="s">
        <v>33</v>
      </c>
      <c r="E35" s="73">
        <v>58.22788096</v>
      </c>
      <c r="F35" s="74">
        <v>48.851680959999996</v>
      </c>
      <c r="G35" s="75">
        <v>47.765681229999998</v>
      </c>
      <c r="H35" s="82">
        <v>0.30803226</v>
      </c>
      <c r="I35" s="18">
        <v>0.30803226</v>
      </c>
      <c r="J35" s="83">
        <v>0.30803257000000001</v>
      </c>
      <c r="K35" s="93"/>
      <c r="L35" s="82">
        <v>15.259532009999997</v>
      </c>
      <c r="M35" s="612">
        <v>18.74284415</v>
      </c>
      <c r="N35" s="612">
        <v>34.504361019999997</v>
      </c>
      <c r="O35" s="83">
        <v>0</v>
      </c>
      <c r="P35" s="131"/>
    </row>
    <row r="36" spans="1:18" s="4" customFormat="1">
      <c r="A36" s="237">
        <v>26</v>
      </c>
      <c r="B36" s="236" t="s">
        <v>34</v>
      </c>
      <c r="C36" s="19" t="s">
        <v>11</v>
      </c>
      <c r="D36" s="61" t="s">
        <v>34</v>
      </c>
      <c r="E36" s="73">
        <v>222.16864562000001</v>
      </c>
      <c r="F36" s="74">
        <v>222.29644203999999</v>
      </c>
      <c r="G36" s="75">
        <v>63.331775479999997</v>
      </c>
      <c r="H36" s="82">
        <v>3.1295535600000002</v>
      </c>
      <c r="I36" s="18">
        <v>3.1295535600000002</v>
      </c>
      <c r="J36" s="83">
        <v>3.8256887800000001</v>
      </c>
      <c r="K36" s="93"/>
      <c r="L36" s="82">
        <v>3.8053875300000009</v>
      </c>
      <c r="M36" s="612">
        <v>16.729262289999998</v>
      </c>
      <c r="N36" s="612">
        <v>33.595880129999998</v>
      </c>
      <c r="O36" s="83">
        <v>0</v>
      </c>
      <c r="P36" s="131"/>
    </row>
    <row r="37" spans="1:18">
      <c r="A37" s="237">
        <v>26</v>
      </c>
      <c r="B37" s="236" t="s">
        <v>399</v>
      </c>
      <c r="C37" s="21" t="s">
        <v>11</v>
      </c>
      <c r="D37" s="65" t="s">
        <v>296</v>
      </c>
      <c r="E37" s="76">
        <v>12.926153220000002</v>
      </c>
      <c r="F37" s="7">
        <v>12.926149640000002</v>
      </c>
      <c r="G37" s="77">
        <v>12.910973950000001</v>
      </c>
      <c r="H37" s="84">
        <v>1.517575E-2</v>
      </c>
      <c r="I37" s="5">
        <v>1.517575E-2</v>
      </c>
      <c r="J37" s="85">
        <v>6.0000000000000008E-8</v>
      </c>
      <c r="K37" s="94"/>
      <c r="L37" s="84">
        <v>3.2094763100000003</v>
      </c>
      <c r="M37" s="614">
        <v>16.114713759999997</v>
      </c>
      <c r="N37" s="614">
        <v>15.131740219999999</v>
      </c>
      <c r="O37" s="85">
        <v>0</v>
      </c>
      <c r="P37" s="131"/>
      <c r="Q37" s="1"/>
      <c r="R37" s="1"/>
    </row>
    <row r="38" spans="1:18">
      <c r="A38" s="237">
        <v>26</v>
      </c>
      <c r="B38" s="236" t="s">
        <v>400</v>
      </c>
      <c r="C38" s="21" t="s">
        <v>11</v>
      </c>
      <c r="D38" s="65" t="s">
        <v>396</v>
      </c>
      <c r="E38" s="76">
        <v>8.5605786700000017</v>
      </c>
      <c r="F38" s="7">
        <v>8.6883786700000005</v>
      </c>
      <c r="G38" s="77">
        <v>8.6884276899999993</v>
      </c>
      <c r="H38" s="84">
        <v>9.062329999999999E-2</v>
      </c>
      <c r="I38" s="5">
        <v>9.062329999999999E-2</v>
      </c>
      <c r="J38" s="85">
        <v>9.0674099999999994E-2</v>
      </c>
      <c r="K38" s="94"/>
      <c r="L38" s="84">
        <v>1.2624500000000002E-3</v>
      </c>
      <c r="M38" s="614">
        <v>-2.4686130000000001E-2</v>
      </c>
      <c r="N38" s="614">
        <v>1.08498033</v>
      </c>
      <c r="O38" s="85">
        <v>0</v>
      </c>
      <c r="P38" s="131"/>
      <c r="Q38" s="1"/>
      <c r="R38" s="1"/>
    </row>
    <row r="39" spans="1:18">
      <c r="A39" s="237">
        <v>26</v>
      </c>
      <c r="B39" s="236" t="s">
        <v>401</v>
      </c>
      <c r="C39" s="21" t="s">
        <v>11</v>
      </c>
      <c r="D39" s="65" t="s">
        <v>397</v>
      </c>
      <c r="E39" s="76">
        <v>0</v>
      </c>
      <c r="F39" s="7">
        <v>0</v>
      </c>
      <c r="G39" s="77">
        <v>0</v>
      </c>
      <c r="H39" s="84">
        <v>0</v>
      </c>
      <c r="I39" s="5">
        <v>0</v>
      </c>
      <c r="J39" s="85">
        <v>0</v>
      </c>
      <c r="K39" s="94"/>
      <c r="L39" s="84">
        <v>0</v>
      </c>
      <c r="M39" s="614">
        <v>0</v>
      </c>
      <c r="N39" s="614">
        <v>2.3280000000000004E-5</v>
      </c>
      <c r="O39" s="85">
        <v>0</v>
      </c>
      <c r="P39" s="131"/>
      <c r="Q39" s="1"/>
      <c r="R39" s="1"/>
    </row>
    <row r="40" spans="1:18">
      <c r="A40" s="237">
        <v>26</v>
      </c>
      <c r="B40" s="236" t="s">
        <v>93</v>
      </c>
      <c r="C40" s="21" t="s">
        <v>11</v>
      </c>
      <c r="D40" s="65" t="s">
        <v>35</v>
      </c>
      <c r="E40" s="76">
        <v>160.42647273</v>
      </c>
      <c r="F40" s="7">
        <v>160.42647273</v>
      </c>
      <c r="G40" s="77">
        <v>0.77592953999999992</v>
      </c>
      <c r="H40" s="84">
        <v>0.85440589999999994</v>
      </c>
      <c r="I40" s="5">
        <v>0.85440589999999994</v>
      </c>
      <c r="J40" s="85">
        <v>0.86466270999999995</v>
      </c>
      <c r="K40" s="94"/>
      <c r="L40" s="84">
        <v>0</v>
      </c>
      <c r="M40" s="614">
        <v>0</v>
      </c>
      <c r="N40" s="614">
        <v>3.1125464899999997</v>
      </c>
      <c r="O40" s="85">
        <v>0</v>
      </c>
      <c r="P40" s="131"/>
      <c r="Q40" s="1"/>
      <c r="R40" s="1"/>
    </row>
    <row r="41" spans="1:18">
      <c r="A41" s="237">
        <v>26</v>
      </c>
      <c r="B41" s="236" t="s">
        <v>238</v>
      </c>
      <c r="C41" s="21" t="s">
        <v>11</v>
      </c>
      <c r="D41" s="65" t="s">
        <v>36</v>
      </c>
      <c r="E41" s="76">
        <v>40.255440999999998</v>
      </c>
      <c r="F41" s="7">
        <v>40.255440999999998</v>
      </c>
      <c r="G41" s="77">
        <v>40.956444300000001</v>
      </c>
      <c r="H41" s="84">
        <v>2.1693486099999997</v>
      </c>
      <c r="I41" s="5">
        <v>2.1693486099999997</v>
      </c>
      <c r="J41" s="85">
        <v>2.8703519099999997</v>
      </c>
      <c r="K41" s="94"/>
      <c r="L41" s="84">
        <v>0.59464876999999994</v>
      </c>
      <c r="M41" s="614">
        <v>0.63923465999999984</v>
      </c>
      <c r="N41" s="614">
        <v>14.266589809999999</v>
      </c>
      <c r="O41" s="85">
        <v>0</v>
      </c>
      <c r="P41" s="131"/>
      <c r="Q41" s="1"/>
      <c r="R41" s="1"/>
    </row>
    <row r="42" spans="1:18">
      <c r="A42" s="237">
        <v>26</v>
      </c>
      <c r="B42" s="236" t="s">
        <v>402</v>
      </c>
      <c r="C42" s="580"/>
      <c r="D42" s="65" t="s">
        <v>398</v>
      </c>
      <c r="E42" s="76"/>
      <c r="F42" s="7"/>
      <c r="G42" s="77"/>
      <c r="H42" s="84"/>
      <c r="I42" s="5"/>
      <c r="J42" s="85"/>
      <c r="K42" s="94"/>
      <c r="L42" s="84"/>
      <c r="M42" s="614"/>
      <c r="N42" s="614"/>
      <c r="O42" s="85"/>
      <c r="P42" s="131"/>
      <c r="Q42" s="1"/>
      <c r="R42" s="1"/>
    </row>
    <row r="43" spans="1:18" s="4" customFormat="1">
      <c r="A43" s="237" t="s">
        <v>413</v>
      </c>
      <c r="B43" s="236" t="s">
        <v>413</v>
      </c>
      <c r="C43" s="580"/>
      <c r="D43" s="581"/>
      <c r="E43" s="78"/>
      <c r="F43" s="74"/>
      <c r="G43" s="75"/>
      <c r="H43" s="82"/>
      <c r="I43" s="18"/>
      <c r="J43" s="83"/>
      <c r="K43" s="93"/>
      <c r="L43" s="82"/>
      <c r="M43" s="612"/>
      <c r="N43" s="612"/>
      <c r="O43" s="613"/>
      <c r="P43" s="131"/>
    </row>
    <row r="44" spans="1:18" s="4" customFormat="1" ht="18">
      <c r="A44" s="237" t="s">
        <v>191</v>
      </c>
      <c r="B44" s="236" t="s">
        <v>13</v>
      </c>
      <c r="C44" s="15" t="s">
        <v>37</v>
      </c>
      <c r="D44" s="60" t="s">
        <v>12</v>
      </c>
      <c r="E44" s="73">
        <v>189.34756524150009</v>
      </c>
      <c r="F44" s="74">
        <v>174.52199162209999</v>
      </c>
      <c r="G44" s="75">
        <v>134.78938715510003</v>
      </c>
      <c r="H44" s="82">
        <v>37.15277163559999</v>
      </c>
      <c r="I44" s="18">
        <v>37.15277163559999</v>
      </c>
      <c r="J44" s="83">
        <v>30.77437547620001</v>
      </c>
      <c r="K44" s="93"/>
      <c r="L44" s="82">
        <v>57.714889241599984</v>
      </c>
      <c r="M44" s="612">
        <v>71.101441558799962</v>
      </c>
      <c r="N44" s="612">
        <v>250.99048781850004</v>
      </c>
      <c r="O44" s="83">
        <v>0</v>
      </c>
      <c r="P44" s="131"/>
    </row>
    <row r="45" spans="1:18" s="4" customFormat="1" ht="18">
      <c r="A45" s="237" t="s">
        <v>191</v>
      </c>
      <c r="B45" s="236" t="s">
        <v>243</v>
      </c>
      <c r="C45" s="578"/>
      <c r="D45" s="579"/>
      <c r="E45" s="73"/>
      <c r="F45" s="74"/>
      <c r="G45" s="75"/>
      <c r="H45" s="82"/>
      <c r="I45" s="18"/>
      <c r="J45" s="83"/>
      <c r="K45" s="93"/>
      <c r="L45" s="82"/>
      <c r="M45" s="612"/>
      <c r="N45" s="612"/>
      <c r="O45" s="83"/>
      <c r="P45" s="131"/>
    </row>
    <row r="46" spans="1:18">
      <c r="A46" s="237" t="s">
        <v>191</v>
      </c>
      <c r="B46" s="236" t="s">
        <v>234</v>
      </c>
      <c r="C46" s="19" t="s">
        <v>37</v>
      </c>
      <c r="D46" s="61" t="s">
        <v>14</v>
      </c>
      <c r="E46" s="76">
        <v>0</v>
      </c>
      <c r="F46" s="7">
        <v>0</v>
      </c>
      <c r="G46" s="77">
        <v>0</v>
      </c>
      <c r="H46" s="84">
        <v>0</v>
      </c>
      <c r="I46" s="5">
        <v>0</v>
      </c>
      <c r="J46" s="85">
        <v>0</v>
      </c>
      <c r="K46" s="94"/>
      <c r="L46" s="84">
        <v>0</v>
      </c>
      <c r="M46" s="614">
        <v>0</v>
      </c>
      <c r="N46" s="614">
        <v>0</v>
      </c>
      <c r="O46" s="85">
        <v>0</v>
      </c>
      <c r="P46" s="131"/>
      <c r="Q46" s="1"/>
      <c r="R46" s="1"/>
    </row>
    <row r="47" spans="1:18">
      <c r="A47" s="237" t="s">
        <v>191</v>
      </c>
      <c r="B47" s="236" t="s">
        <v>58</v>
      </c>
      <c r="C47" s="19" t="s">
        <v>37</v>
      </c>
      <c r="D47" s="20" t="s">
        <v>15</v>
      </c>
      <c r="E47" s="76">
        <v>58.546278054099972</v>
      </c>
      <c r="F47" s="7">
        <v>53.888010966200007</v>
      </c>
      <c r="G47" s="77">
        <v>31.275905384000016</v>
      </c>
      <c r="H47" s="84">
        <v>9.8488687856999988</v>
      </c>
      <c r="I47" s="5">
        <v>9.8488687856999988</v>
      </c>
      <c r="J47" s="85">
        <v>3.5102728157000009</v>
      </c>
      <c r="K47" s="94"/>
      <c r="L47" s="84">
        <v>18.726716248300001</v>
      </c>
      <c r="M47" s="614">
        <v>25.118422180600017</v>
      </c>
      <c r="N47" s="614">
        <v>67.811334499000026</v>
      </c>
      <c r="O47" s="85">
        <v>0</v>
      </c>
      <c r="P47" s="131"/>
      <c r="Q47" s="1"/>
      <c r="R47" s="1"/>
    </row>
    <row r="48" spans="1:18">
      <c r="A48" s="237" t="s">
        <v>191</v>
      </c>
      <c r="B48" s="236" t="s">
        <v>17</v>
      </c>
      <c r="C48" s="21" t="s">
        <v>37</v>
      </c>
      <c r="D48" s="426" t="s">
        <v>17</v>
      </c>
      <c r="E48" s="76">
        <v>8.2062808898999968</v>
      </c>
      <c r="F48" s="7">
        <v>8.2062808898999968</v>
      </c>
      <c r="G48" s="77">
        <v>6.6336505536000008</v>
      </c>
      <c r="H48" s="84">
        <v>1.2355832999999998E-2</v>
      </c>
      <c r="I48" s="5">
        <v>1.2355832999999998E-2</v>
      </c>
      <c r="J48" s="85">
        <v>1.2493102999999998E-2</v>
      </c>
      <c r="K48" s="94"/>
      <c r="L48" s="84">
        <v>2.6167766835999999</v>
      </c>
      <c r="M48" s="614">
        <v>2.4906042436</v>
      </c>
      <c r="N48" s="614">
        <v>17.849742911599996</v>
      </c>
      <c r="O48" s="85">
        <v>0</v>
      </c>
      <c r="P48" s="131"/>
      <c r="Q48" s="1"/>
      <c r="R48" s="1"/>
    </row>
    <row r="49" spans="1:18">
      <c r="A49" s="237" t="s">
        <v>191</v>
      </c>
      <c r="B49" s="236" t="s">
        <v>18</v>
      </c>
      <c r="C49" s="21" t="s">
        <v>37</v>
      </c>
      <c r="D49" s="426" t="s">
        <v>18</v>
      </c>
      <c r="E49" s="76">
        <v>8.0696495300000004E-2</v>
      </c>
      <c r="F49" s="7">
        <v>8.0696495300000004E-2</v>
      </c>
      <c r="G49" s="77">
        <v>8.3010465300000003E-2</v>
      </c>
      <c r="H49" s="84">
        <v>8.0696495300000004E-2</v>
      </c>
      <c r="I49" s="5">
        <v>8.0696495300000004E-2</v>
      </c>
      <c r="J49" s="85">
        <v>8.3010465300000003E-2</v>
      </c>
      <c r="K49" s="94"/>
      <c r="L49" s="84">
        <v>0.77817917529999991</v>
      </c>
      <c r="M49" s="614">
        <v>0.65279126530000009</v>
      </c>
      <c r="N49" s="614">
        <v>1.6350996508999995</v>
      </c>
      <c r="O49" s="85">
        <v>0</v>
      </c>
      <c r="P49" s="131"/>
      <c r="Q49" s="1"/>
      <c r="R49" s="1"/>
    </row>
    <row r="50" spans="1:18">
      <c r="A50" s="237" t="s">
        <v>191</v>
      </c>
      <c r="B50" s="236" t="s">
        <v>19</v>
      </c>
      <c r="C50" s="21" t="s">
        <v>37</v>
      </c>
      <c r="D50" s="426" t="s">
        <v>19</v>
      </c>
      <c r="E50" s="76">
        <v>28.2734476141</v>
      </c>
      <c r="F50" s="7">
        <v>28.2555444399</v>
      </c>
      <c r="G50" s="77">
        <v>16.235712358199997</v>
      </c>
      <c r="H50" s="84">
        <v>4.3633485434000008</v>
      </c>
      <c r="I50" s="5">
        <v>4.3633485434000008</v>
      </c>
      <c r="J50" s="85">
        <v>2.3170225533999997</v>
      </c>
      <c r="K50" s="94"/>
      <c r="L50" s="84">
        <v>3.8786675055000002</v>
      </c>
      <c r="M50" s="614">
        <v>12.991969622900001</v>
      </c>
      <c r="N50" s="614">
        <v>19.516276694800009</v>
      </c>
      <c r="O50" s="85">
        <v>0</v>
      </c>
      <c r="P50" s="131"/>
      <c r="Q50" s="1"/>
      <c r="R50" s="1"/>
    </row>
    <row r="51" spans="1:18">
      <c r="A51" s="237" t="s">
        <v>191</v>
      </c>
      <c r="B51" s="236" t="s">
        <v>77</v>
      </c>
      <c r="C51" s="21" t="s">
        <v>37</v>
      </c>
      <c r="D51" s="426" t="s">
        <v>77</v>
      </c>
      <c r="E51" s="76">
        <v>12.567925607900001</v>
      </c>
      <c r="F51" s="7">
        <v>9.2452579108000013</v>
      </c>
      <c r="G51" s="77">
        <v>9.0524130908</v>
      </c>
      <c r="H51" s="84">
        <v>1.0838473018000003</v>
      </c>
      <c r="I51" s="5">
        <v>1.0838473018000003</v>
      </c>
      <c r="J51" s="85">
        <v>0.89100248179999997</v>
      </c>
      <c r="K51" s="94"/>
      <c r="L51" s="84">
        <v>0.58407300049999999</v>
      </c>
      <c r="M51" s="614">
        <v>-0.73035259949999998</v>
      </c>
      <c r="N51" s="614">
        <v>6.6527017148000009</v>
      </c>
      <c r="O51" s="85">
        <v>0</v>
      </c>
      <c r="P51" s="131"/>
      <c r="Q51" s="1"/>
      <c r="R51" s="1"/>
    </row>
    <row r="52" spans="1:18">
      <c r="A52" s="237" t="s">
        <v>191</v>
      </c>
      <c r="B52" s="236" t="s">
        <v>78</v>
      </c>
      <c r="C52" s="21" t="s">
        <v>37</v>
      </c>
      <c r="D52" s="426" t="s">
        <v>78</v>
      </c>
      <c r="E52" s="76">
        <v>14.148431179399999</v>
      </c>
      <c r="F52" s="7">
        <v>14.148431179399999</v>
      </c>
      <c r="G52" s="77">
        <v>9.2853054434000004</v>
      </c>
      <c r="H52" s="84">
        <v>1.4149164118000002</v>
      </c>
      <c r="I52" s="5">
        <v>1.4149164118000002</v>
      </c>
      <c r="J52" s="85">
        <v>0.99772464180000009</v>
      </c>
      <c r="K52" s="94"/>
      <c r="L52" s="84">
        <v>1.1716748116</v>
      </c>
      <c r="M52" s="614">
        <v>0.9009470516000001</v>
      </c>
      <c r="N52" s="614">
        <v>10.561925069199999</v>
      </c>
      <c r="O52" s="85">
        <v>0</v>
      </c>
      <c r="P52" s="131"/>
      <c r="Q52" s="1"/>
      <c r="R52" s="1"/>
    </row>
    <row r="53" spans="1:18">
      <c r="A53" s="237" t="s">
        <v>191</v>
      </c>
      <c r="B53" s="236" t="s">
        <v>393</v>
      </c>
      <c r="C53" s="21" t="s">
        <v>37</v>
      </c>
      <c r="D53" s="426" t="s">
        <v>393</v>
      </c>
      <c r="E53" s="76">
        <v>0.87073002719999992</v>
      </c>
      <c r="F53" s="7">
        <v>0.87073002719999992</v>
      </c>
      <c r="G53" s="77">
        <v>0.89043044719999997</v>
      </c>
      <c r="H53" s="84">
        <v>0.87073002719999992</v>
      </c>
      <c r="I53" s="5">
        <v>0.87073002719999992</v>
      </c>
      <c r="J53" s="85">
        <v>0.89043044719999997</v>
      </c>
      <c r="K53" s="94"/>
      <c r="L53" s="84">
        <v>6.1751564599999982E-2</v>
      </c>
      <c r="M53" s="614">
        <v>9.44251111E-2</v>
      </c>
      <c r="N53" s="614">
        <v>0.1327827623</v>
      </c>
      <c r="O53" s="85">
        <v>0</v>
      </c>
      <c r="P53" s="131"/>
      <c r="Q53" s="1"/>
      <c r="R53" s="1"/>
    </row>
    <row r="54" spans="1:18">
      <c r="A54" s="237" t="s">
        <v>191</v>
      </c>
      <c r="B54" s="236" t="s">
        <v>80</v>
      </c>
      <c r="C54" s="21" t="s">
        <v>37</v>
      </c>
      <c r="D54" s="426" t="s">
        <v>80</v>
      </c>
      <c r="E54" s="76">
        <v>-10.573126985999998</v>
      </c>
      <c r="F54" s="7">
        <v>-10.573126985999998</v>
      </c>
      <c r="G54" s="77">
        <v>-13.693339976600001</v>
      </c>
      <c r="H54" s="84">
        <v>-0.99682182999999991</v>
      </c>
      <c r="I54" s="5">
        <v>-0.99682182999999991</v>
      </c>
      <c r="J54" s="85">
        <v>-4.0613843800000007</v>
      </c>
      <c r="K54" s="94"/>
      <c r="L54" s="84">
        <v>-0.27841777000000001</v>
      </c>
      <c r="M54" s="614">
        <v>-1.4087072016000002</v>
      </c>
      <c r="N54" s="614">
        <v>-8.2296950851999995</v>
      </c>
      <c r="O54" s="85">
        <v>0</v>
      </c>
      <c r="P54" s="131"/>
      <c r="Q54" s="1"/>
      <c r="R54" s="1"/>
    </row>
    <row r="55" spans="1:18" s="4" customFormat="1">
      <c r="A55" s="237" t="s">
        <v>191</v>
      </c>
      <c r="B55" s="236" t="s">
        <v>104</v>
      </c>
      <c r="C55" s="21" t="s">
        <v>37</v>
      </c>
      <c r="D55" s="64" t="s">
        <v>405</v>
      </c>
      <c r="E55" s="73">
        <v>0.42225265270000012</v>
      </c>
      <c r="F55" s="74">
        <v>0.42225265270000012</v>
      </c>
      <c r="G55" s="75">
        <v>-0.66215551340000001</v>
      </c>
      <c r="H55" s="82">
        <v>0.98380818660000002</v>
      </c>
      <c r="I55" s="18">
        <v>0.98380818660000002</v>
      </c>
      <c r="J55" s="83">
        <v>3.1796166599999995E-2</v>
      </c>
      <c r="K55" s="93"/>
      <c r="L55" s="82">
        <v>3.2001540968</v>
      </c>
      <c r="M55" s="612">
        <v>3.0609287768</v>
      </c>
      <c r="N55" s="612">
        <v>4.1695739155999991</v>
      </c>
      <c r="O55" s="83">
        <v>0</v>
      </c>
      <c r="P55" s="131"/>
    </row>
    <row r="56" spans="1:18">
      <c r="A56" s="237" t="s">
        <v>191</v>
      </c>
      <c r="B56" s="236" t="s">
        <v>105</v>
      </c>
      <c r="C56" s="21" t="s">
        <v>37</v>
      </c>
      <c r="D56" s="65" t="s">
        <v>25</v>
      </c>
      <c r="E56" s="76">
        <v>4.5496405735999996</v>
      </c>
      <c r="F56" s="7">
        <v>3.2319443570000002</v>
      </c>
      <c r="G56" s="77">
        <v>3.4508785155000008</v>
      </c>
      <c r="H56" s="84">
        <v>2.0359878166000001</v>
      </c>
      <c r="I56" s="5">
        <v>2.0359878166000001</v>
      </c>
      <c r="J56" s="85">
        <v>2.3481773366000005</v>
      </c>
      <c r="K56" s="94"/>
      <c r="L56" s="84">
        <v>6.7138571803999989</v>
      </c>
      <c r="M56" s="614">
        <v>7.0658159103999987</v>
      </c>
      <c r="N56" s="614">
        <v>15.522926865000002</v>
      </c>
      <c r="O56" s="85">
        <v>0</v>
      </c>
      <c r="P56" s="131"/>
      <c r="Q56" s="1"/>
      <c r="R56" s="1"/>
    </row>
    <row r="57" spans="1:18">
      <c r="A57" s="237" t="s">
        <v>191</v>
      </c>
      <c r="B57" s="236" t="s">
        <v>26</v>
      </c>
      <c r="C57" s="19" t="s">
        <v>37</v>
      </c>
      <c r="D57" s="61" t="s">
        <v>26</v>
      </c>
      <c r="E57" s="76">
        <v>79.460782080800016</v>
      </c>
      <c r="F57" s="7">
        <v>70.551797837700022</v>
      </c>
      <c r="G57" s="77">
        <v>54.636281645099992</v>
      </c>
      <c r="H57" s="84">
        <v>16.667897137800004</v>
      </c>
      <c r="I57" s="5">
        <v>16.667897137800004</v>
      </c>
      <c r="J57" s="85">
        <v>16.537888947800006</v>
      </c>
      <c r="K57" s="94"/>
      <c r="L57" s="84">
        <v>22.8453875939</v>
      </c>
      <c r="M57" s="614">
        <v>21.891610786499996</v>
      </c>
      <c r="N57" s="614">
        <v>125.31806510840009</v>
      </c>
      <c r="O57" s="85">
        <v>0</v>
      </c>
      <c r="P57" s="131"/>
      <c r="Q57" s="1"/>
      <c r="R57" s="1"/>
    </row>
    <row r="58" spans="1:18">
      <c r="A58" s="237" t="s">
        <v>191</v>
      </c>
      <c r="B58" s="236" t="s">
        <v>235</v>
      </c>
      <c r="C58" s="21" t="s">
        <v>37</v>
      </c>
      <c r="D58" s="65" t="s">
        <v>28</v>
      </c>
      <c r="E58" s="76">
        <v>8.7100101371999994</v>
      </c>
      <c r="F58" s="7">
        <v>8.7100101371999994</v>
      </c>
      <c r="G58" s="77">
        <v>6.4912677157999976</v>
      </c>
      <c r="H58" s="84">
        <v>2.2504356068</v>
      </c>
      <c r="I58" s="5">
        <v>2.2504356068</v>
      </c>
      <c r="J58" s="85">
        <v>2.1183115167999995</v>
      </c>
      <c r="K58" s="94"/>
      <c r="L58" s="84">
        <v>3.4777946332000007</v>
      </c>
      <c r="M58" s="614">
        <v>3.0859319492000008</v>
      </c>
      <c r="N58" s="614">
        <v>34.7737437121</v>
      </c>
      <c r="O58" s="85">
        <v>0</v>
      </c>
      <c r="P58" s="131"/>
      <c r="Q58" s="1"/>
      <c r="R58" s="1"/>
    </row>
    <row r="59" spans="1:18">
      <c r="A59" s="237" t="s">
        <v>191</v>
      </c>
      <c r="B59" s="236" t="s">
        <v>106</v>
      </c>
      <c r="C59" s="21" t="s">
        <v>37</v>
      </c>
      <c r="D59" s="65" t="s">
        <v>27</v>
      </c>
      <c r="E59" s="76">
        <v>10.577613753999996</v>
      </c>
      <c r="F59" s="7">
        <v>10.473726955</v>
      </c>
      <c r="G59" s="77">
        <v>9.6986615196999999</v>
      </c>
      <c r="H59" s="84">
        <v>0.87714349270000003</v>
      </c>
      <c r="I59" s="5">
        <v>0.87714349270000003</v>
      </c>
      <c r="J59" s="85">
        <v>0.88716726270000013</v>
      </c>
      <c r="K59" s="94"/>
      <c r="L59" s="84">
        <v>1.2600728924</v>
      </c>
      <c r="M59" s="614">
        <v>1.1895949924</v>
      </c>
      <c r="N59" s="614">
        <v>5.9502463029000001</v>
      </c>
      <c r="O59" s="85">
        <v>0</v>
      </c>
      <c r="P59" s="131"/>
      <c r="Q59" s="1"/>
      <c r="R59" s="1"/>
    </row>
    <row r="60" spans="1:18">
      <c r="A60" s="237" t="s">
        <v>191</v>
      </c>
      <c r="B60" s="236" t="s">
        <v>87</v>
      </c>
      <c r="C60" s="21" t="s">
        <v>37</v>
      </c>
      <c r="D60" s="65" t="s">
        <v>30</v>
      </c>
      <c r="E60" s="76">
        <v>7.6774365786000001</v>
      </c>
      <c r="F60" s="7">
        <v>0.33906484619999994</v>
      </c>
      <c r="G60" s="77">
        <v>0.25325944619999985</v>
      </c>
      <c r="H60" s="84">
        <v>1.0280348033999998</v>
      </c>
      <c r="I60" s="5">
        <v>1.0280348033999998</v>
      </c>
      <c r="J60" s="85">
        <v>0.89457607339999989</v>
      </c>
      <c r="K60" s="94"/>
      <c r="L60" s="84">
        <v>5.0200943721</v>
      </c>
      <c r="M60" s="614">
        <v>4.9235812820999998</v>
      </c>
      <c r="N60" s="614">
        <v>20.992461842900003</v>
      </c>
      <c r="O60" s="85">
        <v>0</v>
      </c>
      <c r="P60" s="131"/>
      <c r="Q60" s="1"/>
      <c r="R60" s="1"/>
    </row>
    <row r="61" spans="1:18">
      <c r="A61" s="237" t="s">
        <v>191</v>
      </c>
      <c r="B61" s="236" t="s">
        <v>107</v>
      </c>
      <c r="C61" s="21" t="s">
        <v>37</v>
      </c>
      <c r="D61" s="65" t="s">
        <v>29</v>
      </c>
      <c r="E61" s="76">
        <v>6.2340849742</v>
      </c>
      <c r="F61" s="7">
        <v>5.1886247291000007</v>
      </c>
      <c r="G61" s="77">
        <v>5.0800273315000002</v>
      </c>
      <c r="H61" s="84">
        <v>1.1317405829</v>
      </c>
      <c r="I61" s="5">
        <v>1.1317405829</v>
      </c>
      <c r="J61" s="85">
        <v>1.1365788629</v>
      </c>
      <c r="K61" s="94"/>
      <c r="L61" s="84">
        <v>1.6149772901000001</v>
      </c>
      <c r="M61" s="614">
        <v>1.5887891220000001</v>
      </c>
      <c r="N61" s="614">
        <v>4.5762252747000005</v>
      </c>
      <c r="O61" s="85">
        <v>0</v>
      </c>
      <c r="P61" s="131"/>
      <c r="Q61" s="1"/>
      <c r="R61" s="1"/>
    </row>
    <row r="62" spans="1:18">
      <c r="A62" s="237" t="s">
        <v>191</v>
      </c>
      <c r="B62" s="236" t="s">
        <v>236</v>
      </c>
      <c r="C62" s="21" t="s">
        <v>37</v>
      </c>
      <c r="D62" s="65" t="s">
        <v>31</v>
      </c>
      <c r="E62" s="76">
        <v>22.5175017171</v>
      </c>
      <c r="F62" s="7">
        <v>22.242761587499999</v>
      </c>
      <c r="G62" s="77">
        <v>11.007602945700004</v>
      </c>
      <c r="H62" s="84">
        <v>2.3139413203999997</v>
      </c>
      <c r="I62" s="5">
        <v>2.3139413203999997</v>
      </c>
      <c r="J62" s="85">
        <v>2.3196138803999999</v>
      </c>
      <c r="K62" s="94"/>
      <c r="L62" s="84">
        <v>2.7735228946000006</v>
      </c>
      <c r="M62" s="614">
        <v>2.8917907088000003</v>
      </c>
      <c r="N62" s="614">
        <v>4.3155819555000008</v>
      </c>
      <c r="O62" s="85">
        <v>0</v>
      </c>
      <c r="P62" s="131"/>
      <c r="Q62" s="1"/>
      <c r="R62" s="1"/>
    </row>
    <row r="63" spans="1:18">
      <c r="A63" s="237" t="s">
        <v>191</v>
      </c>
      <c r="B63" s="236" t="s">
        <v>237</v>
      </c>
      <c r="C63" s="21" t="s">
        <v>37</v>
      </c>
      <c r="D63" s="65" t="s">
        <v>394</v>
      </c>
      <c r="E63" s="76">
        <v>11.631475394999995</v>
      </c>
      <c r="F63" s="7">
        <v>10.881402829199999</v>
      </c>
      <c r="G63" s="77">
        <v>8.0254413859999989</v>
      </c>
      <c r="H63" s="84">
        <v>3.8993718547</v>
      </c>
      <c r="I63" s="5">
        <v>3.8993718547</v>
      </c>
      <c r="J63" s="85">
        <v>3.8567845746999998</v>
      </c>
      <c r="K63" s="94"/>
      <c r="L63" s="84">
        <v>2.9175054925999997</v>
      </c>
      <c r="M63" s="614">
        <v>2.9065363992999997</v>
      </c>
      <c r="N63" s="614">
        <v>15.244040493299995</v>
      </c>
      <c r="O63" s="85">
        <v>0</v>
      </c>
      <c r="P63" s="131"/>
      <c r="Q63" s="1"/>
      <c r="R63" s="1"/>
    </row>
    <row r="64" spans="1:18" s="4" customFormat="1">
      <c r="A64" s="237" t="s">
        <v>191</v>
      </c>
      <c r="B64" s="236" t="s">
        <v>163</v>
      </c>
      <c r="C64" s="21" t="s">
        <v>37</v>
      </c>
      <c r="D64" s="65" t="s">
        <v>403</v>
      </c>
      <c r="E64" s="73">
        <v>12.1126595247</v>
      </c>
      <c r="F64" s="74">
        <v>12.7162067535</v>
      </c>
      <c r="G64" s="75">
        <v>14.080021300199999</v>
      </c>
      <c r="H64" s="82">
        <v>5.1672294769000002</v>
      </c>
      <c r="I64" s="18">
        <v>5.1672294769000002</v>
      </c>
      <c r="J64" s="83">
        <v>5.3248567769000008</v>
      </c>
      <c r="K64" s="93"/>
      <c r="L64" s="82">
        <v>5.7814200188999996</v>
      </c>
      <c r="M64" s="612">
        <v>5.3053863326999995</v>
      </c>
      <c r="N64" s="612">
        <v>39.465765526999995</v>
      </c>
      <c r="O64" s="83">
        <v>0</v>
      </c>
      <c r="P64" s="131"/>
    </row>
    <row r="65" spans="1:18" s="4" customFormat="1">
      <c r="A65" s="237" t="s">
        <v>191</v>
      </c>
      <c r="B65" s="236" t="s">
        <v>404</v>
      </c>
      <c r="C65" s="580"/>
      <c r="D65" s="65" t="s">
        <v>395</v>
      </c>
      <c r="E65" s="73"/>
      <c r="F65" s="74"/>
      <c r="G65" s="75"/>
      <c r="H65" s="82"/>
      <c r="I65" s="18"/>
      <c r="J65" s="83"/>
      <c r="K65" s="93"/>
      <c r="L65" s="82"/>
      <c r="M65" s="612"/>
      <c r="N65" s="612"/>
      <c r="O65" s="83"/>
      <c r="P65" s="131"/>
    </row>
    <row r="66" spans="1:18" s="4" customFormat="1">
      <c r="A66" s="237" t="s">
        <v>191</v>
      </c>
      <c r="B66" s="236" t="s">
        <v>59</v>
      </c>
      <c r="C66" s="19" t="s">
        <v>37</v>
      </c>
      <c r="D66" s="61" t="s">
        <v>33</v>
      </c>
      <c r="E66" s="73">
        <v>24.888620124900005</v>
      </c>
      <c r="F66" s="74">
        <v>23.5359547037</v>
      </c>
      <c r="G66" s="75">
        <v>23.328976955299996</v>
      </c>
      <c r="H66" s="82">
        <v>5.3746337769000014</v>
      </c>
      <c r="I66" s="18">
        <v>5.3746337769000014</v>
      </c>
      <c r="J66" s="83">
        <v>5.3714946969000019</v>
      </c>
      <c r="K66" s="93"/>
      <c r="L66" s="82">
        <v>4.9197380234999999</v>
      </c>
      <c r="M66" s="612">
        <v>7.246562152000001</v>
      </c>
      <c r="N66" s="612">
        <v>21.556678212100003</v>
      </c>
      <c r="O66" s="83">
        <v>0</v>
      </c>
      <c r="P66" s="131"/>
    </row>
    <row r="67" spans="1:18">
      <c r="A67" s="237" t="s">
        <v>191</v>
      </c>
      <c r="B67" s="236" t="s">
        <v>34</v>
      </c>
      <c r="C67" s="19" t="s">
        <v>37</v>
      </c>
      <c r="D67" s="61" t="s">
        <v>34</v>
      </c>
      <c r="E67" s="76">
        <v>26.45188498169999</v>
      </c>
      <c r="F67" s="7">
        <v>26.546228114499993</v>
      </c>
      <c r="G67" s="77">
        <v>25.548223170699991</v>
      </c>
      <c r="H67" s="84">
        <v>5.2613719351999997</v>
      </c>
      <c r="I67" s="5">
        <v>5.2613719351999997</v>
      </c>
      <c r="J67" s="85">
        <v>5.3547190158000006</v>
      </c>
      <c r="K67" s="94"/>
      <c r="L67" s="84">
        <v>11.223047375900002</v>
      </c>
      <c r="M67" s="614">
        <v>16.844846439700007</v>
      </c>
      <c r="N67" s="614">
        <v>36.304409999000001</v>
      </c>
      <c r="O67" s="85">
        <v>0</v>
      </c>
      <c r="P67" s="131"/>
      <c r="Q67" s="1"/>
      <c r="R67" s="1"/>
    </row>
    <row r="68" spans="1:18">
      <c r="A68" s="237" t="s">
        <v>191</v>
      </c>
      <c r="B68" s="236" t="s">
        <v>399</v>
      </c>
      <c r="C68" s="21" t="s">
        <v>37</v>
      </c>
      <c r="D68" s="65" t="s">
        <v>296</v>
      </c>
      <c r="E68" s="76">
        <v>4.4914694850999997</v>
      </c>
      <c r="F68" s="7">
        <v>4.4914694850999997</v>
      </c>
      <c r="G68" s="77">
        <v>2.6130132126999999</v>
      </c>
      <c r="H68" s="84">
        <v>4.0228467063999993</v>
      </c>
      <c r="I68" s="5">
        <v>4.0228467063999993</v>
      </c>
      <c r="J68" s="85">
        <v>2.5741630663999997</v>
      </c>
      <c r="K68" s="94"/>
      <c r="L68" s="84">
        <v>3.7695054924</v>
      </c>
      <c r="M68" s="614">
        <v>6.877614062000001</v>
      </c>
      <c r="N68" s="614">
        <v>7.4655580970999988</v>
      </c>
      <c r="O68" s="85">
        <v>0</v>
      </c>
      <c r="P68" s="131"/>
      <c r="Q68" s="1"/>
      <c r="R68" s="1"/>
    </row>
    <row r="69" spans="1:18">
      <c r="A69" s="237" t="s">
        <v>191</v>
      </c>
      <c r="B69" s="236" t="s">
        <v>400</v>
      </c>
      <c r="C69" s="21" t="s">
        <v>37</v>
      </c>
      <c r="D69" s="65" t="s">
        <v>396</v>
      </c>
      <c r="E69" s="76">
        <v>0.54678892570000004</v>
      </c>
      <c r="F69" s="7">
        <v>0.54678892570000004</v>
      </c>
      <c r="G69" s="77">
        <v>0.38409925070000017</v>
      </c>
      <c r="H69" s="84">
        <v>0.47066966070000005</v>
      </c>
      <c r="I69" s="5">
        <v>0.47066966070000005</v>
      </c>
      <c r="J69" s="85">
        <v>0.52608377070000012</v>
      </c>
      <c r="K69" s="94"/>
      <c r="L69" s="84">
        <v>0.16968262200000001</v>
      </c>
      <c r="M69" s="614">
        <v>0.25115070200000006</v>
      </c>
      <c r="N69" s="614">
        <v>0.1053371173</v>
      </c>
      <c r="O69" s="85">
        <v>0</v>
      </c>
      <c r="P69" s="131"/>
      <c r="Q69" s="1"/>
      <c r="R69" s="1"/>
    </row>
    <row r="70" spans="1:18">
      <c r="A70" s="237" t="s">
        <v>191</v>
      </c>
      <c r="B70" s="236" t="s">
        <v>401</v>
      </c>
      <c r="C70" s="21" t="s">
        <v>37</v>
      </c>
      <c r="D70" s="65" t="s">
        <v>397</v>
      </c>
      <c r="E70" s="76">
        <v>8.2040539445</v>
      </c>
      <c r="F70" s="7">
        <v>8.2983970772999989</v>
      </c>
      <c r="G70" s="77">
        <v>7.8670496303000004</v>
      </c>
      <c r="H70" s="84">
        <v>1.1959560276000001</v>
      </c>
      <c r="I70" s="5">
        <v>1.1959560276000001</v>
      </c>
      <c r="J70" s="85">
        <v>1.1660249376</v>
      </c>
      <c r="K70" s="94"/>
      <c r="L70" s="84">
        <v>3.3746741441999997</v>
      </c>
      <c r="M70" s="614">
        <v>3.5994886742999999</v>
      </c>
      <c r="N70" s="614">
        <v>17.4324337812</v>
      </c>
      <c r="O70" s="85">
        <v>0</v>
      </c>
      <c r="P70" s="131"/>
      <c r="Q70" s="1"/>
      <c r="R70" s="1"/>
    </row>
    <row r="71" spans="1:18">
      <c r="A71" s="237" t="s">
        <v>191</v>
      </c>
      <c r="B71" s="236" t="s">
        <v>93</v>
      </c>
      <c r="C71" s="21" t="s">
        <v>37</v>
      </c>
      <c r="D71" s="65" t="s">
        <v>35</v>
      </c>
      <c r="E71" s="76">
        <v>0.55505974899999966</v>
      </c>
      <c r="F71" s="7">
        <v>0.55505974899999966</v>
      </c>
      <c r="G71" s="77">
        <v>1.9782356996000001</v>
      </c>
      <c r="H71" s="84">
        <v>-0.97126692950000004</v>
      </c>
      <c r="I71" s="5">
        <v>-0.97126692950000004</v>
      </c>
      <c r="J71" s="85">
        <v>0.45190902110000003</v>
      </c>
      <c r="K71" s="94"/>
      <c r="L71" s="84">
        <v>1.4317660973000004</v>
      </c>
      <c r="M71" s="614">
        <v>3.3101095813999999</v>
      </c>
      <c r="N71" s="614">
        <v>8.6821469082</v>
      </c>
      <c r="O71" s="85">
        <v>0</v>
      </c>
      <c r="P71" s="131"/>
      <c r="Q71" s="1"/>
      <c r="R71" s="1"/>
    </row>
    <row r="72" spans="1:18" s="4" customFormat="1">
      <c r="A72" s="237" t="s">
        <v>191</v>
      </c>
      <c r="B72" s="236" t="s">
        <v>238</v>
      </c>
      <c r="C72" s="21" t="s">
        <v>37</v>
      </c>
      <c r="D72" s="65" t="s">
        <v>36</v>
      </c>
      <c r="E72" s="78">
        <v>12.654512877400002</v>
      </c>
      <c r="F72" s="74">
        <v>12.654512877400002</v>
      </c>
      <c r="G72" s="75">
        <v>12.705825377400002</v>
      </c>
      <c r="H72" s="82">
        <v>0.54316646999999996</v>
      </c>
      <c r="I72" s="18">
        <v>0.54316646999999996</v>
      </c>
      <c r="J72" s="83">
        <v>0.63653821999999993</v>
      </c>
      <c r="K72" s="93"/>
      <c r="L72" s="82">
        <v>2.4774190200000006</v>
      </c>
      <c r="M72" s="612">
        <v>2.8064834200000002</v>
      </c>
      <c r="N72" s="612">
        <v>2.6189340952000002</v>
      </c>
      <c r="O72" s="613">
        <v>0</v>
      </c>
      <c r="P72" s="131"/>
    </row>
    <row r="73" spans="1:18" s="4" customFormat="1">
      <c r="A73" s="237" t="s">
        <v>191</v>
      </c>
      <c r="B73" s="236" t="s">
        <v>402</v>
      </c>
      <c r="C73" s="580"/>
      <c r="D73" s="65" t="s">
        <v>398</v>
      </c>
      <c r="E73" s="78"/>
      <c r="F73" s="74"/>
      <c r="G73" s="75"/>
      <c r="H73" s="82"/>
      <c r="I73" s="18"/>
      <c r="J73" s="83"/>
      <c r="K73" s="93"/>
      <c r="L73" s="82"/>
      <c r="M73" s="612"/>
      <c r="N73" s="612"/>
      <c r="O73" s="613"/>
      <c r="P73" s="131"/>
    </row>
    <row r="74" spans="1:18" s="4" customFormat="1">
      <c r="A74" s="237" t="s">
        <v>413</v>
      </c>
      <c r="B74" s="236" t="s">
        <v>413</v>
      </c>
      <c r="C74" s="580"/>
      <c r="D74" s="581"/>
      <c r="E74" s="73"/>
      <c r="F74" s="74"/>
      <c r="G74" s="75"/>
      <c r="H74" s="82"/>
      <c r="I74" s="18"/>
      <c r="J74" s="83"/>
      <c r="K74" s="93"/>
      <c r="L74" s="82"/>
      <c r="M74" s="612"/>
      <c r="N74" s="612"/>
      <c r="O74" s="83"/>
      <c r="P74" s="131"/>
    </row>
    <row r="75" spans="1:18" s="4" customFormat="1" ht="18">
      <c r="A75" s="237" t="s">
        <v>218</v>
      </c>
      <c r="B75" s="236" t="s">
        <v>13</v>
      </c>
      <c r="C75" s="22" t="s">
        <v>38</v>
      </c>
      <c r="D75" s="60" t="s">
        <v>12</v>
      </c>
      <c r="E75" s="73">
        <v>799.80147477469927</v>
      </c>
      <c r="F75" s="74">
        <v>787.69397876669927</v>
      </c>
      <c r="G75" s="75">
        <v>751.16613470599975</v>
      </c>
      <c r="H75" s="82">
        <v>120.55950752219991</v>
      </c>
      <c r="I75" s="18">
        <v>120.55950752219991</v>
      </c>
      <c r="J75" s="83">
        <v>122.36485382219996</v>
      </c>
      <c r="K75" s="93"/>
      <c r="L75" s="82">
        <v>103.82560624070013</v>
      </c>
      <c r="M75" s="612">
        <v>134.62828407569984</v>
      </c>
      <c r="N75" s="612">
        <v>1032.3409607770004</v>
      </c>
      <c r="O75" s="83">
        <v>0</v>
      </c>
      <c r="P75" s="131"/>
    </row>
    <row r="76" spans="1:18" ht="18">
      <c r="A76" s="237" t="s">
        <v>218</v>
      </c>
      <c r="B76" s="236" t="s">
        <v>243</v>
      </c>
      <c r="C76" s="578"/>
      <c r="D76" s="579"/>
      <c r="E76" s="76"/>
      <c r="F76" s="7"/>
      <c r="G76" s="77"/>
      <c r="H76" s="84"/>
      <c r="I76" s="5"/>
      <c r="J76" s="85"/>
      <c r="K76" s="94"/>
      <c r="L76" s="84"/>
      <c r="M76" s="614"/>
      <c r="N76" s="614"/>
      <c r="O76" s="85"/>
      <c r="P76" s="131"/>
      <c r="Q76" s="1"/>
      <c r="R76" s="1"/>
    </row>
    <row r="77" spans="1:18">
      <c r="A77" s="237" t="s">
        <v>218</v>
      </c>
      <c r="B77" s="236" t="s">
        <v>234</v>
      </c>
      <c r="C77" s="20" t="s">
        <v>38</v>
      </c>
      <c r="D77" s="61" t="s">
        <v>14</v>
      </c>
      <c r="E77" s="76">
        <v>0</v>
      </c>
      <c r="F77" s="7">
        <v>0</v>
      </c>
      <c r="G77" s="77">
        <v>0</v>
      </c>
      <c r="H77" s="84">
        <v>0</v>
      </c>
      <c r="I77" s="5">
        <v>0</v>
      </c>
      <c r="J77" s="85">
        <v>0</v>
      </c>
      <c r="K77" s="94"/>
      <c r="L77" s="84">
        <v>0</v>
      </c>
      <c r="M77" s="614">
        <v>0</v>
      </c>
      <c r="N77" s="614">
        <v>0</v>
      </c>
      <c r="O77" s="85">
        <v>0</v>
      </c>
      <c r="P77" s="131"/>
      <c r="Q77" s="1"/>
      <c r="R77" s="1"/>
    </row>
    <row r="78" spans="1:18">
      <c r="A78" s="237" t="s">
        <v>218</v>
      </c>
      <c r="B78" s="236" t="s">
        <v>58</v>
      </c>
      <c r="C78" s="20" t="s">
        <v>38</v>
      </c>
      <c r="D78" s="20" t="s">
        <v>15</v>
      </c>
      <c r="E78" s="76">
        <v>473.18913540789998</v>
      </c>
      <c r="F78" s="7">
        <v>472.97317263370002</v>
      </c>
      <c r="G78" s="77">
        <v>474.61176601160003</v>
      </c>
      <c r="H78" s="84">
        <v>55.678578419800004</v>
      </c>
      <c r="I78" s="5">
        <v>55.678578419800004</v>
      </c>
      <c r="J78" s="85">
        <v>55.045293629800028</v>
      </c>
      <c r="K78" s="94"/>
      <c r="L78" s="84">
        <v>37.502210114699977</v>
      </c>
      <c r="M78" s="614">
        <v>47.017602447800009</v>
      </c>
      <c r="N78" s="614">
        <v>517.58549850219924</v>
      </c>
      <c r="O78" s="85">
        <v>0</v>
      </c>
      <c r="P78" s="131"/>
      <c r="Q78" s="1"/>
      <c r="R78" s="1"/>
    </row>
    <row r="79" spans="1:18">
      <c r="A79" s="237" t="s">
        <v>218</v>
      </c>
      <c r="B79" s="236" t="s">
        <v>17</v>
      </c>
      <c r="C79" s="23" t="s">
        <v>38</v>
      </c>
      <c r="D79" s="426" t="s">
        <v>17</v>
      </c>
      <c r="E79" s="76">
        <v>48.355982046700007</v>
      </c>
      <c r="F79" s="7">
        <v>48.345902994699998</v>
      </c>
      <c r="G79" s="77">
        <v>46.319605364699996</v>
      </c>
      <c r="H79" s="84">
        <v>10.9229376787</v>
      </c>
      <c r="I79" s="5">
        <v>10.9229376787</v>
      </c>
      <c r="J79" s="85">
        <v>11.6453993487</v>
      </c>
      <c r="K79" s="94"/>
      <c r="L79" s="84">
        <v>6.9298060806000006</v>
      </c>
      <c r="M79" s="614">
        <v>10.6942264906</v>
      </c>
      <c r="N79" s="614">
        <v>70.321780962400013</v>
      </c>
      <c r="O79" s="85">
        <v>0</v>
      </c>
      <c r="P79" s="131"/>
      <c r="Q79" s="1"/>
      <c r="R79" s="1"/>
    </row>
    <row r="80" spans="1:18">
      <c r="A80" s="237" t="s">
        <v>218</v>
      </c>
      <c r="B80" s="236" t="s">
        <v>18</v>
      </c>
      <c r="C80" s="23" t="s">
        <v>38</v>
      </c>
      <c r="D80" s="426" t="s">
        <v>18</v>
      </c>
      <c r="E80" s="76">
        <v>5.1177149999999998E-2</v>
      </c>
      <c r="F80" s="7">
        <v>5.1177149999999998E-2</v>
      </c>
      <c r="G80" s="77">
        <v>5.2543279999999998E-2</v>
      </c>
      <c r="H80" s="84">
        <v>5.1177149999999998E-2</v>
      </c>
      <c r="I80" s="5">
        <v>5.1177149999999998E-2</v>
      </c>
      <c r="J80" s="85">
        <v>5.2543279999999998E-2</v>
      </c>
      <c r="K80" s="94"/>
      <c r="L80" s="84">
        <v>4.5879386900000005</v>
      </c>
      <c r="M80" s="614">
        <v>4.6840463400000001</v>
      </c>
      <c r="N80" s="614">
        <v>7.8850960250000011</v>
      </c>
      <c r="O80" s="85">
        <v>0</v>
      </c>
      <c r="P80" s="131"/>
      <c r="Q80" s="1"/>
      <c r="R80" s="1"/>
    </row>
    <row r="81" spans="1:18">
      <c r="A81" s="237" t="s">
        <v>218</v>
      </c>
      <c r="B81" s="236" t="s">
        <v>19</v>
      </c>
      <c r="C81" s="23" t="s">
        <v>38</v>
      </c>
      <c r="D81" s="426" t="s">
        <v>19</v>
      </c>
      <c r="E81" s="76">
        <v>64.265486051099998</v>
      </c>
      <c r="F81" s="7">
        <v>63.590276325899993</v>
      </c>
      <c r="G81" s="77">
        <v>60.68927201439999</v>
      </c>
      <c r="H81" s="84">
        <v>11.452244214400004</v>
      </c>
      <c r="I81" s="5">
        <v>11.452244214400004</v>
      </c>
      <c r="J81" s="85">
        <v>10.257111354400003</v>
      </c>
      <c r="K81" s="94"/>
      <c r="L81" s="84">
        <v>5.5528253363000015</v>
      </c>
      <c r="M81" s="614">
        <v>11.319832829299992</v>
      </c>
      <c r="N81" s="614">
        <v>45.987643914900005</v>
      </c>
      <c r="O81" s="85">
        <v>0</v>
      </c>
      <c r="P81" s="131"/>
      <c r="Q81" s="1"/>
      <c r="R81" s="1"/>
    </row>
    <row r="82" spans="1:18">
      <c r="A82" s="237" t="s">
        <v>218</v>
      </c>
      <c r="B82" s="236" t="s">
        <v>77</v>
      </c>
      <c r="C82" s="23" t="s">
        <v>38</v>
      </c>
      <c r="D82" s="426" t="s">
        <v>77</v>
      </c>
      <c r="E82" s="76">
        <v>278.43357121470001</v>
      </c>
      <c r="F82" s="7">
        <v>278.43357121470001</v>
      </c>
      <c r="G82" s="77">
        <v>286.78035975470004</v>
      </c>
      <c r="H82" s="84">
        <v>15.575977306699999</v>
      </c>
      <c r="I82" s="5">
        <v>15.575977306699999</v>
      </c>
      <c r="J82" s="85">
        <v>15.781849436699998</v>
      </c>
      <c r="K82" s="94"/>
      <c r="L82" s="84">
        <v>6.3486122945999997</v>
      </c>
      <c r="M82" s="614">
        <v>6.9874642891999992</v>
      </c>
      <c r="N82" s="614">
        <v>256.98365498849995</v>
      </c>
      <c r="O82" s="85">
        <v>0</v>
      </c>
      <c r="P82" s="131"/>
      <c r="Q82" s="1"/>
      <c r="R82" s="1"/>
    </row>
    <row r="83" spans="1:18">
      <c r="A83" s="237" t="s">
        <v>218</v>
      </c>
      <c r="B83" s="236" t="s">
        <v>78</v>
      </c>
      <c r="C83" s="23" t="s">
        <v>38</v>
      </c>
      <c r="D83" s="426" t="s">
        <v>78</v>
      </c>
      <c r="E83" s="76">
        <v>31.860618644199995</v>
      </c>
      <c r="F83" s="7">
        <v>32.225199892199996</v>
      </c>
      <c r="G83" s="77">
        <v>33.300127732199989</v>
      </c>
      <c r="H83" s="84">
        <v>0.76871609000000019</v>
      </c>
      <c r="I83" s="5">
        <v>0.76871609000000019</v>
      </c>
      <c r="J83" s="85">
        <v>1.9723446699999998</v>
      </c>
      <c r="K83" s="94"/>
      <c r="L83" s="84">
        <v>1.2701439957999998</v>
      </c>
      <c r="M83" s="614">
        <v>1.4497443112999999</v>
      </c>
      <c r="N83" s="614">
        <v>62.408636224900008</v>
      </c>
      <c r="O83" s="85">
        <v>0</v>
      </c>
      <c r="P83" s="131"/>
      <c r="Q83" s="1"/>
      <c r="R83" s="1"/>
    </row>
    <row r="84" spans="1:18">
      <c r="A84" s="237" t="s">
        <v>218</v>
      </c>
      <c r="B84" s="236" t="s">
        <v>393</v>
      </c>
      <c r="C84" s="23" t="s">
        <v>38</v>
      </c>
      <c r="D84" s="426" t="s">
        <v>393</v>
      </c>
      <c r="E84" s="76">
        <v>16.1719334583</v>
      </c>
      <c r="F84" s="7">
        <v>16.1719334583</v>
      </c>
      <c r="G84" s="77">
        <v>14.339142840699994</v>
      </c>
      <c r="H84" s="84">
        <v>8.1690879799999987</v>
      </c>
      <c r="I84" s="5">
        <v>8.1690879799999987</v>
      </c>
      <c r="J84" s="85">
        <v>6.3375019299999993</v>
      </c>
      <c r="K84" s="94"/>
      <c r="L84" s="84">
        <v>0.92799321000000012</v>
      </c>
      <c r="M84" s="614">
        <v>2.2028493599999992</v>
      </c>
      <c r="N84" s="614">
        <v>7.6311512189999995</v>
      </c>
      <c r="O84" s="85">
        <v>0</v>
      </c>
      <c r="P84" s="131"/>
      <c r="Q84" s="1"/>
      <c r="R84" s="1"/>
    </row>
    <row r="85" spans="1:18" s="4" customFormat="1">
      <c r="A85" s="237" t="s">
        <v>218</v>
      </c>
      <c r="B85" s="236" t="s">
        <v>80</v>
      </c>
      <c r="C85" s="23" t="s">
        <v>38</v>
      </c>
      <c r="D85" s="426" t="s">
        <v>80</v>
      </c>
      <c r="E85" s="73">
        <v>-8.2524292999999993</v>
      </c>
      <c r="F85" s="74">
        <v>-8.2524292999999993</v>
      </c>
      <c r="G85" s="75">
        <v>-9.9041356999999994</v>
      </c>
      <c r="H85" s="82">
        <v>-0.95146301999999983</v>
      </c>
      <c r="I85" s="18">
        <v>-0.95146301999999983</v>
      </c>
      <c r="J85" s="83">
        <v>-1.8712599999999999</v>
      </c>
      <c r="K85" s="93"/>
      <c r="L85" s="82">
        <v>0.12649994999999997</v>
      </c>
      <c r="M85" s="612">
        <v>-1.1980316499999999</v>
      </c>
      <c r="N85" s="612">
        <v>-10.119873370000001</v>
      </c>
      <c r="O85" s="83">
        <v>0</v>
      </c>
      <c r="P85" s="131"/>
    </row>
    <row r="86" spans="1:18">
      <c r="A86" s="237" t="s">
        <v>218</v>
      </c>
      <c r="B86" s="236" t="s">
        <v>104</v>
      </c>
      <c r="C86" s="23" t="s">
        <v>38</v>
      </c>
      <c r="D86" s="64" t="s">
        <v>405</v>
      </c>
      <c r="E86" s="76">
        <v>14.263747380599991</v>
      </c>
      <c r="F86" s="7">
        <v>14.485506465599995</v>
      </c>
      <c r="G86" s="77">
        <v>14.081738546199997</v>
      </c>
      <c r="H86" s="84">
        <v>1.2837527299999998</v>
      </c>
      <c r="I86" s="5">
        <v>1.2837527299999998</v>
      </c>
      <c r="J86" s="85">
        <v>1.2743808999999999</v>
      </c>
      <c r="K86" s="94"/>
      <c r="L86" s="84">
        <v>1.2663335644</v>
      </c>
      <c r="M86" s="614">
        <v>1.2171120344000002</v>
      </c>
      <c r="N86" s="614">
        <v>12.097004952200004</v>
      </c>
      <c r="O86" s="85">
        <v>0</v>
      </c>
      <c r="P86" s="131"/>
      <c r="Q86" s="1"/>
      <c r="R86" s="1"/>
    </row>
    <row r="87" spans="1:18">
      <c r="A87" s="237" t="s">
        <v>218</v>
      </c>
      <c r="B87" s="236" t="s">
        <v>105</v>
      </c>
      <c r="C87" s="23" t="s">
        <v>38</v>
      </c>
      <c r="D87" s="65" t="s">
        <v>25</v>
      </c>
      <c r="E87" s="76">
        <v>28.039048762300002</v>
      </c>
      <c r="F87" s="7">
        <v>27.922034432300006</v>
      </c>
      <c r="G87" s="77">
        <v>28.9531121787</v>
      </c>
      <c r="H87" s="84">
        <v>8.4061482900000009</v>
      </c>
      <c r="I87" s="5">
        <v>8.4061482900000009</v>
      </c>
      <c r="J87" s="85">
        <v>9.5954227100000011</v>
      </c>
      <c r="K87" s="94"/>
      <c r="L87" s="84">
        <v>10.492056993000004</v>
      </c>
      <c r="M87" s="614">
        <v>9.6603584430000051</v>
      </c>
      <c r="N87" s="614">
        <v>64.390403585299993</v>
      </c>
      <c r="O87" s="85">
        <v>0</v>
      </c>
      <c r="P87" s="131"/>
      <c r="Q87" s="1"/>
      <c r="R87" s="1"/>
    </row>
    <row r="88" spans="1:18">
      <c r="A88" s="237" t="s">
        <v>218</v>
      </c>
      <c r="B88" s="236" t="s">
        <v>26</v>
      </c>
      <c r="C88" s="20" t="s">
        <v>38</v>
      </c>
      <c r="D88" s="61" t="s">
        <v>26</v>
      </c>
      <c r="E88" s="76">
        <v>218.99434040930021</v>
      </c>
      <c r="F88" s="7">
        <v>205.29740205850018</v>
      </c>
      <c r="G88" s="77">
        <v>171.4812293801001</v>
      </c>
      <c r="H88" s="84">
        <v>48.817581289200064</v>
      </c>
      <c r="I88" s="5">
        <v>48.817581289200064</v>
      </c>
      <c r="J88" s="85">
        <v>49.733035589200043</v>
      </c>
      <c r="K88" s="94"/>
      <c r="L88" s="84">
        <v>43.214880476000005</v>
      </c>
      <c r="M88" s="614">
        <v>56.158243048599999</v>
      </c>
      <c r="N88" s="614">
        <v>347.64890860940034</v>
      </c>
      <c r="O88" s="85">
        <v>0</v>
      </c>
      <c r="P88" s="131"/>
      <c r="Q88" s="1"/>
      <c r="R88" s="1"/>
    </row>
    <row r="89" spans="1:18">
      <c r="A89" s="237" t="s">
        <v>218</v>
      </c>
      <c r="B89" s="236" t="s">
        <v>235</v>
      </c>
      <c r="C89" s="23" t="s">
        <v>38</v>
      </c>
      <c r="D89" s="65" t="s">
        <v>28</v>
      </c>
      <c r="E89" s="76">
        <v>40.163499003500014</v>
      </c>
      <c r="F89" s="7">
        <v>39.790875551100015</v>
      </c>
      <c r="G89" s="77">
        <v>36.506793855299996</v>
      </c>
      <c r="H89" s="84">
        <v>10.102683835899997</v>
      </c>
      <c r="I89" s="5">
        <v>10.102683835899997</v>
      </c>
      <c r="J89" s="85">
        <v>11.252621715899993</v>
      </c>
      <c r="K89" s="94"/>
      <c r="L89" s="84">
        <v>7.9334604269999991</v>
      </c>
      <c r="M89" s="614">
        <v>12.530905037200004</v>
      </c>
      <c r="N89" s="614">
        <v>85.503918665199961</v>
      </c>
      <c r="O89" s="85">
        <v>0</v>
      </c>
      <c r="P89" s="131"/>
      <c r="Q89" s="1"/>
      <c r="R89" s="1"/>
    </row>
    <row r="90" spans="1:18">
      <c r="A90" s="237" t="s">
        <v>218</v>
      </c>
      <c r="B90" s="236" t="s">
        <v>106</v>
      </c>
      <c r="C90" s="23" t="s">
        <v>38</v>
      </c>
      <c r="D90" s="65" t="s">
        <v>27</v>
      </c>
      <c r="E90" s="76">
        <v>33.670527310800011</v>
      </c>
      <c r="F90" s="7">
        <v>32.342143678900001</v>
      </c>
      <c r="G90" s="77">
        <v>26.329689004800006</v>
      </c>
      <c r="H90" s="84">
        <v>9.402335859299999</v>
      </c>
      <c r="I90" s="5">
        <v>9.402335859299999</v>
      </c>
      <c r="J90" s="85">
        <v>9.309221029299998</v>
      </c>
      <c r="K90" s="94"/>
      <c r="L90" s="84">
        <v>1.6985615278999997</v>
      </c>
      <c r="M90" s="614">
        <v>1.8164001764999997</v>
      </c>
      <c r="N90" s="614">
        <v>72.275449951900015</v>
      </c>
      <c r="O90" s="85">
        <v>0</v>
      </c>
      <c r="P90" s="131"/>
      <c r="Q90" s="1"/>
      <c r="R90" s="1"/>
    </row>
    <row r="91" spans="1:18">
      <c r="A91" s="237" t="s">
        <v>218</v>
      </c>
      <c r="B91" s="236" t="s">
        <v>87</v>
      </c>
      <c r="C91" s="23" t="s">
        <v>38</v>
      </c>
      <c r="D91" s="65" t="s">
        <v>30</v>
      </c>
      <c r="E91" s="76">
        <v>33.080123361499993</v>
      </c>
      <c r="F91" s="7">
        <v>32.751625370599996</v>
      </c>
      <c r="G91" s="77">
        <v>25.582738101499995</v>
      </c>
      <c r="H91" s="84">
        <v>5.6328791584999998</v>
      </c>
      <c r="I91" s="5">
        <v>5.6328791584999998</v>
      </c>
      <c r="J91" s="85">
        <v>4.5114476684999998</v>
      </c>
      <c r="K91" s="94"/>
      <c r="L91" s="84">
        <v>3.1783846299999992</v>
      </c>
      <c r="M91" s="614">
        <v>2.7052633399999992</v>
      </c>
      <c r="N91" s="614">
        <v>51.004997048499987</v>
      </c>
      <c r="O91" s="85">
        <v>0</v>
      </c>
      <c r="P91" s="131"/>
      <c r="Q91" s="1"/>
      <c r="R91" s="1"/>
    </row>
    <row r="92" spans="1:18">
      <c r="A92" s="237" t="s">
        <v>218</v>
      </c>
      <c r="B92" s="236" t="s">
        <v>107</v>
      </c>
      <c r="C92" s="23" t="s">
        <v>38</v>
      </c>
      <c r="D92" s="65" t="s">
        <v>29</v>
      </c>
      <c r="E92" s="76">
        <v>8.8550862490999993</v>
      </c>
      <c r="F92" s="7">
        <v>8.0991782820000005</v>
      </c>
      <c r="G92" s="77">
        <v>7.8918401162000009</v>
      </c>
      <c r="H92" s="84">
        <v>2.3414116099999998</v>
      </c>
      <c r="I92" s="5">
        <v>2.3414116099999998</v>
      </c>
      <c r="J92" s="85">
        <v>3.37808726</v>
      </c>
      <c r="K92" s="94"/>
      <c r="L92" s="84">
        <v>1.1280956599999996</v>
      </c>
      <c r="M92" s="614">
        <v>5.3716398400000021</v>
      </c>
      <c r="N92" s="614">
        <v>24.584415369399995</v>
      </c>
      <c r="O92" s="85">
        <v>0</v>
      </c>
      <c r="P92" s="131"/>
      <c r="Q92" s="1"/>
      <c r="R92" s="1"/>
    </row>
    <row r="93" spans="1:18">
      <c r="A93" s="237" t="s">
        <v>218</v>
      </c>
      <c r="B93" s="236" t="s">
        <v>236</v>
      </c>
      <c r="C93" s="23" t="s">
        <v>38</v>
      </c>
      <c r="D93" s="65" t="s">
        <v>31</v>
      </c>
      <c r="E93" s="76">
        <v>15.1354136048</v>
      </c>
      <c r="F93" s="7">
        <v>13.313279713500002</v>
      </c>
      <c r="G93" s="77">
        <v>13.3461518323</v>
      </c>
      <c r="H93" s="84">
        <v>1.0834041638000003</v>
      </c>
      <c r="I93" s="5">
        <v>1.0834041638000003</v>
      </c>
      <c r="J93" s="85">
        <v>1.0069713438000001</v>
      </c>
      <c r="K93" s="94"/>
      <c r="L93" s="84">
        <v>1.7676387699999996</v>
      </c>
      <c r="M93" s="614">
        <v>3.1961673499999996</v>
      </c>
      <c r="N93" s="614">
        <v>17.931844659500001</v>
      </c>
      <c r="O93" s="85">
        <v>0</v>
      </c>
      <c r="P93" s="131"/>
      <c r="Q93" s="1"/>
      <c r="R93" s="1"/>
    </row>
    <row r="94" spans="1:18" s="4" customFormat="1">
      <c r="A94" s="237" t="s">
        <v>218</v>
      </c>
      <c r="B94" s="236" t="s">
        <v>237</v>
      </c>
      <c r="C94" s="23" t="s">
        <v>38</v>
      </c>
      <c r="D94" s="65" t="s">
        <v>394</v>
      </c>
      <c r="E94" s="73">
        <v>59.50188460939998</v>
      </c>
      <c r="F94" s="74">
        <v>50.786871609199977</v>
      </c>
      <c r="G94" s="75">
        <v>43.493565833499986</v>
      </c>
      <c r="H94" s="82">
        <v>15.826110711699997</v>
      </c>
      <c r="I94" s="18">
        <v>15.826110711699997</v>
      </c>
      <c r="J94" s="83">
        <v>15.957477801699998</v>
      </c>
      <c r="K94" s="93"/>
      <c r="L94" s="82">
        <v>18.795498451100002</v>
      </c>
      <c r="M94" s="612">
        <v>22.023459854900008</v>
      </c>
      <c r="N94" s="612">
        <v>63.5874375888</v>
      </c>
      <c r="O94" s="83">
        <v>0</v>
      </c>
      <c r="P94" s="131"/>
    </row>
    <row r="95" spans="1:18" s="4" customFormat="1">
      <c r="A95" s="237" t="s">
        <v>218</v>
      </c>
      <c r="B95" s="236" t="s">
        <v>163</v>
      </c>
      <c r="C95" s="23" t="s">
        <v>38</v>
      </c>
      <c r="D95" s="65" t="s">
        <v>403</v>
      </c>
      <c r="E95" s="73">
        <v>28.587806270199994</v>
      </c>
      <c r="F95" s="74">
        <v>28.213427853199995</v>
      </c>
      <c r="G95" s="75">
        <v>18.33045063649999</v>
      </c>
      <c r="H95" s="82">
        <v>4.4287559500000011</v>
      </c>
      <c r="I95" s="18">
        <v>4.4287559500000011</v>
      </c>
      <c r="J95" s="83">
        <v>4.3172087700000006</v>
      </c>
      <c r="K95" s="93"/>
      <c r="L95" s="82">
        <v>8.7132410100000008</v>
      </c>
      <c r="M95" s="612">
        <v>8.5144074500000002</v>
      </c>
      <c r="N95" s="612">
        <v>32.760845326100011</v>
      </c>
      <c r="O95" s="83">
        <v>0</v>
      </c>
      <c r="P95" s="131"/>
    </row>
    <row r="96" spans="1:18" s="4" customFormat="1">
      <c r="A96" s="237" t="s">
        <v>218</v>
      </c>
      <c r="B96" s="236" t="s">
        <v>404</v>
      </c>
      <c r="C96" s="580"/>
      <c r="D96" s="65" t="s">
        <v>395</v>
      </c>
      <c r="E96" s="73"/>
      <c r="F96" s="74"/>
      <c r="G96" s="75"/>
      <c r="H96" s="82"/>
      <c r="I96" s="18"/>
      <c r="J96" s="83"/>
      <c r="K96" s="93"/>
      <c r="L96" s="82"/>
      <c r="M96" s="612"/>
      <c r="N96" s="612"/>
      <c r="O96" s="83"/>
      <c r="P96" s="131"/>
    </row>
    <row r="97" spans="1:18">
      <c r="A97" s="237" t="s">
        <v>218</v>
      </c>
      <c r="B97" s="236" t="s">
        <v>59</v>
      </c>
      <c r="C97" s="20" t="s">
        <v>38</v>
      </c>
      <c r="D97" s="61" t="s">
        <v>33</v>
      </c>
      <c r="E97" s="76">
        <v>38.345118519600007</v>
      </c>
      <c r="F97" s="7">
        <v>38.157625203000002</v>
      </c>
      <c r="G97" s="77">
        <v>38.002853355999996</v>
      </c>
      <c r="H97" s="84">
        <v>2.31130711</v>
      </c>
      <c r="I97" s="5">
        <v>2.31130711</v>
      </c>
      <c r="J97" s="85">
        <v>3.1268769200000004</v>
      </c>
      <c r="K97" s="94"/>
      <c r="L97" s="84">
        <v>9.1837265800000019</v>
      </c>
      <c r="M97" s="614">
        <v>8.8533032500000033</v>
      </c>
      <c r="N97" s="614">
        <v>78.841617825399993</v>
      </c>
      <c r="O97" s="85">
        <v>0</v>
      </c>
      <c r="P97" s="131"/>
      <c r="Q97" s="1"/>
      <c r="R97" s="1"/>
    </row>
    <row r="98" spans="1:18">
      <c r="A98" s="237" t="s">
        <v>218</v>
      </c>
      <c r="B98" s="236" t="s">
        <v>34</v>
      </c>
      <c r="C98" s="20" t="s">
        <v>38</v>
      </c>
      <c r="D98" s="61" t="s">
        <v>34</v>
      </c>
      <c r="E98" s="76">
        <v>69.272880437900042</v>
      </c>
      <c r="F98" s="7">
        <v>71.26577887149999</v>
      </c>
      <c r="G98" s="77">
        <v>67.070285958299991</v>
      </c>
      <c r="H98" s="84">
        <v>13.752040703200002</v>
      </c>
      <c r="I98" s="5">
        <v>13.752040703200002</v>
      </c>
      <c r="J98" s="85">
        <v>14.459647683199996</v>
      </c>
      <c r="K98" s="94"/>
      <c r="L98" s="84">
        <v>13.924789070000006</v>
      </c>
      <c r="M98" s="614">
        <v>22.599135329299997</v>
      </c>
      <c r="N98" s="614">
        <v>88.264935839999978</v>
      </c>
      <c r="O98" s="85">
        <v>0</v>
      </c>
      <c r="P98" s="131"/>
      <c r="Q98" s="1"/>
      <c r="R98" s="1"/>
    </row>
    <row r="99" spans="1:18">
      <c r="A99" s="237" t="s">
        <v>218</v>
      </c>
      <c r="B99" s="236" t="s">
        <v>399</v>
      </c>
      <c r="C99" s="23" t="s">
        <v>38</v>
      </c>
      <c r="D99" s="65" t="s">
        <v>296</v>
      </c>
      <c r="E99" s="76">
        <v>19.147298283899996</v>
      </c>
      <c r="F99" s="7">
        <v>17.5327861789</v>
      </c>
      <c r="G99" s="77">
        <v>14.240799968099997</v>
      </c>
      <c r="H99" s="84">
        <v>3.8331743</v>
      </c>
      <c r="I99" s="5">
        <v>3.8331743</v>
      </c>
      <c r="J99" s="85">
        <v>3.7844264799999996</v>
      </c>
      <c r="K99" s="94"/>
      <c r="L99" s="84">
        <v>6.1714811899999988</v>
      </c>
      <c r="M99" s="614">
        <v>8.0834190093000018</v>
      </c>
      <c r="N99" s="614">
        <v>20.927005999499997</v>
      </c>
      <c r="O99" s="85">
        <v>0</v>
      </c>
      <c r="P99" s="131"/>
      <c r="Q99" s="1"/>
      <c r="R99" s="1"/>
    </row>
    <row r="100" spans="1:18">
      <c r="A100" s="237" t="s">
        <v>218</v>
      </c>
      <c r="B100" s="236" t="s">
        <v>400</v>
      </c>
      <c r="C100" s="23" t="s">
        <v>38</v>
      </c>
      <c r="D100" s="65" t="s">
        <v>396</v>
      </c>
      <c r="E100" s="76">
        <v>3.3011397970000003</v>
      </c>
      <c r="F100" s="7">
        <v>3.3011397970000003</v>
      </c>
      <c r="G100" s="77">
        <v>3.1778187006</v>
      </c>
      <c r="H100" s="84">
        <v>1.1357920699999997</v>
      </c>
      <c r="I100" s="5">
        <v>1.1357920699999997</v>
      </c>
      <c r="J100" s="85">
        <v>1.1664963099999996</v>
      </c>
      <c r="K100" s="94"/>
      <c r="L100" s="84">
        <v>0.52504883999999996</v>
      </c>
      <c r="M100" s="614">
        <v>0.61271953999999995</v>
      </c>
      <c r="N100" s="614">
        <v>12.836050098800001</v>
      </c>
      <c r="O100" s="85">
        <v>0</v>
      </c>
      <c r="P100" s="131"/>
      <c r="Q100" s="1"/>
      <c r="R100" s="1"/>
    </row>
    <row r="101" spans="1:18">
      <c r="A101" s="237" t="s">
        <v>218</v>
      </c>
      <c r="B101" s="236" t="s">
        <v>401</v>
      </c>
      <c r="C101" s="23" t="s">
        <v>38</v>
      </c>
      <c r="D101" s="65" t="s">
        <v>397</v>
      </c>
      <c r="E101" s="76">
        <v>6.2762501231999988</v>
      </c>
      <c r="F101" s="7">
        <v>5.7938828571999972</v>
      </c>
      <c r="G101" s="77">
        <v>4.5766585711999994</v>
      </c>
      <c r="H101" s="84">
        <v>1.8126585399999995</v>
      </c>
      <c r="I101" s="5">
        <v>1.8126585399999995</v>
      </c>
      <c r="J101" s="85">
        <v>1.8395306799999995</v>
      </c>
      <c r="K101" s="94"/>
      <c r="L101" s="84">
        <v>0.61672678999999975</v>
      </c>
      <c r="M101" s="614">
        <v>0.99015362000000007</v>
      </c>
      <c r="N101" s="614">
        <v>5.6889833242000005</v>
      </c>
      <c r="O101" s="85">
        <v>0</v>
      </c>
      <c r="P101" s="131"/>
      <c r="Q101" s="1"/>
      <c r="R101" s="1"/>
    </row>
    <row r="102" spans="1:18" s="4" customFormat="1">
      <c r="A102" s="237" t="s">
        <v>218</v>
      </c>
      <c r="B102" s="236" t="s">
        <v>93</v>
      </c>
      <c r="C102" s="23" t="s">
        <v>38</v>
      </c>
      <c r="D102" s="65" t="s">
        <v>35</v>
      </c>
      <c r="E102" s="78">
        <v>17.731678903999999</v>
      </c>
      <c r="F102" s="74">
        <v>17.731678903999999</v>
      </c>
      <c r="G102" s="75">
        <v>19.659367284000002</v>
      </c>
      <c r="H102" s="82">
        <v>0.30041055320000004</v>
      </c>
      <c r="I102" s="18">
        <v>0.30041055320000004</v>
      </c>
      <c r="J102" s="83">
        <v>2.0603500632</v>
      </c>
      <c r="K102" s="93"/>
      <c r="L102" s="82">
        <v>0.73220591000000013</v>
      </c>
      <c r="M102" s="612">
        <v>1.4383548300000002</v>
      </c>
      <c r="N102" s="612">
        <v>11.295169792800005</v>
      </c>
      <c r="O102" s="83">
        <v>0</v>
      </c>
      <c r="P102" s="131"/>
    </row>
    <row r="103" spans="1:18" s="4" customFormat="1">
      <c r="A103" s="237" t="s">
        <v>218</v>
      </c>
      <c r="B103" s="236" t="s">
        <v>238</v>
      </c>
      <c r="C103" s="23" t="s">
        <v>38</v>
      </c>
      <c r="D103" s="65" t="s">
        <v>36</v>
      </c>
      <c r="E103" s="78">
        <v>22.816513329799999</v>
      </c>
      <c r="F103" s="74">
        <v>26.906291134399993</v>
      </c>
      <c r="G103" s="75">
        <v>25.415641434400008</v>
      </c>
      <c r="H103" s="82">
        <v>6.6700052399999992</v>
      </c>
      <c r="I103" s="18">
        <v>6.6700052399999992</v>
      </c>
      <c r="J103" s="83">
        <v>5.6088441499999995</v>
      </c>
      <c r="K103" s="93"/>
      <c r="L103" s="82">
        <v>5.8793263399999987</v>
      </c>
      <c r="M103" s="612">
        <v>11.474488330000003</v>
      </c>
      <c r="N103" s="612">
        <v>37.517726624700003</v>
      </c>
      <c r="O103" s="83">
        <v>0</v>
      </c>
      <c r="P103" s="131"/>
    </row>
    <row r="104" spans="1:18" s="4" customFormat="1">
      <c r="A104" s="237" t="s">
        <v>218</v>
      </c>
      <c r="B104" s="236" t="s">
        <v>402</v>
      </c>
      <c r="C104" s="580"/>
      <c r="D104" s="65" t="s">
        <v>398</v>
      </c>
      <c r="E104" s="78"/>
      <c r="F104" s="74"/>
      <c r="G104" s="75"/>
      <c r="H104" s="82"/>
      <c r="I104" s="18"/>
      <c r="J104" s="83"/>
      <c r="K104" s="93"/>
      <c r="L104" s="82"/>
      <c r="M104" s="612"/>
      <c r="N104" s="612"/>
      <c r="O104" s="83"/>
      <c r="P104" s="131"/>
    </row>
    <row r="105" spans="1:18" s="4" customFormat="1">
      <c r="A105" s="237" t="s">
        <v>413</v>
      </c>
      <c r="B105" s="235" t="s">
        <v>413</v>
      </c>
      <c r="C105" s="580"/>
      <c r="D105" s="581"/>
      <c r="E105" s="73"/>
      <c r="F105" s="74"/>
      <c r="G105" s="75"/>
      <c r="H105" s="82"/>
      <c r="I105" s="18"/>
      <c r="J105" s="83"/>
      <c r="K105" s="93"/>
      <c r="L105" s="82"/>
      <c r="M105" s="612"/>
      <c r="N105" s="612"/>
      <c r="O105" s="83"/>
      <c r="P105" s="131"/>
    </row>
    <row r="106" spans="1:18" s="4" customFormat="1">
      <c r="A106" s="237" t="s">
        <v>57</v>
      </c>
      <c r="B106" s="236" t="s">
        <v>13</v>
      </c>
      <c r="C106" s="580"/>
      <c r="D106" s="581"/>
      <c r="E106" s="73"/>
      <c r="F106" s="74"/>
      <c r="G106" s="75"/>
      <c r="H106" s="82"/>
      <c r="I106" s="18"/>
      <c r="J106" s="83"/>
      <c r="K106" s="93"/>
      <c r="L106" s="82"/>
      <c r="M106" s="612"/>
      <c r="N106" s="612"/>
      <c r="O106" s="83"/>
      <c r="P106" s="131"/>
    </row>
    <row r="107" spans="1:18" ht="18" outlineLevel="1">
      <c r="A107" s="237" t="s">
        <v>39</v>
      </c>
      <c r="B107" s="236" t="s">
        <v>13</v>
      </c>
      <c r="C107" s="22" t="s">
        <v>39</v>
      </c>
      <c r="D107" s="60" t="s">
        <v>12</v>
      </c>
      <c r="E107" s="76">
        <v>5.5241985599999994</v>
      </c>
      <c r="F107" s="7">
        <v>5.5241985599999994</v>
      </c>
      <c r="G107" s="77">
        <v>5.5241985599999994</v>
      </c>
      <c r="H107" s="84">
        <v>2.6530604700000002</v>
      </c>
      <c r="I107" s="5">
        <v>2.6530604700000002</v>
      </c>
      <c r="J107" s="85">
        <v>2.6530604700000002</v>
      </c>
      <c r="K107" s="94"/>
      <c r="L107" s="84">
        <v>9.7238309799999989</v>
      </c>
      <c r="M107" s="614">
        <v>9.7238309799999989</v>
      </c>
      <c r="N107" s="614">
        <v>16.426108289999998</v>
      </c>
      <c r="O107" s="85">
        <v>0</v>
      </c>
      <c r="P107" s="131"/>
      <c r="Q107" s="1"/>
      <c r="R107" s="1"/>
    </row>
    <row r="108" spans="1:18" ht="18" outlineLevel="1">
      <c r="A108" s="237" t="s">
        <v>413</v>
      </c>
      <c r="B108" s="236" t="s">
        <v>413</v>
      </c>
      <c r="C108" s="15" t="s">
        <v>355</v>
      </c>
      <c r="D108" s="60" t="s">
        <v>12</v>
      </c>
      <c r="E108" s="76">
        <v>0.27676855999999994</v>
      </c>
      <c r="F108" s="7">
        <v>0.27676855999999994</v>
      </c>
      <c r="G108" s="77">
        <v>0.27676855999999994</v>
      </c>
      <c r="H108" s="84">
        <v>0.26009046999999996</v>
      </c>
      <c r="I108" s="5">
        <v>0.26009046999999996</v>
      </c>
      <c r="J108" s="85">
        <v>0.26009046999999996</v>
      </c>
      <c r="K108" s="94"/>
      <c r="L108" s="84">
        <v>7.35</v>
      </c>
      <c r="M108" s="614">
        <v>7.35</v>
      </c>
      <c r="N108" s="614">
        <v>8.4752550000000006</v>
      </c>
      <c r="O108" s="85">
        <v>0</v>
      </c>
      <c r="P108" s="131"/>
      <c r="Q108" s="1"/>
      <c r="R108" s="1"/>
    </row>
    <row r="109" spans="1:18" ht="18" outlineLevel="1">
      <c r="A109" s="237" t="s">
        <v>413</v>
      </c>
      <c r="B109" s="236" t="s">
        <v>413</v>
      </c>
      <c r="C109" s="15" t="s">
        <v>356</v>
      </c>
      <c r="D109" s="60" t="s">
        <v>12</v>
      </c>
      <c r="E109" s="76">
        <v>2.8407999999999998</v>
      </c>
      <c r="F109" s="7">
        <v>2.8407999999999998</v>
      </c>
      <c r="G109" s="77">
        <v>2.8407999999999998</v>
      </c>
      <c r="H109" s="84">
        <v>1.4949999999999999</v>
      </c>
      <c r="I109" s="5">
        <v>1.4949999999999999</v>
      </c>
      <c r="J109" s="85">
        <v>1.4949999999999999</v>
      </c>
      <c r="K109" s="94"/>
      <c r="L109" s="84">
        <v>0.61108017999999997</v>
      </c>
      <c r="M109" s="614">
        <v>0.61108017999999997</v>
      </c>
      <c r="N109" s="614">
        <v>3.4306491599999998</v>
      </c>
      <c r="O109" s="85">
        <v>0</v>
      </c>
      <c r="P109" s="131"/>
      <c r="Q109" s="1"/>
      <c r="R109" s="1"/>
    </row>
    <row r="110" spans="1:18" ht="18" outlineLevel="1">
      <c r="A110" s="237" t="s">
        <v>413</v>
      </c>
      <c r="B110" s="236" t="s">
        <v>413</v>
      </c>
      <c r="C110" s="15" t="s">
        <v>357</v>
      </c>
      <c r="D110" s="60" t="s">
        <v>12</v>
      </c>
      <c r="E110" s="76">
        <v>0.14697000000000005</v>
      </c>
      <c r="F110" s="7">
        <v>0.14697000000000005</v>
      </c>
      <c r="G110" s="77">
        <v>0.14697000000000005</v>
      </c>
      <c r="H110" s="84">
        <v>0.13197000000000003</v>
      </c>
      <c r="I110" s="5">
        <v>0.13197000000000003</v>
      </c>
      <c r="J110" s="85">
        <v>0.13197000000000003</v>
      </c>
      <c r="K110" s="94"/>
      <c r="L110" s="84">
        <v>1.0297508</v>
      </c>
      <c r="M110" s="614">
        <v>1.0297508</v>
      </c>
      <c r="N110" s="614">
        <v>2.4022041299999999</v>
      </c>
      <c r="O110" s="85">
        <v>0</v>
      </c>
      <c r="P110" s="131"/>
      <c r="Q110" s="1"/>
      <c r="R110" s="1"/>
    </row>
    <row r="111" spans="1:18" ht="18" outlineLevel="1">
      <c r="A111" s="237" t="s">
        <v>413</v>
      </c>
      <c r="B111" s="236" t="s">
        <v>413</v>
      </c>
      <c r="C111" s="15" t="s">
        <v>358</v>
      </c>
      <c r="D111" s="60" t="s">
        <v>12</v>
      </c>
      <c r="E111" s="76">
        <v>2.2596599999999998</v>
      </c>
      <c r="F111" s="7">
        <v>2.2596599999999998</v>
      </c>
      <c r="G111" s="77">
        <v>2.2596599999999998</v>
      </c>
      <c r="H111" s="84">
        <v>0.7659999999999999</v>
      </c>
      <c r="I111" s="5">
        <v>0.7659999999999999</v>
      </c>
      <c r="J111" s="85">
        <v>0.7659999999999999</v>
      </c>
      <c r="K111" s="94"/>
      <c r="L111" s="84">
        <v>0.73299999999999998</v>
      </c>
      <c r="M111" s="614">
        <v>0.73299999999999998</v>
      </c>
      <c r="N111" s="614">
        <v>2.1179999999999999</v>
      </c>
      <c r="O111" s="85">
        <v>0</v>
      </c>
      <c r="P111" s="131"/>
      <c r="Q111" s="1"/>
      <c r="R111" s="1"/>
    </row>
    <row r="112" spans="1:18" ht="18" outlineLevel="1">
      <c r="A112" s="237" t="s">
        <v>413</v>
      </c>
      <c r="B112" s="236" t="s">
        <v>413</v>
      </c>
      <c r="C112" s="15" t="s">
        <v>359</v>
      </c>
      <c r="D112" s="60" t="s">
        <v>12</v>
      </c>
      <c r="E112" s="76">
        <v>0</v>
      </c>
      <c r="F112" s="7">
        <v>0</v>
      </c>
      <c r="G112" s="77">
        <v>0</v>
      </c>
      <c r="H112" s="84">
        <v>0</v>
      </c>
      <c r="I112" s="5">
        <v>0</v>
      </c>
      <c r="J112" s="85">
        <v>0</v>
      </c>
      <c r="K112" s="94"/>
      <c r="L112" s="84">
        <v>0</v>
      </c>
      <c r="M112" s="614">
        <v>0</v>
      </c>
      <c r="N112" s="614">
        <v>0</v>
      </c>
      <c r="O112" s="85">
        <v>0</v>
      </c>
      <c r="P112" s="131"/>
      <c r="Q112" s="1"/>
      <c r="R112" s="1"/>
    </row>
    <row r="113" spans="1:40" ht="18" outlineLevel="1">
      <c r="A113" s="237" t="s">
        <v>413</v>
      </c>
      <c r="B113" s="236" t="s">
        <v>413</v>
      </c>
      <c r="C113" s="578"/>
      <c r="D113" s="579"/>
      <c r="E113" s="76"/>
      <c r="F113" s="7"/>
      <c r="G113" s="77"/>
      <c r="H113" s="84"/>
      <c r="I113" s="5"/>
      <c r="J113" s="85"/>
      <c r="K113" s="94"/>
      <c r="L113" s="84"/>
      <c r="M113" s="614"/>
      <c r="N113" s="614"/>
      <c r="O113" s="85"/>
      <c r="P113" s="131"/>
      <c r="Q113" s="1"/>
      <c r="R113" s="1"/>
    </row>
    <row r="114" spans="1:40" s="4" customFormat="1">
      <c r="A114" s="357" t="s">
        <v>39</v>
      </c>
      <c r="B114" s="358" t="s">
        <v>234</v>
      </c>
      <c r="C114" s="20" t="s">
        <v>39</v>
      </c>
      <c r="D114" s="61" t="s">
        <v>14</v>
      </c>
      <c r="E114" s="73">
        <v>0</v>
      </c>
      <c r="F114" s="74">
        <v>0</v>
      </c>
      <c r="G114" s="75">
        <v>0</v>
      </c>
      <c r="H114" s="82">
        <v>0</v>
      </c>
      <c r="I114" s="18">
        <v>0</v>
      </c>
      <c r="J114" s="83">
        <v>0</v>
      </c>
      <c r="K114" s="93"/>
      <c r="L114" s="82">
        <v>0</v>
      </c>
      <c r="M114" s="612">
        <v>0</v>
      </c>
      <c r="N114" s="612">
        <v>0</v>
      </c>
      <c r="O114" s="83">
        <v>0</v>
      </c>
      <c r="P114" s="18"/>
      <c r="Q114" s="83"/>
      <c r="S114" s="239"/>
      <c r="T114" s="242"/>
      <c r="U114" s="243"/>
      <c r="V114" s="240"/>
      <c r="W114" s="239"/>
      <c r="X114" s="242"/>
      <c r="Y114" s="243"/>
      <c r="Z114" s="131"/>
      <c r="AC114" s="239"/>
      <c r="AI114" s="239"/>
      <c r="AL114" s="239"/>
      <c r="AN114" s="239"/>
    </row>
    <row r="115" spans="1:40" s="4" customFormat="1">
      <c r="A115" s="357" t="s">
        <v>39</v>
      </c>
      <c r="B115" s="358" t="s">
        <v>58</v>
      </c>
      <c r="C115" s="20" t="s">
        <v>39</v>
      </c>
      <c r="D115" s="20" t="s">
        <v>15</v>
      </c>
      <c r="E115" s="73">
        <v>1.0293000000000001</v>
      </c>
      <c r="F115" s="74">
        <v>1.0293000000000001</v>
      </c>
      <c r="G115" s="75">
        <v>1.0293000000000001</v>
      </c>
      <c r="H115" s="82">
        <v>0.63949999999999996</v>
      </c>
      <c r="I115" s="18">
        <v>0.63949999999999996</v>
      </c>
      <c r="J115" s="83">
        <v>0.63949999999999996</v>
      </c>
      <c r="K115" s="93"/>
      <c r="L115" s="82">
        <v>8.1734270000000002</v>
      </c>
      <c r="M115" s="612">
        <v>8.1734270000000002</v>
      </c>
      <c r="N115" s="612">
        <v>9.1640270000000008</v>
      </c>
      <c r="O115" s="83">
        <v>0</v>
      </c>
      <c r="P115" s="18"/>
      <c r="Q115" s="83"/>
      <c r="S115" s="239"/>
      <c r="T115" s="255"/>
      <c r="U115" s="241"/>
      <c r="V115" s="240"/>
      <c r="W115" s="241"/>
      <c r="X115" s="255"/>
      <c r="Y115" s="241"/>
      <c r="Z115" s="131"/>
      <c r="AA115" s="295"/>
    </row>
    <row r="116" spans="1:40" outlineLevel="1">
      <c r="A116" s="357" t="s">
        <v>39</v>
      </c>
      <c r="B116" s="425" t="s">
        <v>17</v>
      </c>
      <c r="C116" s="23" t="s">
        <v>39</v>
      </c>
      <c r="D116" s="426" t="s">
        <v>17</v>
      </c>
      <c r="E116" s="76">
        <v>0</v>
      </c>
      <c r="F116" s="7">
        <v>0</v>
      </c>
      <c r="G116" s="77">
        <v>0</v>
      </c>
      <c r="H116" s="84">
        <v>0</v>
      </c>
      <c r="I116" s="5">
        <v>0</v>
      </c>
      <c r="J116" s="85">
        <v>0</v>
      </c>
      <c r="K116" s="94"/>
      <c r="L116" s="84">
        <v>0</v>
      </c>
      <c r="M116" s="614">
        <v>0</v>
      </c>
      <c r="N116" s="614">
        <v>0</v>
      </c>
      <c r="O116" s="85">
        <v>0</v>
      </c>
      <c r="P116" s="5"/>
      <c r="Q116" s="85"/>
      <c r="R116" s="1"/>
      <c r="S116" s="294"/>
      <c r="T116" s="256"/>
      <c r="U116" s="131"/>
      <c r="W116" s="131"/>
      <c r="X116" s="256"/>
      <c r="Y116" s="131"/>
      <c r="Z116" s="131"/>
    </row>
    <row r="117" spans="1:40" outlineLevel="1">
      <c r="A117" s="357" t="s">
        <v>39</v>
      </c>
      <c r="B117" s="425" t="s">
        <v>18</v>
      </c>
      <c r="C117" s="23" t="s">
        <v>39</v>
      </c>
      <c r="D117" s="426" t="s">
        <v>18</v>
      </c>
      <c r="E117" s="76">
        <v>0</v>
      </c>
      <c r="F117" s="7">
        <v>0</v>
      </c>
      <c r="G117" s="77">
        <v>0</v>
      </c>
      <c r="H117" s="84">
        <v>0</v>
      </c>
      <c r="I117" s="5">
        <v>0</v>
      </c>
      <c r="J117" s="85">
        <v>0</v>
      </c>
      <c r="K117" s="94"/>
      <c r="L117" s="84">
        <v>0</v>
      </c>
      <c r="M117" s="614">
        <v>0</v>
      </c>
      <c r="N117" s="614">
        <v>0</v>
      </c>
      <c r="O117" s="85">
        <v>0</v>
      </c>
      <c r="P117" s="5"/>
      <c r="Q117" s="85"/>
      <c r="R117" s="1"/>
      <c r="S117" s="294"/>
      <c r="T117" s="256"/>
      <c r="U117" s="131"/>
      <c r="W117" s="131"/>
      <c r="X117" s="256"/>
      <c r="Y117" s="131"/>
      <c r="Z117" s="131"/>
    </row>
    <row r="118" spans="1:40" outlineLevel="1">
      <c r="A118" s="357" t="s">
        <v>39</v>
      </c>
      <c r="B118" s="425" t="s">
        <v>19</v>
      </c>
      <c r="C118" s="23" t="s">
        <v>39</v>
      </c>
      <c r="D118" s="426" t="s">
        <v>19</v>
      </c>
      <c r="E118" s="76">
        <v>0</v>
      </c>
      <c r="F118" s="7">
        <v>0</v>
      </c>
      <c r="G118" s="77">
        <v>0</v>
      </c>
      <c r="H118" s="84">
        <v>0</v>
      </c>
      <c r="I118" s="5">
        <v>0</v>
      </c>
      <c r="J118" s="85">
        <v>0</v>
      </c>
      <c r="K118" s="94"/>
      <c r="L118" s="84">
        <v>0</v>
      </c>
      <c r="M118" s="614">
        <v>0</v>
      </c>
      <c r="N118" s="614">
        <v>0</v>
      </c>
      <c r="O118" s="85">
        <v>0</v>
      </c>
      <c r="P118" s="5"/>
      <c r="Q118" s="85"/>
      <c r="R118" s="1"/>
      <c r="S118" s="294"/>
      <c r="T118" s="256"/>
      <c r="U118" s="131"/>
      <c r="W118" s="131"/>
      <c r="X118" s="256"/>
      <c r="Y118" s="131"/>
      <c r="Z118" s="131"/>
    </row>
    <row r="119" spans="1:40" outlineLevel="1">
      <c r="A119" s="357" t="s">
        <v>39</v>
      </c>
      <c r="B119" s="425" t="s">
        <v>77</v>
      </c>
      <c r="C119" s="23" t="s">
        <v>39</v>
      </c>
      <c r="D119" s="426" t="s">
        <v>77</v>
      </c>
      <c r="E119" s="76">
        <v>0</v>
      </c>
      <c r="F119" s="7">
        <v>0</v>
      </c>
      <c r="G119" s="77">
        <v>0</v>
      </c>
      <c r="H119" s="84">
        <v>0</v>
      </c>
      <c r="I119" s="5">
        <v>0</v>
      </c>
      <c r="J119" s="85">
        <v>0</v>
      </c>
      <c r="K119" s="94"/>
      <c r="L119" s="84">
        <v>0</v>
      </c>
      <c r="M119" s="614">
        <v>0</v>
      </c>
      <c r="N119" s="614">
        <v>0</v>
      </c>
      <c r="O119" s="85">
        <v>0</v>
      </c>
      <c r="P119" s="5"/>
      <c r="Q119" s="85"/>
      <c r="R119" s="1"/>
      <c r="S119" s="294"/>
      <c r="T119" s="256"/>
      <c r="U119" s="131"/>
      <c r="W119" s="131"/>
      <c r="X119" s="256"/>
      <c r="Y119" s="131"/>
      <c r="Z119" s="131"/>
    </row>
    <row r="120" spans="1:40" outlineLevel="1">
      <c r="A120" s="357" t="s">
        <v>39</v>
      </c>
      <c r="B120" s="425" t="s">
        <v>78</v>
      </c>
      <c r="C120" s="23" t="s">
        <v>39</v>
      </c>
      <c r="D120" s="426" t="s">
        <v>78</v>
      </c>
      <c r="E120" s="76">
        <v>0</v>
      </c>
      <c r="F120" s="7">
        <v>0</v>
      </c>
      <c r="G120" s="77">
        <v>0</v>
      </c>
      <c r="H120" s="84">
        <v>0</v>
      </c>
      <c r="I120" s="5">
        <v>0</v>
      </c>
      <c r="J120" s="85">
        <v>0</v>
      </c>
      <c r="K120" s="94"/>
      <c r="L120" s="84">
        <v>0</v>
      </c>
      <c r="M120" s="614">
        <v>0</v>
      </c>
      <c r="N120" s="614">
        <v>0</v>
      </c>
      <c r="O120" s="85">
        <v>0</v>
      </c>
      <c r="P120" s="5"/>
      <c r="Q120" s="85"/>
      <c r="R120" s="1"/>
      <c r="S120" s="294"/>
      <c r="T120" s="256"/>
      <c r="U120" s="131"/>
      <c r="W120" s="131"/>
      <c r="X120" s="256"/>
      <c r="Y120" s="131"/>
      <c r="Z120" s="131"/>
    </row>
    <row r="121" spans="1:40" outlineLevel="1">
      <c r="A121" s="357" t="s">
        <v>39</v>
      </c>
      <c r="B121" s="425" t="s">
        <v>393</v>
      </c>
      <c r="C121" s="23" t="s">
        <v>39</v>
      </c>
      <c r="D121" s="426" t="s">
        <v>393</v>
      </c>
      <c r="E121" s="76">
        <v>0</v>
      </c>
      <c r="F121" s="7">
        <v>0</v>
      </c>
      <c r="G121" s="77">
        <v>0</v>
      </c>
      <c r="H121" s="84">
        <v>0</v>
      </c>
      <c r="I121" s="5">
        <v>0</v>
      </c>
      <c r="J121" s="85">
        <v>0</v>
      </c>
      <c r="K121" s="94"/>
      <c r="L121" s="84">
        <v>0</v>
      </c>
      <c r="M121" s="614">
        <v>0</v>
      </c>
      <c r="N121" s="614">
        <v>0</v>
      </c>
      <c r="O121" s="85">
        <v>0</v>
      </c>
      <c r="P121" s="5"/>
      <c r="Q121" s="85"/>
      <c r="R121" s="1"/>
      <c r="S121" s="294"/>
      <c r="T121" s="256"/>
      <c r="U121" s="131"/>
      <c r="W121" s="131"/>
      <c r="X121" s="256"/>
      <c r="Y121" s="131"/>
      <c r="Z121" s="131"/>
    </row>
    <row r="122" spans="1:40" outlineLevel="1">
      <c r="A122" s="357" t="s">
        <v>39</v>
      </c>
      <c r="B122" s="425" t="s">
        <v>80</v>
      </c>
      <c r="C122" s="23" t="s">
        <v>39</v>
      </c>
      <c r="D122" s="426" t="s">
        <v>80</v>
      </c>
      <c r="E122" s="76">
        <v>1.0293000000000001</v>
      </c>
      <c r="F122" s="7">
        <v>1.0293000000000001</v>
      </c>
      <c r="G122" s="77">
        <v>1.0293000000000001</v>
      </c>
      <c r="H122" s="84">
        <v>0.63949999999999996</v>
      </c>
      <c r="I122" s="5">
        <v>0.63949999999999996</v>
      </c>
      <c r="J122" s="85">
        <v>0.63949999999999996</v>
      </c>
      <c r="K122" s="94"/>
      <c r="L122" s="84">
        <v>8.1734270000000002</v>
      </c>
      <c r="M122" s="614">
        <v>8.1734270000000002</v>
      </c>
      <c r="N122" s="614">
        <v>9.1640270000000008</v>
      </c>
      <c r="O122" s="85">
        <v>0</v>
      </c>
      <c r="P122" s="5"/>
      <c r="Q122" s="85"/>
      <c r="R122" s="1"/>
      <c r="S122" s="294"/>
      <c r="T122" s="256"/>
      <c r="U122" s="131"/>
      <c r="W122" s="131"/>
      <c r="X122" s="256"/>
      <c r="Y122" s="131"/>
      <c r="Z122" s="131"/>
    </row>
    <row r="123" spans="1:40" outlineLevel="1">
      <c r="A123" s="357" t="s">
        <v>39</v>
      </c>
      <c r="B123" s="358" t="s">
        <v>104</v>
      </c>
      <c r="C123" s="23" t="s">
        <v>39</v>
      </c>
      <c r="D123" s="64" t="s">
        <v>405</v>
      </c>
      <c r="E123" s="76">
        <v>0</v>
      </c>
      <c r="F123" s="7">
        <v>0</v>
      </c>
      <c r="G123" s="77">
        <v>0</v>
      </c>
      <c r="H123" s="84">
        <v>0</v>
      </c>
      <c r="I123" s="5">
        <v>0</v>
      </c>
      <c r="J123" s="85">
        <v>0</v>
      </c>
      <c r="K123" s="94"/>
      <c r="L123" s="84">
        <v>0</v>
      </c>
      <c r="M123" s="614">
        <v>0</v>
      </c>
      <c r="N123" s="614">
        <v>0</v>
      </c>
      <c r="O123" s="85">
        <v>0</v>
      </c>
      <c r="P123" s="5"/>
      <c r="Q123" s="85"/>
      <c r="R123" s="1"/>
      <c r="S123" s="294"/>
      <c r="T123" s="256"/>
      <c r="U123" s="131"/>
      <c r="W123" s="131"/>
      <c r="X123" s="256"/>
      <c r="Y123" s="131"/>
      <c r="Z123" s="131"/>
    </row>
    <row r="124" spans="1:40" outlineLevel="1">
      <c r="A124" s="357" t="s">
        <v>39</v>
      </c>
      <c r="B124" s="358" t="s">
        <v>105</v>
      </c>
      <c r="C124" s="23" t="s">
        <v>39</v>
      </c>
      <c r="D124" s="65" t="s">
        <v>25</v>
      </c>
      <c r="E124" s="76">
        <v>0</v>
      </c>
      <c r="F124" s="7">
        <v>0</v>
      </c>
      <c r="G124" s="77">
        <v>0</v>
      </c>
      <c r="H124" s="84">
        <v>0</v>
      </c>
      <c r="I124" s="5">
        <v>0</v>
      </c>
      <c r="J124" s="85">
        <v>0</v>
      </c>
      <c r="K124" s="94"/>
      <c r="L124" s="84">
        <v>0</v>
      </c>
      <c r="M124" s="614">
        <v>0</v>
      </c>
      <c r="N124" s="614">
        <v>0</v>
      </c>
      <c r="O124" s="85">
        <v>0</v>
      </c>
      <c r="P124" s="5"/>
      <c r="Q124" s="85"/>
      <c r="R124" s="1"/>
      <c r="S124" s="294"/>
      <c r="T124" s="256"/>
      <c r="U124" s="131"/>
      <c r="W124" s="131"/>
      <c r="X124" s="256"/>
      <c r="Y124" s="131"/>
      <c r="Z124" s="131"/>
    </row>
    <row r="125" spans="1:40" s="4" customFormat="1">
      <c r="A125" s="357" t="s">
        <v>39</v>
      </c>
      <c r="B125" s="358" t="s">
        <v>26</v>
      </c>
      <c r="C125" s="20" t="s">
        <v>39</v>
      </c>
      <c r="D125" s="61" t="s">
        <v>26</v>
      </c>
      <c r="E125" s="73">
        <v>2.9400000000000004</v>
      </c>
      <c r="F125" s="74">
        <v>2.9400000000000004</v>
      </c>
      <c r="G125" s="75">
        <v>2.9400000000000004</v>
      </c>
      <c r="H125" s="82">
        <v>1.2949999999999999</v>
      </c>
      <c r="I125" s="18">
        <v>1.2949999999999999</v>
      </c>
      <c r="J125" s="83">
        <v>1.2949999999999999</v>
      </c>
      <c r="K125" s="93"/>
      <c r="L125" s="82">
        <v>0.82400000000000007</v>
      </c>
      <c r="M125" s="612">
        <v>0.82400000000000007</v>
      </c>
      <c r="N125" s="612">
        <v>5.1272749100000006</v>
      </c>
      <c r="O125" s="83">
        <v>0</v>
      </c>
      <c r="P125" s="18"/>
      <c r="Q125" s="83"/>
      <c r="S125" s="239"/>
      <c r="T125" s="255"/>
      <c r="U125" s="241"/>
      <c r="V125" s="240"/>
      <c r="W125" s="241"/>
      <c r="X125" s="255"/>
      <c r="Y125" s="241"/>
      <c r="Z125" s="131"/>
      <c r="AA125" s="295"/>
    </row>
    <row r="126" spans="1:40" outlineLevel="1">
      <c r="A126" s="357" t="s">
        <v>39</v>
      </c>
      <c r="B126" s="358" t="s">
        <v>235</v>
      </c>
      <c r="C126" s="23" t="s">
        <v>39</v>
      </c>
      <c r="D126" s="65" t="s">
        <v>28</v>
      </c>
      <c r="E126" s="76">
        <v>0</v>
      </c>
      <c r="F126" s="7">
        <v>0</v>
      </c>
      <c r="G126" s="77">
        <v>0</v>
      </c>
      <c r="H126" s="84">
        <v>0</v>
      </c>
      <c r="I126" s="5">
        <v>0</v>
      </c>
      <c r="J126" s="85">
        <v>0</v>
      </c>
      <c r="K126" s="94"/>
      <c r="L126" s="84">
        <v>0</v>
      </c>
      <c r="M126" s="614">
        <v>0</v>
      </c>
      <c r="N126" s="614">
        <v>0</v>
      </c>
      <c r="O126" s="85">
        <v>0</v>
      </c>
      <c r="P126" s="5"/>
      <c r="Q126" s="85"/>
      <c r="R126" s="1"/>
      <c r="S126" s="294"/>
      <c r="T126" s="256"/>
      <c r="U126" s="131"/>
      <c r="W126" s="131"/>
      <c r="X126" s="256"/>
      <c r="Y126" s="131"/>
      <c r="Z126" s="131"/>
    </row>
    <row r="127" spans="1:40" outlineLevel="1">
      <c r="A127" s="357" t="s">
        <v>39</v>
      </c>
      <c r="B127" s="358" t="s">
        <v>106</v>
      </c>
      <c r="C127" s="23" t="s">
        <v>39</v>
      </c>
      <c r="D127" s="65" t="s">
        <v>27</v>
      </c>
      <c r="E127" s="76">
        <v>0</v>
      </c>
      <c r="F127" s="7">
        <v>0</v>
      </c>
      <c r="G127" s="77">
        <v>0</v>
      </c>
      <c r="H127" s="84">
        <v>0</v>
      </c>
      <c r="I127" s="5">
        <v>0</v>
      </c>
      <c r="J127" s="85">
        <v>0</v>
      </c>
      <c r="K127" s="94"/>
      <c r="L127" s="84">
        <v>0</v>
      </c>
      <c r="M127" s="614">
        <v>0</v>
      </c>
      <c r="N127" s="614">
        <v>0</v>
      </c>
      <c r="O127" s="85">
        <v>0</v>
      </c>
      <c r="P127" s="5"/>
      <c r="Q127" s="85"/>
      <c r="R127" s="1"/>
      <c r="S127" s="294"/>
      <c r="T127" s="256"/>
      <c r="U127" s="131"/>
      <c r="W127" s="131"/>
      <c r="X127" s="256"/>
      <c r="Y127" s="131"/>
      <c r="Z127" s="131"/>
    </row>
    <row r="128" spans="1:40" outlineLevel="1">
      <c r="A128" s="357" t="s">
        <v>39</v>
      </c>
      <c r="B128" s="358" t="s">
        <v>87</v>
      </c>
      <c r="C128" s="23" t="s">
        <v>39</v>
      </c>
      <c r="D128" s="65" t="s">
        <v>30</v>
      </c>
      <c r="E128" s="76">
        <v>0</v>
      </c>
      <c r="F128" s="7">
        <v>0</v>
      </c>
      <c r="G128" s="77">
        <v>0</v>
      </c>
      <c r="H128" s="84">
        <v>0</v>
      </c>
      <c r="I128" s="5">
        <v>0</v>
      </c>
      <c r="J128" s="85">
        <v>0</v>
      </c>
      <c r="K128" s="94"/>
      <c r="L128" s="84">
        <v>0</v>
      </c>
      <c r="M128" s="614">
        <v>0</v>
      </c>
      <c r="N128" s="614">
        <v>0</v>
      </c>
      <c r="O128" s="85">
        <v>0</v>
      </c>
      <c r="P128" s="5"/>
      <c r="Q128" s="85"/>
      <c r="R128" s="1"/>
      <c r="S128" s="294"/>
      <c r="T128" s="256"/>
      <c r="U128" s="131"/>
      <c r="W128" s="131"/>
      <c r="X128" s="256"/>
      <c r="Y128" s="131"/>
      <c r="Z128" s="131"/>
    </row>
    <row r="129" spans="1:40" outlineLevel="1">
      <c r="A129" s="357" t="s">
        <v>39</v>
      </c>
      <c r="B129" s="358" t="s">
        <v>107</v>
      </c>
      <c r="C129" s="23" t="s">
        <v>39</v>
      </c>
      <c r="D129" s="65" t="s">
        <v>29</v>
      </c>
      <c r="E129" s="76">
        <v>0</v>
      </c>
      <c r="F129" s="7">
        <v>0</v>
      </c>
      <c r="G129" s="77">
        <v>0</v>
      </c>
      <c r="H129" s="84">
        <v>0</v>
      </c>
      <c r="I129" s="5">
        <v>0</v>
      </c>
      <c r="J129" s="85">
        <v>0</v>
      </c>
      <c r="K129" s="94"/>
      <c r="L129" s="84">
        <v>0</v>
      </c>
      <c r="M129" s="614">
        <v>0</v>
      </c>
      <c r="N129" s="614">
        <v>0</v>
      </c>
      <c r="O129" s="85">
        <v>0</v>
      </c>
      <c r="P129" s="5"/>
      <c r="Q129" s="85"/>
      <c r="R129" s="1"/>
      <c r="S129" s="294"/>
      <c r="T129" s="256"/>
      <c r="U129" s="131"/>
      <c r="W129" s="131"/>
      <c r="X129" s="256"/>
      <c r="Y129" s="131"/>
      <c r="Z129" s="131"/>
    </row>
    <row r="130" spans="1:40" outlineLevel="1">
      <c r="A130" s="357" t="s">
        <v>39</v>
      </c>
      <c r="B130" s="358" t="s">
        <v>236</v>
      </c>
      <c r="C130" s="23" t="s">
        <v>39</v>
      </c>
      <c r="D130" s="65" t="s">
        <v>31</v>
      </c>
      <c r="E130" s="76">
        <v>0</v>
      </c>
      <c r="F130" s="7">
        <v>0</v>
      </c>
      <c r="G130" s="77">
        <v>0</v>
      </c>
      <c r="H130" s="84">
        <v>0</v>
      </c>
      <c r="I130" s="5">
        <v>0</v>
      </c>
      <c r="J130" s="85">
        <v>0</v>
      </c>
      <c r="K130" s="94"/>
      <c r="L130" s="84">
        <v>0</v>
      </c>
      <c r="M130" s="614">
        <v>0</v>
      </c>
      <c r="N130" s="614">
        <v>0</v>
      </c>
      <c r="O130" s="85">
        <v>0</v>
      </c>
      <c r="P130" s="5"/>
      <c r="Q130" s="85"/>
      <c r="R130" s="1"/>
      <c r="S130" s="294"/>
      <c r="T130" s="256"/>
      <c r="U130" s="131"/>
      <c r="W130" s="131"/>
      <c r="X130" s="256"/>
      <c r="Y130" s="131"/>
      <c r="Z130" s="131"/>
    </row>
    <row r="131" spans="1:40" outlineLevel="1">
      <c r="A131" s="357" t="s">
        <v>39</v>
      </c>
      <c r="B131" s="358" t="s">
        <v>237</v>
      </c>
      <c r="C131" s="23" t="s">
        <v>39</v>
      </c>
      <c r="D131" s="581" t="s">
        <v>181</v>
      </c>
      <c r="E131" s="76"/>
      <c r="F131" s="7"/>
      <c r="G131" s="77"/>
      <c r="H131" s="84"/>
      <c r="I131" s="5"/>
      <c r="J131" s="85"/>
      <c r="K131" s="94"/>
      <c r="L131" s="84"/>
      <c r="M131" s="614"/>
      <c r="N131" s="614"/>
      <c r="O131" s="85"/>
      <c r="P131" s="5"/>
      <c r="Q131" s="85"/>
      <c r="R131" s="1"/>
      <c r="S131" s="294"/>
      <c r="T131" s="256"/>
      <c r="U131" s="131"/>
      <c r="W131" s="131"/>
      <c r="X131" s="256"/>
      <c r="Y131" s="131"/>
      <c r="Z131" s="131"/>
    </row>
    <row r="132" spans="1:40" outlineLevel="1">
      <c r="A132" s="357" t="s">
        <v>39</v>
      </c>
      <c r="B132" s="358" t="s">
        <v>163</v>
      </c>
      <c r="C132" s="23" t="s">
        <v>39</v>
      </c>
      <c r="D132" s="581" t="s">
        <v>32</v>
      </c>
      <c r="E132" s="76"/>
      <c r="F132" s="7"/>
      <c r="G132" s="77"/>
      <c r="H132" s="84"/>
      <c r="I132" s="5"/>
      <c r="J132" s="85"/>
      <c r="K132" s="94"/>
      <c r="L132" s="84"/>
      <c r="M132" s="614"/>
      <c r="N132" s="614"/>
      <c r="O132" s="85"/>
      <c r="P132" s="5"/>
      <c r="Q132" s="85"/>
      <c r="R132" s="1"/>
      <c r="S132" s="294"/>
      <c r="T132" s="256"/>
      <c r="U132" s="131"/>
      <c r="W132" s="131"/>
      <c r="X132" s="256"/>
      <c r="Y132" s="131"/>
      <c r="Z132" s="131"/>
    </row>
    <row r="133" spans="1:40" outlineLevel="1">
      <c r="A133" s="357" t="s">
        <v>39</v>
      </c>
      <c r="B133" s="358" t="s">
        <v>404</v>
      </c>
      <c r="C133" s="23" t="s">
        <v>39</v>
      </c>
      <c r="D133" s="581"/>
      <c r="E133" s="76"/>
      <c r="F133" s="7"/>
      <c r="G133" s="77"/>
      <c r="H133" s="84"/>
      <c r="I133" s="5"/>
      <c r="J133" s="85"/>
      <c r="K133" s="94"/>
      <c r="L133" s="84"/>
      <c r="M133" s="614"/>
      <c r="N133" s="614"/>
      <c r="O133" s="85"/>
      <c r="P133" s="5"/>
      <c r="Q133" s="85"/>
      <c r="R133" s="1"/>
      <c r="S133" s="294"/>
      <c r="T133" s="256"/>
      <c r="U133" s="131"/>
      <c r="W133" s="131"/>
      <c r="X133" s="256"/>
      <c r="Y133" s="131"/>
      <c r="Z133" s="131"/>
    </row>
    <row r="134" spans="1:40" s="4" customFormat="1">
      <c r="A134" s="357" t="s">
        <v>39</v>
      </c>
      <c r="B134" s="358" t="s">
        <v>59</v>
      </c>
      <c r="C134" s="20" t="s">
        <v>39</v>
      </c>
      <c r="D134" s="61" t="s">
        <v>33</v>
      </c>
      <c r="E134" s="73">
        <v>0.59826856000000006</v>
      </c>
      <c r="F134" s="74">
        <v>0.59826856000000006</v>
      </c>
      <c r="G134" s="75">
        <v>0.59826856000000006</v>
      </c>
      <c r="H134" s="82">
        <v>0.38159047000000001</v>
      </c>
      <c r="I134" s="18">
        <v>0.38159047000000001</v>
      </c>
      <c r="J134" s="83">
        <v>0.38159047000000001</v>
      </c>
      <c r="K134" s="93"/>
      <c r="L134" s="82">
        <v>0.15799998000000001</v>
      </c>
      <c r="M134" s="612">
        <v>0.15799998000000001</v>
      </c>
      <c r="N134" s="612">
        <v>0.60687996000000011</v>
      </c>
      <c r="O134" s="83">
        <v>0</v>
      </c>
      <c r="P134" s="18"/>
      <c r="Q134" s="83"/>
      <c r="S134" s="239"/>
      <c r="T134" s="240"/>
      <c r="U134" s="241"/>
      <c r="V134" s="240"/>
      <c r="W134" s="241"/>
      <c r="X134" s="240"/>
      <c r="Y134" s="241"/>
      <c r="Z134" s="131"/>
      <c r="AA134" s="295"/>
    </row>
    <row r="135" spans="1:40" s="4" customFormat="1">
      <c r="A135" s="357" t="s">
        <v>39</v>
      </c>
      <c r="B135" s="358" t="s">
        <v>34</v>
      </c>
      <c r="C135" s="20" t="s">
        <v>39</v>
      </c>
      <c r="D135" s="61" t="s">
        <v>34</v>
      </c>
      <c r="E135" s="73">
        <v>0.95662999999999987</v>
      </c>
      <c r="F135" s="74">
        <v>0.95662999999999987</v>
      </c>
      <c r="G135" s="75">
        <v>0.95662999999999987</v>
      </c>
      <c r="H135" s="82">
        <v>0.33696999999999999</v>
      </c>
      <c r="I135" s="18">
        <v>0.33696999999999999</v>
      </c>
      <c r="J135" s="83">
        <v>0.33696999999999999</v>
      </c>
      <c r="K135" s="93"/>
      <c r="L135" s="82">
        <v>0.56840400000000002</v>
      </c>
      <c r="M135" s="612">
        <v>0.56840400000000002</v>
      </c>
      <c r="N135" s="612">
        <v>1.52792642</v>
      </c>
      <c r="O135" s="83">
        <v>0</v>
      </c>
      <c r="P135" s="18"/>
      <c r="Q135" s="83"/>
      <c r="S135" s="239"/>
      <c r="T135" s="255"/>
      <c r="U135" s="241"/>
      <c r="V135" s="240"/>
      <c r="W135" s="241"/>
      <c r="X135" s="255"/>
      <c r="Y135" s="241"/>
      <c r="Z135" s="131"/>
      <c r="AA135" s="295"/>
    </row>
    <row r="136" spans="1:40" s="4" customFormat="1">
      <c r="A136" s="357" t="s">
        <v>39</v>
      </c>
      <c r="B136" s="358" t="s">
        <v>399</v>
      </c>
      <c r="C136" s="23" t="s">
        <v>39</v>
      </c>
      <c r="D136" s="65" t="s">
        <v>296</v>
      </c>
      <c r="E136" s="73">
        <v>0</v>
      </c>
      <c r="F136" s="74">
        <v>0</v>
      </c>
      <c r="G136" s="75">
        <v>0</v>
      </c>
      <c r="H136" s="82">
        <v>0</v>
      </c>
      <c r="I136" s="18">
        <v>0</v>
      </c>
      <c r="J136" s="83">
        <v>0</v>
      </c>
      <c r="K136" s="93"/>
      <c r="L136" s="82">
        <v>0</v>
      </c>
      <c r="M136" s="612">
        <v>0</v>
      </c>
      <c r="N136" s="612">
        <v>0</v>
      </c>
      <c r="O136" s="83">
        <v>0</v>
      </c>
      <c r="P136" s="18"/>
      <c r="Q136" s="83"/>
      <c r="S136" s="239"/>
      <c r="T136" s="242"/>
      <c r="U136" s="243"/>
      <c r="V136" s="240"/>
      <c r="W136" s="239"/>
      <c r="X136" s="242"/>
      <c r="Y136" s="243"/>
      <c r="Z136" s="131"/>
      <c r="AC136" s="239"/>
      <c r="AI136" s="239"/>
      <c r="AL136" s="239"/>
      <c r="AN136" s="239"/>
    </row>
    <row r="137" spans="1:40" s="4" customFormat="1">
      <c r="A137" s="357" t="s">
        <v>39</v>
      </c>
      <c r="B137" s="358" t="s">
        <v>400</v>
      </c>
      <c r="C137" s="23" t="s">
        <v>39</v>
      </c>
      <c r="D137" s="65" t="s">
        <v>396</v>
      </c>
      <c r="E137" s="73">
        <v>0</v>
      </c>
      <c r="F137" s="74">
        <v>0</v>
      </c>
      <c r="G137" s="75">
        <v>0</v>
      </c>
      <c r="H137" s="82">
        <v>0</v>
      </c>
      <c r="I137" s="18">
        <v>0</v>
      </c>
      <c r="J137" s="83">
        <v>0</v>
      </c>
      <c r="K137" s="93"/>
      <c r="L137" s="82">
        <v>0</v>
      </c>
      <c r="M137" s="612">
        <v>0</v>
      </c>
      <c r="N137" s="612">
        <v>0</v>
      </c>
      <c r="O137" s="83">
        <v>0</v>
      </c>
      <c r="P137" s="18"/>
      <c r="Q137" s="83"/>
      <c r="S137" s="239"/>
      <c r="T137" s="255"/>
      <c r="U137" s="241"/>
      <c r="V137" s="240"/>
      <c r="W137" s="241"/>
      <c r="X137" s="255"/>
      <c r="Y137" s="241"/>
      <c r="Z137" s="131"/>
      <c r="AA137" s="295"/>
    </row>
    <row r="138" spans="1:40" outlineLevel="1">
      <c r="A138" s="357" t="s">
        <v>39</v>
      </c>
      <c r="B138" s="358" t="s">
        <v>401</v>
      </c>
      <c r="C138" s="23" t="s">
        <v>39</v>
      </c>
      <c r="D138" s="65" t="s">
        <v>397</v>
      </c>
      <c r="E138" s="76">
        <v>0</v>
      </c>
      <c r="F138" s="7">
        <v>0</v>
      </c>
      <c r="G138" s="77">
        <v>0</v>
      </c>
      <c r="H138" s="84">
        <v>0</v>
      </c>
      <c r="I138" s="5">
        <v>0</v>
      </c>
      <c r="J138" s="85">
        <v>0</v>
      </c>
      <c r="K138" s="94"/>
      <c r="L138" s="84">
        <v>0</v>
      </c>
      <c r="M138" s="614">
        <v>0</v>
      </c>
      <c r="N138" s="614">
        <v>0</v>
      </c>
      <c r="O138" s="85">
        <v>0</v>
      </c>
      <c r="P138" s="131"/>
      <c r="Q138" s="1"/>
      <c r="R138" s="1"/>
    </row>
    <row r="139" spans="1:40" outlineLevel="1">
      <c r="A139" s="357" t="s">
        <v>39</v>
      </c>
      <c r="B139" s="358" t="s">
        <v>93</v>
      </c>
      <c r="C139" s="23" t="s">
        <v>39</v>
      </c>
      <c r="D139" s="65" t="s">
        <v>35</v>
      </c>
      <c r="E139" s="76">
        <v>0</v>
      </c>
      <c r="F139" s="7">
        <v>0</v>
      </c>
      <c r="G139" s="77">
        <v>0</v>
      </c>
      <c r="H139" s="84">
        <v>0</v>
      </c>
      <c r="I139" s="5">
        <v>0</v>
      </c>
      <c r="J139" s="85">
        <v>0</v>
      </c>
      <c r="K139" s="94"/>
      <c r="L139" s="84">
        <v>0</v>
      </c>
      <c r="M139" s="614">
        <v>0</v>
      </c>
      <c r="N139" s="614">
        <v>0</v>
      </c>
      <c r="O139" s="85">
        <v>0</v>
      </c>
      <c r="P139" s="131"/>
      <c r="Q139" s="1"/>
      <c r="R139" s="1"/>
    </row>
    <row r="140" spans="1:40" outlineLevel="1">
      <c r="A140" s="357" t="s">
        <v>39</v>
      </c>
      <c r="B140" s="358" t="s">
        <v>238</v>
      </c>
      <c r="C140" s="23" t="s">
        <v>39</v>
      </c>
      <c r="D140" s="65" t="s">
        <v>36</v>
      </c>
      <c r="E140" s="76">
        <v>0</v>
      </c>
      <c r="F140" s="7">
        <v>0</v>
      </c>
      <c r="G140" s="77">
        <v>0</v>
      </c>
      <c r="H140" s="84">
        <v>0</v>
      </c>
      <c r="I140" s="5">
        <v>0</v>
      </c>
      <c r="J140" s="85">
        <v>0</v>
      </c>
      <c r="K140" s="94"/>
      <c r="L140" s="84">
        <v>0</v>
      </c>
      <c r="M140" s="614">
        <v>0</v>
      </c>
      <c r="N140" s="614">
        <v>0</v>
      </c>
      <c r="O140" s="85">
        <v>0</v>
      </c>
      <c r="P140" s="131"/>
      <c r="Q140" s="1"/>
      <c r="R140" s="1"/>
    </row>
    <row r="141" spans="1:40" outlineLevel="1">
      <c r="A141" s="357" t="s">
        <v>39</v>
      </c>
      <c r="B141" s="358" t="s">
        <v>402</v>
      </c>
      <c r="C141" s="23" t="s">
        <v>39</v>
      </c>
      <c r="D141" s="65" t="s">
        <v>398</v>
      </c>
      <c r="E141" s="76">
        <v>0.95662999999999987</v>
      </c>
      <c r="F141" s="7">
        <v>0.95662999999999987</v>
      </c>
      <c r="G141" s="77">
        <v>0.95662999999999987</v>
      </c>
      <c r="H141" s="84">
        <v>0.33696999999999999</v>
      </c>
      <c r="I141" s="5">
        <v>0.33696999999999999</v>
      </c>
      <c r="J141" s="85">
        <v>0.33696999999999999</v>
      </c>
      <c r="K141" s="94"/>
      <c r="L141" s="84">
        <v>0.56840400000000002</v>
      </c>
      <c r="M141" s="614">
        <v>0.56840400000000002</v>
      </c>
      <c r="N141" s="614">
        <v>1.52792642</v>
      </c>
      <c r="O141" s="85">
        <v>0</v>
      </c>
      <c r="P141" s="131"/>
      <c r="Q141" s="1"/>
      <c r="R141" s="1"/>
    </row>
    <row r="142" spans="1:40" outlineLevel="1">
      <c r="A142" s="237" t="s">
        <v>413</v>
      </c>
      <c r="B142" s="236" t="s">
        <v>413</v>
      </c>
      <c r="C142" s="580"/>
      <c r="D142" s="581"/>
      <c r="E142" s="76"/>
      <c r="F142" s="7"/>
      <c r="G142" s="77"/>
      <c r="H142" s="84"/>
      <c r="I142" s="5"/>
      <c r="J142" s="85"/>
      <c r="K142" s="94"/>
      <c r="L142" s="84"/>
      <c r="M142" s="614"/>
      <c r="N142" s="614"/>
      <c r="O142" s="85"/>
      <c r="P142" s="131"/>
      <c r="Q142" s="1"/>
      <c r="R142" s="1"/>
    </row>
    <row r="143" spans="1:40" ht="18" outlineLevel="1">
      <c r="A143" s="237" t="s">
        <v>413</v>
      </c>
      <c r="B143" s="236" t="s">
        <v>413</v>
      </c>
      <c r="C143" s="578"/>
      <c r="D143" s="579"/>
      <c r="E143" s="76"/>
      <c r="F143" s="7"/>
      <c r="G143" s="77"/>
      <c r="H143" s="84"/>
      <c r="I143" s="5"/>
      <c r="J143" s="85"/>
      <c r="K143" s="94"/>
      <c r="L143" s="84"/>
      <c r="M143" s="614"/>
      <c r="N143" s="614"/>
      <c r="O143" s="85"/>
      <c r="P143" s="131"/>
      <c r="Q143" s="1"/>
      <c r="R143" s="1"/>
    </row>
    <row r="144" spans="1:40" ht="18" outlineLevel="1">
      <c r="A144" s="237" t="s">
        <v>413</v>
      </c>
      <c r="B144" s="236" t="s">
        <v>413</v>
      </c>
      <c r="C144" s="578"/>
      <c r="D144" s="579"/>
      <c r="E144" s="76"/>
      <c r="F144" s="7"/>
      <c r="G144" s="77"/>
      <c r="H144" s="84"/>
      <c r="I144" s="5"/>
      <c r="J144" s="85"/>
      <c r="K144" s="94"/>
      <c r="L144" s="84"/>
      <c r="M144" s="614"/>
      <c r="N144" s="614"/>
      <c r="O144" s="85"/>
      <c r="P144" s="131"/>
      <c r="Q144" s="1"/>
      <c r="R144" s="1"/>
    </row>
    <row r="145" spans="1:18" ht="18" outlineLevel="1">
      <c r="A145" s="237" t="s">
        <v>242</v>
      </c>
      <c r="B145" s="236" t="s">
        <v>13</v>
      </c>
      <c r="C145" s="24" t="s">
        <v>40</v>
      </c>
      <c r="D145" s="60" t="s">
        <v>12</v>
      </c>
      <c r="E145" s="76">
        <v>3520.9395541691956</v>
      </c>
      <c r="F145" s="7">
        <v>3473.2589586017971</v>
      </c>
      <c r="G145" s="77">
        <v>3113.0496738040956</v>
      </c>
      <c r="H145" s="84">
        <v>184.22720485079961</v>
      </c>
      <c r="I145" s="5">
        <v>184.22720485079961</v>
      </c>
      <c r="J145" s="85">
        <v>179.4826304213997</v>
      </c>
      <c r="K145" s="94"/>
      <c r="L145" s="84">
        <v>212.07436972529962</v>
      </c>
      <c r="M145" s="614">
        <v>281.08714808650012</v>
      </c>
      <c r="N145" s="614">
        <v>1582.7400294705017</v>
      </c>
      <c r="O145" s="85">
        <v>0</v>
      </c>
      <c r="P145" s="131"/>
      <c r="Q145" s="1"/>
      <c r="R145" s="1"/>
    </row>
    <row r="146" spans="1:18" outlineLevel="1">
      <c r="A146" s="237" t="s">
        <v>242</v>
      </c>
      <c r="B146" s="236" t="s">
        <v>243</v>
      </c>
      <c r="C146" s="582"/>
      <c r="D146" s="579"/>
      <c r="E146" s="76"/>
      <c r="F146" s="7"/>
      <c r="G146" s="77"/>
      <c r="H146" s="84"/>
      <c r="I146" s="5"/>
      <c r="J146" s="85"/>
      <c r="K146" s="94"/>
      <c r="L146" s="84"/>
      <c r="M146" s="614"/>
      <c r="N146" s="614"/>
      <c r="O146" s="85"/>
      <c r="P146" s="131"/>
      <c r="Q146" s="1"/>
      <c r="R146" s="1"/>
    </row>
    <row r="147" spans="1:18" outlineLevel="1">
      <c r="A147" s="237" t="s">
        <v>242</v>
      </c>
      <c r="B147" s="236" t="s">
        <v>234</v>
      </c>
      <c r="C147" s="16" t="s">
        <v>40</v>
      </c>
      <c r="D147" s="61" t="s">
        <v>14</v>
      </c>
      <c r="E147" s="76">
        <v>0</v>
      </c>
      <c r="F147" s="7">
        <v>0</v>
      </c>
      <c r="G147" s="77">
        <v>0</v>
      </c>
      <c r="H147" s="84">
        <v>0</v>
      </c>
      <c r="I147" s="5">
        <v>0</v>
      </c>
      <c r="J147" s="85">
        <v>0</v>
      </c>
      <c r="K147" s="94"/>
      <c r="L147" s="84">
        <v>0</v>
      </c>
      <c r="M147" s="614">
        <v>0</v>
      </c>
      <c r="N147" s="614">
        <v>0</v>
      </c>
      <c r="O147" s="85">
        <v>0</v>
      </c>
      <c r="P147" s="131"/>
      <c r="Q147" s="1"/>
      <c r="R147" s="1"/>
    </row>
    <row r="148" spans="1:18" outlineLevel="1">
      <c r="A148" s="237" t="s">
        <v>242</v>
      </c>
      <c r="B148" s="236" t="s">
        <v>58</v>
      </c>
      <c r="C148" s="16" t="s">
        <v>40</v>
      </c>
      <c r="D148" s="20" t="s">
        <v>15</v>
      </c>
      <c r="E148" s="76">
        <v>1958.8401488249988</v>
      </c>
      <c r="F148" s="7">
        <v>1943.6972729928987</v>
      </c>
      <c r="G148" s="77">
        <v>1871.9959712885986</v>
      </c>
      <c r="H148" s="84">
        <v>81.777409598499943</v>
      </c>
      <c r="I148" s="5">
        <v>81.777409598499943</v>
      </c>
      <c r="J148" s="85">
        <v>74.421929448499938</v>
      </c>
      <c r="K148" s="94"/>
      <c r="L148" s="84">
        <v>75.409198173000036</v>
      </c>
      <c r="M148" s="614">
        <v>88.82402745840011</v>
      </c>
      <c r="N148" s="614">
        <v>684.66224725119969</v>
      </c>
      <c r="O148" s="85">
        <v>0</v>
      </c>
      <c r="P148" s="131"/>
      <c r="Q148" s="1"/>
      <c r="R148" s="1"/>
    </row>
    <row r="149" spans="1:18" outlineLevel="1">
      <c r="A149" s="237" t="s">
        <v>242</v>
      </c>
      <c r="B149" s="236" t="s">
        <v>17</v>
      </c>
      <c r="C149" s="25" t="s">
        <v>40</v>
      </c>
      <c r="D149" s="426" t="s">
        <v>17</v>
      </c>
      <c r="E149" s="76">
        <v>119.05774360659998</v>
      </c>
      <c r="F149" s="7">
        <v>119.04668998459999</v>
      </c>
      <c r="G149" s="77">
        <v>115.90030468830001</v>
      </c>
      <c r="H149" s="84">
        <v>14.737276611699999</v>
      </c>
      <c r="I149" s="5">
        <v>14.737276611699999</v>
      </c>
      <c r="J149" s="85">
        <v>15.334579121699999</v>
      </c>
      <c r="K149" s="94"/>
      <c r="L149" s="84">
        <v>12.071773804199998</v>
      </c>
      <c r="M149" s="614">
        <v>15.562783384199998</v>
      </c>
      <c r="N149" s="614">
        <v>99.371039983999935</v>
      </c>
      <c r="O149" s="85">
        <v>0</v>
      </c>
      <c r="P149" s="131"/>
      <c r="Q149" s="1"/>
      <c r="R149" s="1"/>
    </row>
    <row r="150" spans="1:18" s="4" customFormat="1">
      <c r="A150" s="237" t="s">
        <v>242</v>
      </c>
      <c r="B150" s="236" t="s">
        <v>18</v>
      </c>
      <c r="C150" s="25" t="s">
        <v>40</v>
      </c>
      <c r="D150" s="426" t="s">
        <v>18</v>
      </c>
      <c r="E150" s="73">
        <v>0.14237364530000002</v>
      </c>
      <c r="F150" s="74">
        <v>0.14237364530000002</v>
      </c>
      <c r="G150" s="75">
        <v>0.14605374530000001</v>
      </c>
      <c r="H150" s="82">
        <v>0.13187364530000001</v>
      </c>
      <c r="I150" s="18">
        <v>0.13187364530000001</v>
      </c>
      <c r="J150" s="83">
        <v>0.1355537453</v>
      </c>
      <c r="K150" s="93"/>
      <c r="L150" s="82">
        <v>5.8119284653000003</v>
      </c>
      <c r="M150" s="612">
        <v>5.7588620253</v>
      </c>
      <c r="N150" s="612">
        <v>17.345913625900003</v>
      </c>
      <c r="O150" s="83">
        <v>0</v>
      </c>
      <c r="P150" s="131"/>
    </row>
    <row r="151" spans="1:18" outlineLevel="1">
      <c r="A151" s="237" t="s">
        <v>242</v>
      </c>
      <c r="B151" s="236" t="s">
        <v>19</v>
      </c>
      <c r="C151" s="25" t="s">
        <v>40</v>
      </c>
      <c r="D151" s="426" t="s">
        <v>19</v>
      </c>
      <c r="E151" s="76">
        <v>131.54055597519996</v>
      </c>
      <c r="F151" s="7">
        <v>130.63064307579992</v>
      </c>
      <c r="G151" s="77">
        <v>114.25228198259997</v>
      </c>
      <c r="H151" s="84">
        <v>16.9866313478</v>
      </c>
      <c r="I151" s="5">
        <v>16.9866313478</v>
      </c>
      <c r="J151" s="85">
        <v>13.665607907800005</v>
      </c>
      <c r="K151" s="94"/>
      <c r="L151" s="84">
        <v>10.092942691799994</v>
      </c>
      <c r="M151" s="614">
        <v>24.563082952199998</v>
      </c>
      <c r="N151" s="614">
        <v>86.395109939700006</v>
      </c>
      <c r="O151" s="85">
        <v>0</v>
      </c>
      <c r="P151" s="131"/>
      <c r="Q151" s="1"/>
      <c r="R151" s="1"/>
    </row>
    <row r="152" spans="1:18" outlineLevel="1">
      <c r="A152" s="237" t="s">
        <v>242</v>
      </c>
      <c r="B152" s="236" t="s">
        <v>77</v>
      </c>
      <c r="C152" s="25" t="s">
        <v>40</v>
      </c>
      <c r="D152" s="426" t="s">
        <v>77</v>
      </c>
      <c r="E152" s="76">
        <v>1397.9298607986</v>
      </c>
      <c r="F152" s="7">
        <v>1384.5563217015001</v>
      </c>
      <c r="G152" s="77">
        <v>1391.9316770114997</v>
      </c>
      <c r="H152" s="84">
        <v>22.936031784499999</v>
      </c>
      <c r="I152" s="5">
        <v>22.936031784499999</v>
      </c>
      <c r="J152" s="85">
        <v>22.010470754499998</v>
      </c>
      <c r="K152" s="94"/>
      <c r="L152" s="84">
        <v>9.5377159650999985</v>
      </c>
      <c r="M152" s="614">
        <v>8.3389339896999974</v>
      </c>
      <c r="N152" s="614">
        <v>306.64784932329991</v>
      </c>
      <c r="O152" s="85">
        <v>0</v>
      </c>
      <c r="P152" s="131"/>
      <c r="Q152" s="1"/>
      <c r="R152" s="1"/>
    </row>
    <row r="153" spans="1:18" outlineLevel="1">
      <c r="A153" s="237" t="s">
        <v>242</v>
      </c>
      <c r="B153" s="236" t="s">
        <v>78</v>
      </c>
      <c r="C153" s="25" t="s">
        <v>40</v>
      </c>
      <c r="D153" s="426" t="s">
        <v>78</v>
      </c>
      <c r="E153" s="76">
        <v>144.69065868359996</v>
      </c>
      <c r="F153" s="7">
        <v>145.05523993159997</v>
      </c>
      <c r="G153" s="77">
        <v>110.93679008559999</v>
      </c>
      <c r="H153" s="84">
        <v>2.2158154818</v>
      </c>
      <c r="I153" s="5">
        <v>2.2158154818</v>
      </c>
      <c r="J153" s="85">
        <v>2.9700693718000002</v>
      </c>
      <c r="K153" s="94"/>
      <c r="L153" s="84">
        <v>2.4674813274000011</v>
      </c>
      <c r="M153" s="614">
        <v>2.0795403628999996</v>
      </c>
      <c r="N153" s="614">
        <v>75.673227804100009</v>
      </c>
      <c r="O153" s="85">
        <v>0</v>
      </c>
      <c r="P153" s="131"/>
      <c r="Q153" s="1"/>
      <c r="R153" s="1"/>
    </row>
    <row r="154" spans="1:18" outlineLevel="1">
      <c r="A154" s="237" t="s">
        <v>242</v>
      </c>
      <c r="B154" s="236" t="s">
        <v>393</v>
      </c>
      <c r="C154" s="25" t="s">
        <v>40</v>
      </c>
      <c r="D154" s="426" t="s">
        <v>393</v>
      </c>
      <c r="E154" s="76">
        <v>17.098048895499996</v>
      </c>
      <c r="F154" s="7">
        <v>17.098048895499996</v>
      </c>
      <c r="G154" s="77">
        <v>15.317573347899996</v>
      </c>
      <c r="H154" s="84">
        <v>9.0072034171999995</v>
      </c>
      <c r="I154" s="5">
        <v>9.0072034171999995</v>
      </c>
      <c r="J154" s="85">
        <v>7.2279324371999989</v>
      </c>
      <c r="K154" s="94"/>
      <c r="L154" s="84">
        <v>0.98974477460000032</v>
      </c>
      <c r="M154" s="614">
        <v>2.2972745510999992</v>
      </c>
      <c r="N154" s="614">
        <v>8.5882884713000003</v>
      </c>
      <c r="O154" s="85">
        <v>0</v>
      </c>
      <c r="P154" s="131"/>
      <c r="Q154" s="1"/>
      <c r="R154" s="1"/>
    </row>
    <row r="155" spans="1:18" outlineLevel="1">
      <c r="A155" s="237" t="s">
        <v>242</v>
      </c>
      <c r="B155" s="236" t="s">
        <v>80</v>
      </c>
      <c r="C155" s="25" t="s">
        <v>40</v>
      </c>
      <c r="D155" s="426" t="s">
        <v>80</v>
      </c>
      <c r="E155" s="76">
        <v>-19.230315206</v>
      </c>
      <c r="F155" s="7">
        <v>-19.230315206</v>
      </c>
      <c r="G155" s="77">
        <v>-23.1437276666</v>
      </c>
      <c r="H155" s="84">
        <v>-3.5673437700000012</v>
      </c>
      <c r="I155" s="5">
        <v>-3.5673437700000012</v>
      </c>
      <c r="J155" s="85">
        <v>-6.6931963700000008</v>
      </c>
      <c r="K155" s="94"/>
      <c r="L155" s="84">
        <v>7.9815091800000006</v>
      </c>
      <c r="M155" s="614">
        <v>5.0675631484000023</v>
      </c>
      <c r="N155" s="614">
        <v>-14.157434455200002</v>
      </c>
      <c r="O155" s="85">
        <v>0</v>
      </c>
      <c r="P155" s="131"/>
      <c r="Q155" s="1"/>
      <c r="R155" s="1"/>
    </row>
    <row r="156" spans="1:18" outlineLevel="1">
      <c r="A156" s="237" t="s">
        <v>242</v>
      </c>
      <c r="B156" s="236" t="s">
        <v>104</v>
      </c>
      <c r="C156" s="25" t="s">
        <v>40</v>
      </c>
      <c r="D156" s="64" t="s">
        <v>405</v>
      </c>
      <c r="E156" s="76">
        <v>17.251095813299997</v>
      </c>
      <c r="F156" s="7">
        <v>17.4728548983</v>
      </c>
      <c r="G156" s="77">
        <v>15.979756372799997</v>
      </c>
      <c r="H156" s="84">
        <v>2.2718913565999999</v>
      </c>
      <c r="I156" s="5">
        <v>2.2718913565999999</v>
      </c>
      <c r="J156" s="85">
        <v>1.3055850665999997</v>
      </c>
      <c r="K156" s="94"/>
      <c r="L156" s="84">
        <v>4.9236395512000009</v>
      </c>
      <c r="M156" s="614">
        <v>4.7341947012000007</v>
      </c>
      <c r="N156" s="614">
        <v>16.630337007800001</v>
      </c>
      <c r="O156" s="85">
        <v>0</v>
      </c>
      <c r="P156" s="131"/>
      <c r="Q156" s="1"/>
      <c r="R156" s="1"/>
    </row>
    <row r="157" spans="1:18" outlineLevel="1">
      <c r="A157" s="237" t="s">
        <v>242</v>
      </c>
      <c r="B157" s="236" t="s">
        <v>105</v>
      </c>
      <c r="C157" s="25" t="s">
        <v>40</v>
      </c>
      <c r="D157" s="65" t="s">
        <v>25</v>
      </c>
      <c r="E157" s="76">
        <v>150.36012661289999</v>
      </c>
      <c r="F157" s="7">
        <v>148.92541606629999</v>
      </c>
      <c r="G157" s="77">
        <v>130.6752617212</v>
      </c>
      <c r="H157" s="84">
        <v>17.058029723600001</v>
      </c>
      <c r="I157" s="5">
        <v>17.058029723600001</v>
      </c>
      <c r="J157" s="85">
        <v>18.465327413599997</v>
      </c>
      <c r="K157" s="94"/>
      <c r="L157" s="169">
        <v>21.532462413400008</v>
      </c>
      <c r="M157" s="619">
        <v>20.421792343400011</v>
      </c>
      <c r="N157" s="619">
        <v>88.167915550300023</v>
      </c>
      <c r="O157" s="170">
        <v>0</v>
      </c>
      <c r="P157" s="131"/>
      <c r="Q157" s="1"/>
      <c r="R157" s="1"/>
    </row>
    <row r="158" spans="1:18" outlineLevel="1">
      <c r="A158" s="237" t="s">
        <v>242</v>
      </c>
      <c r="B158" s="236" t="s">
        <v>26</v>
      </c>
      <c r="C158" s="16" t="s">
        <v>40</v>
      </c>
      <c r="D158" s="61" t="s">
        <v>26</v>
      </c>
      <c r="E158" s="76">
        <v>1121.1894761400995</v>
      </c>
      <c r="F158" s="7">
        <v>1097.3530771561996</v>
      </c>
      <c r="G158" s="77">
        <v>974.45100780519988</v>
      </c>
      <c r="H158" s="84">
        <v>71.594295436999971</v>
      </c>
      <c r="I158" s="5">
        <v>71.594295436999971</v>
      </c>
      <c r="J158" s="85">
        <v>71.895680836999929</v>
      </c>
      <c r="K158" s="94"/>
      <c r="L158" s="84">
        <v>77.622546982900005</v>
      </c>
      <c r="M158" s="614">
        <v>100.5207630371001</v>
      </c>
      <c r="N158" s="614">
        <v>602.8750928128004</v>
      </c>
      <c r="O158" s="85">
        <v>0</v>
      </c>
      <c r="P158" s="131"/>
      <c r="Q158" s="1"/>
      <c r="R158" s="1"/>
    </row>
    <row r="159" spans="1:18" outlineLevel="1">
      <c r="A159" s="237" t="s">
        <v>242</v>
      </c>
      <c r="B159" s="236" t="s">
        <v>235</v>
      </c>
      <c r="C159" s="25" t="s">
        <v>40</v>
      </c>
      <c r="D159" s="65" t="s">
        <v>28</v>
      </c>
      <c r="E159" s="76">
        <v>220.93297659069984</v>
      </c>
      <c r="F159" s="7">
        <v>219.62827712829989</v>
      </c>
      <c r="G159" s="77">
        <v>200.32122041109992</v>
      </c>
      <c r="H159" s="84">
        <v>12.730301632699994</v>
      </c>
      <c r="I159" s="5">
        <v>12.730301632699994</v>
      </c>
      <c r="J159" s="85">
        <v>13.555352582699996</v>
      </c>
      <c r="K159" s="94"/>
      <c r="L159" s="84">
        <v>10.951183690200001</v>
      </c>
      <c r="M159" s="614">
        <v>23.569191108399991</v>
      </c>
      <c r="N159" s="614">
        <v>136.61876628929994</v>
      </c>
      <c r="O159" s="85">
        <v>0</v>
      </c>
      <c r="P159" s="131"/>
      <c r="Q159" s="1"/>
      <c r="R159" s="1"/>
    </row>
    <row r="160" spans="1:18" s="4" customFormat="1">
      <c r="A160" s="237" t="s">
        <v>242</v>
      </c>
      <c r="B160" s="236" t="s">
        <v>106</v>
      </c>
      <c r="C160" s="25" t="s">
        <v>40</v>
      </c>
      <c r="D160" s="65" t="s">
        <v>27</v>
      </c>
      <c r="E160" s="73">
        <v>251.32707535480006</v>
      </c>
      <c r="F160" s="74">
        <v>249.89480491390009</v>
      </c>
      <c r="G160" s="75">
        <v>238.17418491450013</v>
      </c>
      <c r="H160" s="82">
        <v>10.236879351999997</v>
      </c>
      <c r="I160" s="18">
        <v>10.236879351999997</v>
      </c>
      <c r="J160" s="83">
        <v>10.193625701999997</v>
      </c>
      <c r="K160" s="93"/>
      <c r="L160" s="82">
        <v>3.0324200003000006</v>
      </c>
      <c r="M160" s="612">
        <v>3.0059952188999994</v>
      </c>
      <c r="N160" s="612">
        <v>78.10198496480001</v>
      </c>
      <c r="O160" s="83">
        <v>0</v>
      </c>
      <c r="P160" s="131"/>
    </row>
    <row r="161" spans="1:18" s="4" customFormat="1">
      <c r="A161" s="237" t="s">
        <v>242</v>
      </c>
      <c r="B161" s="236" t="s">
        <v>87</v>
      </c>
      <c r="C161" s="25" t="s">
        <v>40</v>
      </c>
      <c r="D161" s="65" t="s">
        <v>30</v>
      </c>
      <c r="E161" s="73">
        <v>197.11747710009996</v>
      </c>
      <c r="F161" s="74">
        <v>189.45060737679995</v>
      </c>
      <c r="G161" s="75">
        <v>169.01840656769997</v>
      </c>
      <c r="H161" s="82">
        <v>6.1478221119000001</v>
      </c>
      <c r="I161" s="18">
        <v>6.1478221119000001</v>
      </c>
      <c r="J161" s="83">
        <v>5.1631947919000005</v>
      </c>
      <c r="K161" s="93"/>
      <c r="L161" s="82">
        <v>8.3170896521</v>
      </c>
      <c r="M161" s="612">
        <v>7.7425608621000004</v>
      </c>
      <c r="N161" s="612">
        <v>92.867060671400012</v>
      </c>
      <c r="O161" s="83">
        <v>0</v>
      </c>
      <c r="P161" s="131"/>
    </row>
    <row r="162" spans="1:18">
      <c r="A162" s="237" t="s">
        <v>242</v>
      </c>
      <c r="B162" s="236" t="s">
        <v>107</v>
      </c>
      <c r="C162" s="25" t="s">
        <v>40</v>
      </c>
      <c r="D162" s="65" t="s">
        <v>29</v>
      </c>
      <c r="E162" s="76">
        <v>162.46946438330008</v>
      </c>
      <c r="F162" s="7">
        <v>160.66809617110005</v>
      </c>
      <c r="G162" s="77">
        <v>111.59531626770003</v>
      </c>
      <c r="H162" s="84">
        <v>3.4731521928999998</v>
      </c>
      <c r="I162" s="5">
        <v>3.4731521928999998</v>
      </c>
      <c r="J162" s="85">
        <v>4.4467914329000005</v>
      </c>
      <c r="K162" s="94"/>
      <c r="L162" s="84">
        <v>2.8833213600999992</v>
      </c>
      <c r="M162" s="614">
        <v>7.1034291020000024</v>
      </c>
      <c r="N162" s="614">
        <v>38.933150114099988</v>
      </c>
      <c r="O162" s="85">
        <v>0</v>
      </c>
      <c r="P162" s="131"/>
      <c r="Q162" s="1"/>
      <c r="R162" s="1"/>
    </row>
    <row r="163" spans="1:18">
      <c r="A163" s="237" t="s">
        <v>242</v>
      </c>
      <c r="B163" s="236" t="s">
        <v>236</v>
      </c>
      <c r="C163" s="25" t="s">
        <v>40</v>
      </c>
      <c r="D163" s="65" t="s">
        <v>31</v>
      </c>
      <c r="E163" s="76">
        <v>86.554264191900003</v>
      </c>
      <c r="F163" s="7">
        <v>84.435742921000013</v>
      </c>
      <c r="G163" s="77">
        <v>73.250779047999998</v>
      </c>
      <c r="H163" s="84">
        <v>7.4386091341999965</v>
      </c>
      <c r="I163" s="5">
        <v>7.4386091341999965</v>
      </c>
      <c r="J163" s="85">
        <v>7.3207552241999982</v>
      </c>
      <c r="K163" s="94"/>
      <c r="L163" s="84">
        <v>4.5784659645999994</v>
      </c>
      <c r="M163" s="614">
        <v>6.1284756387999986</v>
      </c>
      <c r="N163" s="614">
        <v>29.210490184999991</v>
      </c>
      <c r="O163" s="85">
        <v>0</v>
      </c>
      <c r="P163" s="131"/>
      <c r="Q163" s="1"/>
      <c r="R163" s="1"/>
    </row>
    <row r="164" spans="1:18">
      <c r="A164" s="237" t="s">
        <v>242</v>
      </c>
      <c r="B164" s="236" t="s">
        <v>237</v>
      </c>
      <c r="C164" s="25" t="s">
        <v>40</v>
      </c>
      <c r="D164" s="65" t="s">
        <v>394</v>
      </c>
      <c r="E164" s="76">
        <v>104.42921488440004</v>
      </c>
      <c r="F164" s="7">
        <v>94.687376198400045</v>
      </c>
      <c r="G164" s="77">
        <v>84.378159279500011</v>
      </c>
      <c r="H164" s="84">
        <v>20.516845796400013</v>
      </c>
      <c r="I164" s="5">
        <v>20.516845796400013</v>
      </c>
      <c r="J164" s="85">
        <v>20.366146576400016</v>
      </c>
      <c r="K164" s="94"/>
      <c r="L164" s="84">
        <v>30.686534643700011</v>
      </c>
      <c r="M164" s="614">
        <v>33.83692208419999</v>
      </c>
      <c r="N164" s="614">
        <v>129.9812333821001</v>
      </c>
      <c r="O164" s="85">
        <v>0</v>
      </c>
      <c r="P164" s="131"/>
      <c r="Q164" s="1"/>
      <c r="R164" s="1"/>
    </row>
    <row r="165" spans="1:18">
      <c r="A165" s="237" t="s">
        <v>242</v>
      </c>
      <c r="B165" s="236" t="s">
        <v>163</v>
      </c>
      <c r="C165" s="25" t="s">
        <v>40</v>
      </c>
      <c r="D165" s="65" t="s">
        <v>403</v>
      </c>
      <c r="E165" s="76">
        <v>95.419003634899994</v>
      </c>
      <c r="F165" s="7">
        <v>95.648172446700002</v>
      </c>
      <c r="G165" s="77">
        <v>94.772941316700013</v>
      </c>
      <c r="H165" s="84">
        <v>9.7556852169000017</v>
      </c>
      <c r="I165" s="5">
        <v>9.7556852169000017</v>
      </c>
      <c r="J165" s="85">
        <v>9.5548145268999995</v>
      </c>
      <c r="K165" s="94"/>
      <c r="L165" s="84">
        <v>16.349531671899999</v>
      </c>
      <c r="M165" s="614">
        <v>18.310189022700005</v>
      </c>
      <c r="N165" s="614">
        <v>92.035132296100016</v>
      </c>
      <c r="O165" s="85">
        <v>0</v>
      </c>
      <c r="P165" s="131"/>
      <c r="Q165" s="1"/>
      <c r="R165" s="1"/>
    </row>
    <row r="166" spans="1:18">
      <c r="A166" s="237" t="s">
        <v>242</v>
      </c>
      <c r="B166" s="236" t="s">
        <v>404</v>
      </c>
      <c r="C166" s="25" t="s">
        <v>40</v>
      </c>
      <c r="D166" s="65" t="s">
        <v>395</v>
      </c>
      <c r="E166" s="76">
        <v>2.9400000000000004</v>
      </c>
      <c r="F166" s="7">
        <v>2.9400000000000004</v>
      </c>
      <c r="G166" s="77">
        <v>2.9400000000000004</v>
      </c>
      <c r="H166" s="84">
        <v>1.2949999999999999</v>
      </c>
      <c r="I166" s="5">
        <v>1.2949999999999999</v>
      </c>
      <c r="J166" s="85">
        <v>1.2949999999999999</v>
      </c>
      <c r="K166" s="94"/>
      <c r="L166" s="84">
        <v>0.82400000000000007</v>
      </c>
      <c r="M166" s="614">
        <v>0.82400000000000007</v>
      </c>
      <c r="N166" s="614">
        <v>5.1272749100000006</v>
      </c>
      <c r="O166" s="85">
        <v>0</v>
      </c>
      <c r="P166" s="131"/>
      <c r="Q166" s="1"/>
      <c r="R166" s="1"/>
    </row>
    <row r="167" spans="1:18">
      <c r="A167" s="237" t="s">
        <v>242</v>
      </c>
      <c r="B167" s="236" t="s">
        <v>59</v>
      </c>
      <c r="C167" s="16" t="s">
        <v>40</v>
      </c>
      <c r="D167" s="61" t="s">
        <v>33</v>
      </c>
      <c r="E167" s="76">
        <v>122.05988816450001</v>
      </c>
      <c r="F167" s="7">
        <v>111.14352942670004</v>
      </c>
      <c r="G167" s="77">
        <v>109.69578010130009</v>
      </c>
      <c r="H167" s="84">
        <v>8.3755636169000027</v>
      </c>
      <c r="I167" s="5">
        <v>8.3755636169000027</v>
      </c>
      <c r="J167" s="85">
        <v>9.1879946569000026</v>
      </c>
      <c r="K167" s="94"/>
      <c r="L167" s="84">
        <v>29.520996593499998</v>
      </c>
      <c r="M167" s="614">
        <v>35.000709532000002</v>
      </c>
      <c r="N167" s="614">
        <v>135.50953701749995</v>
      </c>
      <c r="O167" s="85">
        <v>0</v>
      </c>
      <c r="P167" s="131"/>
      <c r="Q167" s="1"/>
      <c r="R167" s="1"/>
    </row>
    <row r="168" spans="1:18">
      <c r="A168" s="237" t="s">
        <v>242</v>
      </c>
      <c r="B168" s="236" t="s">
        <v>34</v>
      </c>
      <c r="C168" s="16" t="s">
        <v>40</v>
      </c>
      <c r="D168" s="61" t="s">
        <v>34</v>
      </c>
      <c r="E168" s="76">
        <v>318.85004103959994</v>
      </c>
      <c r="F168" s="7">
        <v>321.06507902599998</v>
      </c>
      <c r="G168" s="77">
        <v>156.90691460900007</v>
      </c>
      <c r="H168" s="84">
        <v>22.479936198400019</v>
      </c>
      <c r="I168" s="5">
        <v>22.479936198400019</v>
      </c>
      <c r="J168" s="85">
        <v>23.977025479000012</v>
      </c>
      <c r="K168" s="94"/>
      <c r="L168" s="84">
        <v>29.521627975900003</v>
      </c>
      <c r="M168" s="614">
        <v>56.741648059000006</v>
      </c>
      <c r="N168" s="614">
        <v>159.69315238899989</v>
      </c>
      <c r="O168" s="85">
        <v>0</v>
      </c>
      <c r="P168" s="131"/>
      <c r="Q168" s="1"/>
      <c r="R168" s="1"/>
    </row>
    <row r="169" spans="1:18">
      <c r="A169" s="237" t="s">
        <v>242</v>
      </c>
      <c r="B169" s="236" t="s">
        <v>399</v>
      </c>
      <c r="C169" s="25" t="s">
        <v>40</v>
      </c>
      <c r="D169" s="65" t="s">
        <v>296</v>
      </c>
      <c r="E169" s="76">
        <v>36.564920989000001</v>
      </c>
      <c r="F169" s="7">
        <v>34.950405304</v>
      </c>
      <c r="G169" s="77">
        <v>29.764787130799998</v>
      </c>
      <c r="H169" s="84">
        <v>7.8711967563999989</v>
      </c>
      <c r="I169" s="5">
        <v>7.8711967563999989</v>
      </c>
      <c r="J169" s="85">
        <v>6.3585896063999998</v>
      </c>
      <c r="K169" s="94"/>
      <c r="L169" s="84">
        <v>13.150462992400007</v>
      </c>
      <c r="M169" s="614">
        <v>31.075746831299995</v>
      </c>
      <c r="N169" s="614">
        <v>43.524304316600002</v>
      </c>
      <c r="O169" s="85">
        <v>0</v>
      </c>
      <c r="P169" s="131"/>
      <c r="Q169" s="1"/>
      <c r="R169" s="1"/>
    </row>
    <row r="170" spans="1:18">
      <c r="A170" s="237" t="s">
        <v>242</v>
      </c>
      <c r="B170" s="236" t="s">
        <v>400</v>
      </c>
      <c r="C170" s="25" t="s">
        <v>40</v>
      </c>
      <c r="D170" s="65" t="s">
        <v>396</v>
      </c>
      <c r="E170" s="76">
        <v>12.408507392699999</v>
      </c>
      <c r="F170" s="7">
        <v>12.536307392699998</v>
      </c>
      <c r="G170" s="77">
        <v>12.250345641299997</v>
      </c>
      <c r="H170" s="84">
        <v>1.6970850306999996</v>
      </c>
      <c r="I170" s="5">
        <v>1.6970850306999996</v>
      </c>
      <c r="J170" s="85">
        <v>1.7832541806999995</v>
      </c>
      <c r="K170" s="94"/>
      <c r="L170" s="84">
        <v>0.69599391199999983</v>
      </c>
      <c r="M170" s="614">
        <v>0.83918411199999987</v>
      </c>
      <c r="N170" s="614">
        <v>14.026367546099998</v>
      </c>
      <c r="O170" s="85">
        <v>0</v>
      </c>
      <c r="P170" s="131"/>
      <c r="Q170" s="1"/>
      <c r="R170" s="1"/>
    </row>
    <row r="171" spans="1:18">
      <c r="A171" s="237" t="s">
        <v>242</v>
      </c>
      <c r="B171" s="236" t="s">
        <v>401</v>
      </c>
      <c r="C171" s="25" t="s">
        <v>40</v>
      </c>
      <c r="D171" s="65" t="s">
        <v>397</v>
      </c>
      <c r="E171" s="76">
        <v>14.480304067700002</v>
      </c>
      <c r="F171" s="7">
        <v>14.092279934499997</v>
      </c>
      <c r="G171" s="77">
        <v>12.443708201500002</v>
      </c>
      <c r="H171" s="84">
        <v>3.0086145676</v>
      </c>
      <c r="I171" s="5">
        <v>3.0086145676</v>
      </c>
      <c r="J171" s="85">
        <v>3.0055556175999998</v>
      </c>
      <c r="K171" s="94"/>
      <c r="L171" s="84">
        <v>3.991400934200001</v>
      </c>
      <c r="M171" s="614">
        <v>4.5896422943000008</v>
      </c>
      <c r="N171" s="614">
        <v>23.121440385400014</v>
      </c>
      <c r="O171" s="85">
        <v>0</v>
      </c>
      <c r="P171" s="131"/>
      <c r="Q171" s="1"/>
      <c r="R171" s="1"/>
    </row>
    <row r="172" spans="1:18">
      <c r="A172" s="237" t="s">
        <v>242</v>
      </c>
      <c r="B172" s="236" t="s">
        <v>93</v>
      </c>
      <c r="C172" s="25" t="s">
        <v>40</v>
      </c>
      <c r="D172" s="65" t="s">
        <v>35</v>
      </c>
      <c r="E172" s="76">
        <v>178.71321138300002</v>
      </c>
      <c r="F172" s="7">
        <v>178.71321138300002</v>
      </c>
      <c r="G172" s="77">
        <v>22.413532523600004</v>
      </c>
      <c r="H172" s="84">
        <v>0.18354952369999974</v>
      </c>
      <c r="I172" s="5">
        <v>0.18354952369999974</v>
      </c>
      <c r="J172" s="85">
        <v>3.3769217943000003</v>
      </c>
      <c r="K172" s="94"/>
      <c r="L172" s="84">
        <v>2.1639720073000022</v>
      </c>
      <c r="M172" s="614">
        <v>4.7484644113999996</v>
      </c>
      <c r="N172" s="614">
        <v>23.089863191000013</v>
      </c>
      <c r="O172" s="85">
        <v>0</v>
      </c>
      <c r="P172" s="131"/>
      <c r="Q172" s="1"/>
      <c r="R172" s="1"/>
    </row>
    <row r="173" spans="1:18">
      <c r="A173" s="237" t="s">
        <v>242</v>
      </c>
      <c r="B173" s="236" t="s">
        <v>238</v>
      </c>
      <c r="C173" s="25" t="s">
        <v>40</v>
      </c>
      <c r="D173" s="65" t="s">
        <v>36</v>
      </c>
      <c r="E173" s="76">
        <v>75.726467207199988</v>
      </c>
      <c r="F173" s="7">
        <v>79.816245011800021</v>
      </c>
      <c r="G173" s="77">
        <v>79.077911111800006</v>
      </c>
      <c r="H173" s="84">
        <v>9.3825203200000047</v>
      </c>
      <c r="I173" s="5">
        <v>9.3825203200000047</v>
      </c>
      <c r="J173" s="85">
        <v>9.1157342800000052</v>
      </c>
      <c r="K173" s="94"/>
      <c r="L173" s="84">
        <v>8.9513941299999988</v>
      </c>
      <c r="M173" s="614">
        <v>14.920206410000004</v>
      </c>
      <c r="N173" s="614">
        <v>54.403250529899992</v>
      </c>
      <c r="O173" s="85">
        <v>0</v>
      </c>
      <c r="P173" s="131"/>
      <c r="Q173" s="1"/>
      <c r="R173" s="1"/>
    </row>
    <row r="174" spans="1:18">
      <c r="A174" s="237" t="s">
        <v>242</v>
      </c>
      <c r="B174" s="236" t="s">
        <v>402</v>
      </c>
      <c r="C174" s="25" t="s">
        <v>40</v>
      </c>
      <c r="D174" s="65" t="s">
        <v>398</v>
      </c>
      <c r="E174" s="76">
        <v>0.95662999999999987</v>
      </c>
      <c r="F174" s="7">
        <v>0.95662999999999987</v>
      </c>
      <c r="G174" s="77">
        <v>0.95662999999999987</v>
      </c>
      <c r="H174" s="84">
        <v>0.33696999999999999</v>
      </c>
      <c r="I174" s="5">
        <v>0.33696999999999999</v>
      </c>
      <c r="J174" s="85">
        <v>0.33696999999999999</v>
      </c>
      <c r="K174" s="94"/>
      <c r="L174" s="84">
        <v>0.56840400000000002</v>
      </c>
      <c r="M174" s="614">
        <v>0.56840400000000002</v>
      </c>
      <c r="N174" s="614">
        <v>1.52792642</v>
      </c>
      <c r="O174" s="85">
        <v>0</v>
      </c>
      <c r="P174" s="131"/>
      <c r="Q174" s="1"/>
      <c r="R174" s="1"/>
    </row>
    <row r="175" spans="1:18" ht="15" thickBot="1">
      <c r="B175" s="236"/>
      <c r="C175" s="213"/>
      <c r="D175" s="212"/>
      <c r="E175" s="79"/>
      <c r="F175" s="80"/>
      <c r="G175" s="81"/>
      <c r="H175" s="86"/>
      <c r="I175" s="87"/>
      <c r="J175" s="88"/>
      <c r="K175" s="94"/>
      <c r="L175" s="86"/>
      <c r="M175" s="87"/>
      <c r="N175" s="87"/>
      <c r="O175" s="88"/>
      <c r="P175" s="131"/>
      <c r="Q175" s="1"/>
      <c r="R175" s="1"/>
    </row>
    <row r="176" spans="1:18">
      <c r="C176" s="25"/>
      <c r="D176" s="65"/>
      <c r="H176" s="5"/>
      <c r="I176" s="1"/>
      <c r="J176" s="1"/>
      <c r="K176" s="91"/>
      <c r="P176" s="1"/>
      <c r="Q176" s="1"/>
      <c r="R176" s="1"/>
    </row>
    <row r="177" spans="3:18">
      <c r="C177" s="16"/>
      <c r="D177" s="61"/>
      <c r="H177" s="5"/>
      <c r="I177" s="1"/>
      <c r="J177" s="1"/>
      <c r="K177" s="91"/>
      <c r="P177" s="1"/>
      <c r="Q177" s="1"/>
      <c r="R177" s="1"/>
    </row>
    <row r="178" spans="3:18">
      <c r="C178" s="16"/>
      <c r="D178" s="61"/>
      <c r="H178" s="5"/>
      <c r="I178" s="1"/>
      <c r="J178" s="1"/>
      <c r="K178" s="91"/>
      <c r="P178" s="1"/>
      <c r="Q178" s="1"/>
      <c r="R178" s="1"/>
    </row>
    <row r="179" spans="3:18">
      <c r="C179" s="25"/>
      <c r="D179" s="64"/>
      <c r="H179" s="5"/>
      <c r="I179" s="1"/>
      <c r="J179" s="1"/>
      <c r="K179" s="91"/>
      <c r="P179" s="1"/>
      <c r="Q179" s="1"/>
      <c r="R179" s="1"/>
    </row>
    <row r="180" spans="3:18">
      <c r="C180" s="25"/>
      <c r="D180" s="64"/>
      <c r="H180" s="5"/>
      <c r="I180" s="1"/>
      <c r="J180" s="1"/>
      <c r="K180" s="91"/>
      <c r="P180" s="1"/>
      <c r="Q180" s="1"/>
      <c r="R180" s="1"/>
    </row>
    <row r="181" spans="3:18">
      <c r="C181" s="25"/>
      <c r="D181" s="65"/>
      <c r="H181" s="5"/>
      <c r="I181" s="1"/>
      <c r="J181" s="1"/>
      <c r="K181" s="91"/>
      <c r="P181" s="1"/>
      <c r="Q181" s="1"/>
      <c r="R181" s="1"/>
    </row>
    <row r="182" spans="3:18">
      <c r="H182" s="1"/>
      <c r="I182" s="1"/>
      <c r="J182" s="1"/>
      <c r="K182" s="91"/>
      <c r="P182" s="1"/>
      <c r="Q182" s="1"/>
      <c r="R182" s="1"/>
    </row>
    <row r="183" spans="3:18">
      <c r="H183" s="1"/>
      <c r="I183" s="1"/>
      <c r="J183" s="1"/>
      <c r="K183" s="91"/>
      <c r="P183" s="1"/>
      <c r="Q183" s="1"/>
      <c r="R183" s="1"/>
    </row>
    <row r="184" spans="3:18">
      <c r="H184" s="1"/>
      <c r="I184" s="1"/>
      <c r="J184" s="1"/>
      <c r="K184" s="91"/>
      <c r="P184" s="1"/>
      <c r="Q184" s="1"/>
      <c r="R184" s="1"/>
    </row>
    <row r="185" spans="3:18">
      <c r="H185" s="1"/>
      <c r="I185" s="1"/>
      <c r="J185" s="1"/>
      <c r="K185" s="91"/>
      <c r="P185" s="1"/>
      <c r="Q185" s="1"/>
      <c r="R185" s="1"/>
    </row>
    <row r="186" spans="3:18">
      <c r="H186" s="1"/>
      <c r="I186" s="1"/>
      <c r="J186" s="1"/>
      <c r="K186" s="91"/>
      <c r="P186" s="1"/>
      <c r="Q186" s="1"/>
      <c r="R186" s="1"/>
    </row>
    <row r="187" spans="3:18">
      <c r="H187" s="1"/>
      <c r="I187" s="1"/>
      <c r="J187" s="1"/>
      <c r="K187" s="91"/>
      <c r="P187" s="1"/>
      <c r="Q187" s="1"/>
      <c r="R187" s="1"/>
    </row>
    <row r="188" spans="3:18">
      <c r="H188" s="1"/>
      <c r="I188" s="1"/>
      <c r="J188" s="1"/>
      <c r="K188" s="91"/>
      <c r="P188" s="1"/>
      <c r="Q188" s="1"/>
      <c r="R188" s="1"/>
    </row>
    <row r="189" spans="3:18">
      <c r="H189" s="1"/>
      <c r="I189" s="1"/>
      <c r="J189" s="1"/>
      <c r="K189" s="91"/>
      <c r="P189" s="1"/>
      <c r="Q189" s="1"/>
      <c r="R189" s="1"/>
    </row>
    <row r="190" spans="3:18">
      <c r="P190" s="1"/>
    </row>
    <row r="191" spans="3:18">
      <c r="P191" s="1"/>
    </row>
    <row r="192" spans="3:18">
      <c r="P192" s="1"/>
    </row>
    <row r="193" spans="16:16">
      <c r="P193" s="1"/>
    </row>
    <row r="194" spans="16:16">
      <c r="P194" s="1"/>
    </row>
    <row r="195" spans="16:16">
      <c r="P195" s="1"/>
    </row>
    <row r="196" spans="16:16">
      <c r="P196" s="1"/>
    </row>
    <row r="197" spans="16:16">
      <c r="P197" s="1"/>
    </row>
    <row r="214" spans="2:28" ht="18">
      <c r="B214" s="236"/>
      <c r="C214" s="24" t="s">
        <v>360</v>
      </c>
      <c r="D214" s="60" t="s">
        <v>12</v>
      </c>
      <c r="E214" s="7">
        <f t="shared" ref="E214:O214" si="0">SUM(E13,E44,E75)</f>
        <v>3515.4153556091987</v>
      </c>
      <c r="F214" s="7">
        <f t="shared" si="0"/>
        <v>3467.7347600417993</v>
      </c>
      <c r="G214" s="7">
        <f t="shared" si="0"/>
        <v>3107.5254752440997</v>
      </c>
      <c r="H214" s="7">
        <f t="shared" si="0"/>
        <v>181.57414438079991</v>
      </c>
      <c r="I214" s="7">
        <f t="shared" si="0"/>
        <v>181.57414438079991</v>
      </c>
      <c r="J214" s="7">
        <f t="shared" si="0"/>
        <v>176.8295699514</v>
      </c>
      <c r="K214" s="7">
        <f t="shared" si="0"/>
        <v>0</v>
      </c>
      <c r="L214" s="7">
        <f t="shared" si="0"/>
        <v>202.3505387453001</v>
      </c>
      <c r="M214" s="7">
        <f t="shared" si="0"/>
        <v>271.36331710649984</v>
      </c>
      <c r="N214" s="7">
        <f t="shared" si="0"/>
        <v>1566.3139211805005</v>
      </c>
      <c r="O214" s="7">
        <f t="shared" si="0"/>
        <v>0</v>
      </c>
      <c r="P214" s="7">
        <f t="shared" ref="P214:R214" si="1">SUM(P13,P44,P75)</f>
        <v>0</v>
      </c>
      <c r="Q214" s="7">
        <f t="shared" si="1"/>
        <v>0</v>
      </c>
      <c r="R214" s="7">
        <f t="shared" si="1"/>
        <v>0</v>
      </c>
    </row>
    <row r="215" spans="2:28" ht="18">
      <c r="B215" s="236"/>
      <c r="C215" s="378"/>
      <c r="D215" s="379"/>
      <c r="K215"/>
      <c r="L215"/>
      <c r="M215"/>
      <c r="N215"/>
      <c r="O215"/>
    </row>
    <row r="216" spans="2:28">
      <c r="B216" s="236"/>
      <c r="C216" s="16" t="s">
        <v>360</v>
      </c>
      <c r="D216" s="61" t="s">
        <v>14</v>
      </c>
      <c r="E216" s="7">
        <f t="shared" ref="E216:O216" si="2">SUM(E15,E46,E77)</f>
        <v>0</v>
      </c>
      <c r="F216" s="7">
        <f t="shared" si="2"/>
        <v>0</v>
      </c>
      <c r="G216" s="7">
        <f t="shared" si="2"/>
        <v>0</v>
      </c>
      <c r="H216" s="7">
        <f t="shared" si="2"/>
        <v>0</v>
      </c>
      <c r="I216" s="7">
        <f t="shared" si="2"/>
        <v>0</v>
      </c>
      <c r="J216" s="7">
        <f t="shared" si="2"/>
        <v>0</v>
      </c>
      <c r="K216" s="7">
        <f t="shared" si="2"/>
        <v>0</v>
      </c>
      <c r="L216" s="7">
        <f t="shared" si="2"/>
        <v>0</v>
      </c>
      <c r="M216" s="7">
        <f t="shared" si="2"/>
        <v>0</v>
      </c>
      <c r="N216" s="7">
        <f t="shared" si="2"/>
        <v>0</v>
      </c>
      <c r="O216" s="7">
        <f t="shared" si="2"/>
        <v>0</v>
      </c>
      <c r="P216" s="7">
        <f t="shared" ref="P216:R216" si="3">SUM(P15,P46,P77)</f>
        <v>0</v>
      </c>
      <c r="Q216" s="7">
        <f t="shared" si="3"/>
        <v>0</v>
      </c>
      <c r="R216" s="7">
        <f t="shared" si="3"/>
        <v>0</v>
      </c>
    </row>
    <row r="217" spans="2:28">
      <c r="B217" s="236"/>
      <c r="C217" s="16" t="s">
        <v>360</v>
      </c>
      <c r="D217" s="61" t="s">
        <v>15</v>
      </c>
      <c r="E217" s="7">
        <f t="shared" ref="E217:O217" si="4">SUM(E16,E47,E78)</f>
        <v>1957.810848825</v>
      </c>
      <c r="F217" s="7">
        <f t="shared" si="4"/>
        <v>1942.6679729929001</v>
      </c>
      <c r="G217" s="7">
        <f t="shared" si="4"/>
        <v>1870.9666712886001</v>
      </c>
      <c r="H217" s="7">
        <f t="shared" si="4"/>
        <v>81.137909598500002</v>
      </c>
      <c r="I217" s="7">
        <f t="shared" si="4"/>
        <v>81.137909598500002</v>
      </c>
      <c r="J217" s="7">
        <f t="shared" si="4"/>
        <v>73.782429448500025</v>
      </c>
      <c r="K217" s="7">
        <f t="shared" si="4"/>
        <v>0</v>
      </c>
      <c r="L217" s="7">
        <f t="shared" si="4"/>
        <v>67.235771172999975</v>
      </c>
      <c r="M217" s="7">
        <f t="shared" si="4"/>
        <v>80.650600458400021</v>
      </c>
      <c r="N217" s="7">
        <f t="shared" si="4"/>
        <v>675.4982202511992</v>
      </c>
      <c r="O217" s="7">
        <f t="shared" si="4"/>
        <v>0</v>
      </c>
      <c r="P217" s="7">
        <f t="shared" ref="P217:R217" si="5">SUM(P16,P47,P78)</f>
        <v>0</v>
      </c>
      <c r="Q217" s="7">
        <f t="shared" si="5"/>
        <v>0</v>
      </c>
      <c r="R217" s="7">
        <f t="shared" si="5"/>
        <v>0</v>
      </c>
    </row>
    <row r="218" spans="2:28" outlineLevel="1">
      <c r="B218" s="236"/>
      <c r="C218" s="25" t="s">
        <v>360</v>
      </c>
      <c r="D218" s="62" t="s">
        <v>17</v>
      </c>
      <c r="E218" s="7">
        <f t="shared" ref="E218:O218" si="6">SUM(E17,E48,E79)</f>
        <v>119.0577436066</v>
      </c>
      <c r="F218" s="7">
        <f t="shared" si="6"/>
        <v>119.04668998459999</v>
      </c>
      <c r="G218" s="7">
        <f t="shared" si="6"/>
        <v>115.9003046883</v>
      </c>
      <c r="H218" s="7">
        <f t="shared" si="6"/>
        <v>14.7372766117</v>
      </c>
      <c r="I218" s="7">
        <f t="shared" si="6"/>
        <v>14.7372766117</v>
      </c>
      <c r="J218" s="7">
        <f t="shared" si="6"/>
        <v>15.334579121699999</v>
      </c>
      <c r="K218" s="7">
        <f t="shared" si="6"/>
        <v>0</v>
      </c>
      <c r="L218" s="7">
        <f t="shared" si="6"/>
        <v>12.071773804200001</v>
      </c>
      <c r="M218" s="7">
        <f t="shared" si="6"/>
        <v>15.562783384199999</v>
      </c>
      <c r="N218" s="7">
        <f t="shared" si="6"/>
        <v>99.371039984000021</v>
      </c>
      <c r="O218" s="7">
        <f t="shared" si="6"/>
        <v>0</v>
      </c>
      <c r="P218" s="7">
        <f t="shared" ref="P218:R218" si="7">SUM(P17,P48,P79)</f>
        <v>0</v>
      </c>
      <c r="Q218" s="7">
        <f t="shared" si="7"/>
        <v>0</v>
      </c>
      <c r="R218" s="7">
        <f t="shared" si="7"/>
        <v>0</v>
      </c>
    </row>
    <row r="219" spans="2:28" outlineLevel="1">
      <c r="B219" s="236"/>
      <c r="C219" s="25" t="s">
        <v>360</v>
      </c>
      <c r="D219" s="62" t="s">
        <v>18</v>
      </c>
      <c r="E219" s="7">
        <f t="shared" ref="E219:O219" si="8">SUM(E18,E49,E80)</f>
        <v>0.14237364529999999</v>
      </c>
      <c r="F219" s="7">
        <f t="shared" si="8"/>
        <v>0.14237364529999999</v>
      </c>
      <c r="G219" s="7">
        <f t="shared" si="8"/>
        <v>0.14605374529999998</v>
      </c>
      <c r="H219" s="7">
        <f t="shared" si="8"/>
        <v>0.13187364530000001</v>
      </c>
      <c r="I219" s="7">
        <f t="shared" si="8"/>
        <v>0.13187364530000001</v>
      </c>
      <c r="J219" s="7">
        <f t="shared" si="8"/>
        <v>0.1355537453</v>
      </c>
      <c r="K219" s="7">
        <f t="shared" si="8"/>
        <v>0</v>
      </c>
      <c r="L219" s="7">
        <f t="shared" si="8"/>
        <v>5.8119284653000003</v>
      </c>
      <c r="M219" s="7">
        <f t="shared" si="8"/>
        <v>5.7588620253</v>
      </c>
      <c r="N219" s="7">
        <f t="shared" si="8"/>
        <v>17.3459136259</v>
      </c>
      <c r="O219" s="7">
        <f t="shared" si="8"/>
        <v>0</v>
      </c>
      <c r="P219" s="7">
        <f t="shared" ref="P219:R219" si="9">SUM(P18,P49,P80)</f>
        <v>0</v>
      </c>
      <c r="Q219" s="7">
        <f t="shared" si="9"/>
        <v>0</v>
      </c>
      <c r="R219" s="7">
        <f t="shared" si="9"/>
        <v>0</v>
      </c>
    </row>
    <row r="220" spans="2:28" outlineLevel="1">
      <c r="B220" s="236"/>
      <c r="C220" s="25" t="s">
        <v>360</v>
      </c>
      <c r="D220" s="62" t="s">
        <v>19</v>
      </c>
      <c r="E220" s="7">
        <f t="shared" ref="E220:O220" si="10">SUM(E19,E50,E81)</f>
        <v>131.54055597519999</v>
      </c>
      <c r="F220" s="7">
        <f t="shared" si="10"/>
        <v>130.63064307579998</v>
      </c>
      <c r="G220" s="7">
        <f t="shared" si="10"/>
        <v>114.25228198259998</v>
      </c>
      <c r="H220" s="7">
        <f t="shared" si="10"/>
        <v>16.986631347800003</v>
      </c>
      <c r="I220" s="7">
        <f t="shared" si="10"/>
        <v>16.986631347800003</v>
      </c>
      <c r="J220" s="7">
        <f t="shared" si="10"/>
        <v>13.665607907800002</v>
      </c>
      <c r="K220" s="7">
        <f t="shared" si="10"/>
        <v>0</v>
      </c>
      <c r="L220" s="7">
        <f t="shared" si="10"/>
        <v>10.092942691800001</v>
      </c>
      <c r="M220" s="7">
        <f t="shared" si="10"/>
        <v>24.563082952199991</v>
      </c>
      <c r="N220" s="7">
        <f t="shared" si="10"/>
        <v>86.395109939700021</v>
      </c>
      <c r="O220" s="7">
        <f t="shared" si="10"/>
        <v>0</v>
      </c>
      <c r="P220" s="7">
        <f t="shared" ref="P220:R220" si="11">SUM(P19,P50,P81)</f>
        <v>0</v>
      </c>
      <c r="Q220" s="7">
        <f t="shared" si="11"/>
        <v>0</v>
      </c>
      <c r="R220" s="7">
        <f t="shared" si="11"/>
        <v>0</v>
      </c>
    </row>
    <row r="221" spans="2:28" outlineLevel="1">
      <c r="B221" s="236"/>
      <c r="C221" s="25" t="s">
        <v>360</v>
      </c>
      <c r="D221" s="62" t="s">
        <v>20</v>
      </c>
      <c r="E221" s="7">
        <f t="shared" ref="E221:O221" si="12">SUM(E20,E51,E82)</f>
        <v>1397.9298607986002</v>
      </c>
      <c r="F221" s="7">
        <f t="shared" si="12"/>
        <v>1384.5563217015001</v>
      </c>
      <c r="G221" s="7">
        <f t="shared" si="12"/>
        <v>1391.9316770114997</v>
      </c>
      <c r="H221" s="7">
        <f t="shared" si="12"/>
        <v>22.936031784499999</v>
      </c>
      <c r="I221" s="7">
        <f t="shared" si="12"/>
        <v>22.936031784499999</v>
      </c>
      <c r="J221" s="7">
        <f t="shared" si="12"/>
        <v>22.010470754499998</v>
      </c>
      <c r="K221" s="7">
        <f t="shared" si="12"/>
        <v>0</v>
      </c>
      <c r="L221" s="7">
        <f t="shared" si="12"/>
        <v>9.5377159651000003</v>
      </c>
      <c r="M221" s="7">
        <f t="shared" si="12"/>
        <v>8.3389339896999992</v>
      </c>
      <c r="N221" s="7">
        <f t="shared" si="12"/>
        <v>306.64784932329997</v>
      </c>
      <c r="O221" s="7">
        <f t="shared" si="12"/>
        <v>0</v>
      </c>
      <c r="P221" s="7">
        <f t="shared" ref="P221:R221" si="13">SUM(P20,P51,P82)</f>
        <v>0</v>
      </c>
      <c r="Q221" s="7">
        <f t="shared" si="13"/>
        <v>0</v>
      </c>
      <c r="R221" s="7">
        <f t="shared" si="13"/>
        <v>0</v>
      </c>
      <c r="V221"/>
      <c r="AA221"/>
      <c r="AB221"/>
    </row>
    <row r="222" spans="2:28" outlineLevel="1">
      <c r="B222" s="236"/>
      <c r="C222" s="25" t="s">
        <v>360</v>
      </c>
      <c r="D222" s="62" t="s">
        <v>22</v>
      </c>
      <c r="E222" s="7">
        <f t="shared" ref="E222:O222" si="14">SUM(E21,E52,E83)</f>
        <v>144.69065868359999</v>
      </c>
      <c r="F222" s="7">
        <f t="shared" si="14"/>
        <v>145.0552399316</v>
      </c>
      <c r="G222" s="7">
        <f t="shared" si="14"/>
        <v>110.93679008559999</v>
      </c>
      <c r="H222" s="7">
        <f t="shared" si="14"/>
        <v>2.2158154818000004</v>
      </c>
      <c r="I222" s="7">
        <f t="shared" si="14"/>
        <v>2.2158154818000004</v>
      </c>
      <c r="J222" s="7">
        <f t="shared" si="14"/>
        <v>2.9700693717999997</v>
      </c>
      <c r="K222" s="7">
        <f t="shared" si="14"/>
        <v>0</v>
      </c>
      <c r="L222" s="7">
        <f t="shared" si="14"/>
        <v>2.4674813273999998</v>
      </c>
      <c r="M222" s="7">
        <f t="shared" si="14"/>
        <v>2.0795403629</v>
      </c>
      <c r="N222" s="7">
        <f t="shared" si="14"/>
        <v>75.673227804100009</v>
      </c>
      <c r="O222" s="7">
        <f t="shared" si="14"/>
        <v>0</v>
      </c>
      <c r="P222" s="7">
        <f t="shared" ref="P222:R222" si="15">SUM(P21,P52,P83)</f>
        <v>0</v>
      </c>
      <c r="Q222" s="7">
        <f t="shared" si="15"/>
        <v>0</v>
      </c>
      <c r="R222" s="7">
        <f t="shared" si="15"/>
        <v>0</v>
      </c>
      <c r="V222"/>
      <c r="AA222"/>
      <c r="AB222"/>
    </row>
    <row r="223" spans="2:28" outlineLevel="1">
      <c r="B223" s="236"/>
      <c r="C223" s="25" t="s">
        <v>360</v>
      </c>
      <c r="D223" s="63" t="s">
        <v>23</v>
      </c>
      <c r="E223" s="7">
        <f t="shared" ref="E223:O223" si="16">SUM(E23,E54,E85)</f>
        <v>-20.259615205999999</v>
      </c>
      <c r="F223" s="7">
        <f t="shared" si="16"/>
        <v>-20.259615205999999</v>
      </c>
      <c r="G223" s="7">
        <f t="shared" si="16"/>
        <v>-24.173027666599999</v>
      </c>
      <c r="H223" s="7">
        <f t="shared" si="16"/>
        <v>-4.2068437699999999</v>
      </c>
      <c r="I223" s="7">
        <f t="shared" si="16"/>
        <v>-4.2068437699999999</v>
      </c>
      <c r="J223" s="7">
        <f t="shared" si="16"/>
        <v>-7.3326963700000007</v>
      </c>
      <c r="K223" s="7">
        <f t="shared" si="16"/>
        <v>0</v>
      </c>
      <c r="L223" s="7">
        <f t="shared" si="16"/>
        <v>-0.19191782000000002</v>
      </c>
      <c r="M223" s="7">
        <f t="shared" si="16"/>
        <v>-3.1058638516000001</v>
      </c>
      <c r="N223" s="7">
        <f t="shared" si="16"/>
        <v>-23.321461455200001</v>
      </c>
      <c r="O223" s="7">
        <f t="shared" si="16"/>
        <v>0</v>
      </c>
      <c r="P223" s="7">
        <f t="shared" ref="P223:R223" si="17">SUM(P23,P54,P85)</f>
        <v>0</v>
      </c>
      <c r="Q223" s="7">
        <f t="shared" si="17"/>
        <v>0</v>
      </c>
      <c r="R223" s="7">
        <f t="shared" si="17"/>
        <v>0</v>
      </c>
      <c r="V223"/>
      <c r="AA223"/>
      <c r="AB223"/>
    </row>
    <row r="224" spans="2:28" outlineLevel="1">
      <c r="B224" s="236"/>
      <c r="C224" s="25" t="s">
        <v>360</v>
      </c>
      <c r="D224" s="64" t="s">
        <v>24</v>
      </c>
      <c r="E224" s="7">
        <f t="shared" ref="E224:O224" si="18">SUM(E24,E55,E86)</f>
        <v>17.25109581329999</v>
      </c>
      <c r="F224" s="7">
        <f t="shared" si="18"/>
        <v>17.472854898299996</v>
      </c>
      <c r="G224" s="7">
        <f t="shared" si="18"/>
        <v>15.979756372799997</v>
      </c>
      <c r="H224" s="7">
        <f t="shared" si="18"/>
        <v>2.2718913565999999</v>
      </c>
      <c r="I224" s="7">
        <f t="shared" si="18"/>
        <v>2.2718913565999999</v>
      </c>
      <c r="J224" s="7">
        <f t="shared" si="18"/>
        <v>1.3055850666</v>
      </c>
      <c r="K224" s="7">
        <f t="shared" si="18"/>
        <v>0</v>
      </c>
      <c r="L224" s="7">
        <f t="shared" si="18"/>
        <v>4.9236395512</v>
      </c>
      <c r="M224" s="7">
        <f t="shared" si="18"/>
        <v>4.7341947011999999</v>
      </c>
      <c r="N224" s="7">
        <f t="shared" si="18"/>
        <v>16.630337007800001</v>
      </c>
      <c r="O224" s="7">
        <f t="shared" si="18"/>
        <v>0</v>
      </c>
      <c r="P224" s="7">
        <f t="shared" ref="P224:R224" si="19">SUM(P24,P55,P86)</f>
        <v>0</v>
      </c>
      <c r="Q224" s="7">
        <f t="shared" si="19"/>
        <v>0</v>
      </c>
      <c r="R224" s="7">
        <f t="shared" si="19"/>
        <v>0</v>
      </c>
      <c r="V224"/>
      <c r="AA224"/>
      <c r="AB224"/>
    </row>
    <row r="225" spans="2:28" outlineLevel="1">
      <c r="B225" s="236"/>
      <c r="C225" s="25" t="s">
        <v>360</v>
      </c>
      <c r="D225" s="65" t="s">
        <v>25</v>
      </c>
      <c r="E225" s="7">
        <f t="shared" ref="E225:O225" si="20">SUM(E25,E56,E87)</f>
        <v>150.36012661289999</v>
      </c>
      <c r="F225" s="7">
        <f t="shared" si="20"/>
        <v>148.92541606629999</v>
      </c>
      <c r="G225" s="7">
        <f t="shared" si="20"/>
        <v>130.67526172119997</v>
      </c>
      <c r="H225" s="7">
        <f t="shared" si="20"/>
        <v>17.058029723600001</v>
      </c>
      <c r="I225" s="7">
        <f t="shared" si="20"/>
        <v>17.058029723600001</v>
      </c>
      <c r="J225" s="7">
        <f t="shared" si="20"/>
        <v>18.465327413600001</v>
      </c>
      <c r="K225" s="7">
        <f t="shared" si="20"/>
        <v>0</v>
      </c>
      <c r="L225" s="7">
        <f t="shared" si="20"/>
        <v>21.532462413400005</v>
      </c>
      <c r="M225" s="7">
        <f t="shared" si="20"/>
        <v>20.421792343400003</v>
      </c>
      <c r="N225" s="7">
        <f t="shared" si="20"/>
        <v>88.167915550299995</v>
      </c>
      <c r="O225" s="7">
        <f t="shared" si="20"/>
        <v>0</v>
      </c>
      <c r="P225" s="7">
        <f t="shared" ref="P225:R225" si="21">SUM(P25,P56,P87)</f>
        <v>0</v>
      </c>
      <c r="Q225" s="7">
        <f t="shared" si="21"/>
        <v>0</v>
      </c>
      <c r="R225" s="7">
        <f t="shared" si="21"/>
        <v>0</v>
      </c>
      <c r="V225"/>
      <c r="AA225"/>
      <c r="AB225"/>
    </row>
    <row r="226" spans="2:28">
      <c r="B226" s="236"/>
      <c r="C226" s="16" t="s">
        <v>360</v>
      </c>
      <c r="D226" s="61" t="s">
        <v>26</v>
      </c>
      <c r="E226" s="7">
        <f t="shared" ref="E226:O226" si="22">SUM(E26,E57,E88)</f>
        <v>1118.2494761401003</v>
      </c>
      <c r="F226" s="7">
        <f t="shared" si="22"/>
        <v>1094.4130771562002</v>
      </c>
      <c r="G226" s="7">
        <f t="shared" si="22"/>
        <v>971.51100780520005</v>
      </c>
      <c r="H226" s="7">
        <f t="shared" si="22"/>
        <v>70.299295437000069</v>
      </c>
      <c r="I226" s="7">
        <f t="shared" si="22"/>
        <v>70.299295437000069</v>
      </c>
      <c r="J226" s="7">
        <f t="shared" si="22"/>
        <v>70.600680837000056</v>
      </c>
      <c r="K226" s="7">
        <f t="shared" si="22"/>
        <v>0</v>
      </c>
      <c r="L226" s="7">
        <f t="shared" si="22"/>
        <v>76.798546982900007</v>
      </c>
      <c r="M226" s="7">
        <f t="shared" si="22"/>
        <v>99.696763037100013</v>
      </c>
      <c r="N226" s="7">
        <f t="shared" si="22"/>
        <v>597.74781790280042</v>
      </c>
      <c r="O226" s="7">
        <f t="shared" si="22"/>
        <v>0</v>
      </c>
      <c r="P226" s="7">
        <f t="shared" ref="P226:R226" si="23">SUM(P26,P57,P88)</f>
        <v>0</v>
      </c>
      <c r="Q226" s="7">
        <f t="shared" si="23"/>
        <v>0</v>
      </c>
      <c r="R226" s="7">
        <f t="shared" si="23"/>
        <v>0</v>
      </c>
      <c r="V226"/>
      <c r="AA226"/>
      <c r="AB226"/>
    </row>
    <row r="227" spans="2:28" outlineLevel="1">
      <c r="B227" s="236"/>
      <c r="C227" s="25" t="s">
        <v>360</v>
      </c>
      <c r="D227" s="64" t="s">
        <v>28</v>
      </c>
      <c r="E227" s="7">
        <f t="shared" ref="E227:O227" si="24">SUM(E27,E58,E89)</f>
        <v>220.93297659070004</v>
      </c>
      <c r="F227" s="7">
        <f t="shared" si="24"/>
        <v>219.6282771283</v>
      </c>
      <c r="G227" s="7">
        <f t="shared" si="24"/>
        <v>200.3212204111</v>
      </c>
      <c r="H227" s="7">
        <f t="shared" si="24"/>
        <v>12.730301632699998</v>
      </c>
      <c r="I227" s="7">
        <f t="shared" si="24"/>
        <v>12.730301632699998</v>
      </c>
      <c r="J227" s="7">
        <f t="shared" si="24"/>
        <v>13.555352582699992</v>
      </c>
      <c r="K227" s="7">
        <f t="shared" si="24"/>
        <v>0</v>
      </c>
      <c r="L227" s="7">
        <f t="shared" si="24"/>
        <v>10.951183690200001</v>
      </c>
      <c r="M227" s="7">
        <f t="shared" si="24"/>
        <v>23.569191108400005</v>
      </c>
      <c r="N227" s="7">
        <f t="shared" si="24"/>
        <v>136.61876628929997</v>
      </c>
      <c r="O227" s="7">
        <f t="shared" si="24"/>
        <v>0</v>
      </c>
      <c r="P227" s="7">
        <f t="shared" ref="P227:R227" si="25">SUM(P27,P58,P89)</f>
        <v>0</v>
      </c>
      <c r="Q227" s="7">
        <f t="shared" si="25"/>
        <v>0</v>
      </c>
      <c r="R227" s="7">
        <f t="shared" si="25"/>
        <v>0</v>
      </c>
      <c r="V227"/>
      <c r="AA227"/>
      <c r="AB227"/>
    </row>
    <row r="228" spans="2:28" outlineLevel="1">
      <c r="B228" s="236"/>
      <c r="C228" s="25" t="s">
        <v>360</v>
      </c>
      <c r="D228" s="64" t="s">
        <v>27</v>
      </c>
      <c r="E228" s="7">
        <f t="shared" ref="E228:O228" si="26">SUM(E28,E59,E90)</f>
        <v>251.3270753548</v>
      </c>
      <c r="F228" s="7">
        <f t="shared" si="26"/>
        <v>249.89480491389997</v>
      </c>
      <c r="G228" s="7">
        <f t="shared" si="26"/>
        <v>238.17418491450002</v>
      </c>
      <c r="H228" s="7">
        <f t="shared" si="26"/>
        <v>10.236879351999999</v>
      </c>
      <c r="I228" s="7">
        <f t="shared" si="26"/>
        <v>10.236879351999999</v>
      </c>
      <c r="J228" s="7">
        <f t="shared" si="26"/>
        <v>10.193625701999999</v>
      </c>
      <c r="K228" s="7">
        <f t="shared" si="26"/>
        <v>0</v>
      </c>
      <c r="L228" s="7">
        <f t="shared" si="26"/>
        <v>3.0324200002999997</v>
      </c>
      <c r="M228" s="7">
        <f t="shared" si="26"/>
        <v>3.0059952188999999</v>
      </c>
      <c r="N228" s="7">
        <f t="shared" si="26"/>
        <v>78.10198496480001</v>
      </c>
      <c r="O228" s="7">
        <f t="shared" si="26"/>
        <v>0</v>
      </c>
      <c r="P228" s="7">
        <f t="shared" ref="P228:R228" si="27">SUM(P28,P59,P90)</f>
        <v>0</v>
      </c>
      <c r="Q228" s="7">
        <f t="shared" si="27"/>
        <v>0</v>
      </c>
      <c r="R228" s="7">
        <f t="shared" si="27"/>
        <v>0</v>
      </c>
      <c r="V228"/>
      <c r="W228"/>
      <c r="X228"/>
      <c r="Y228"/>
      <c r="AA228"/>
      <c r="AB228"/>
    </row>
    <row r="229" spans="2:28" outlineLevel="1">
      <c r="B229" s="236"/>
      <c r="C229" s="25" t="s">
        <v>360</v>
      </c>
      <c r="D229" s="64" t="s">
        <v>30</v>
      </c>
      <c r="E229" s="7">
        <f t="shared" ref="E229:O229" si="28">SUM(E29,E60,E91)</f>
        <v>197.11747710010002</v>
      </c>
      <c r="F229" s="7">
        <f t="shared" si="28"/>
        <v>189.45060737680001</v>
      </c>
      <c r="G229" s="7">
        <f t="shared" si="28"/>
        <v>169.01840656769997</v>
      </c>
      <c r="H229" s="7">
        <f t="shared" si="28"/>
        <v>6.1478221118999992</v>
      </c>
      <c r="I229" s="7">
        <f t="shared" si="28"/>
        <v>6.1478221118999992</v>
      </c>
      <c r="J229" s="7">
        <f t="shared" si="28"/>
        <v>5.1631947918999996</v>
      </c>
      <c r="K229" s="7">
        <f t="shared" si="28"/>
        <v>0</v>
      </c>
      <c r="L229" s="7">
        <f t="shared" si="28"/>
        <v>8.3170896520999982</v>
      </c>
      <c r="M229" s="7">
        <f t="shared" si="28"/>
        <v>7.7425608620999986</v>
      </c>
      <c r="N229" s="7">
        <f t="shared" si="28"/>
        <v>92.867060671399997</v>
      </c>
      <c r="O229" s="7">
        <f t="shared" si="28"/>
        <v>0</v>
      </c>
      <c r="P229" s="7">
        <f t="shared" ref="P229:R229" si="29">SUM(P29,P60,P91)</f>
        <v>0</v>
      </c>
      <c r="Q229" s="7">
        <f t="shared" si="29"/>
        <v>0</v>
      </c>
      <c r="R229" s="7">
        <f t="shared" si="29"/>
        <v>0</v>
      </c>
      <c r="V229"/>
      <c r="W229"/>
      <c r="X229"/>
      <c r="Y229"/>
      <c r="Z229"/>
      <c r="AA229"/>
      <c r="AB229"/>
    </row>
    <row r="230" spans="2:28" outlineLevel="1">
      <c r="B230" s="236"/>
      <c r="C230" s="25" t="s">
        <v>360</v>
      </c>
      <c r="D230" s="64" t="s">
        <v>29</v>
      </c>
      <c r="E230" s="7">
        <f t="shared" ref="E230:O230" si="30">SUM(E30,E61,E92)</f>
        <v>162.46946438329999</v>
      </c>
      <c r="F230" s="7">
        <f t="shared" si="30"/>
        <v>160.66809617110002</v>
      </c>
      <c r="G230" s="7">
        <f t="shared" si="30"/>
        <v>111.59531626770001</v>
      </c>
      <c r="H230" s="7">
        <f t="shared" si="30"/>
        <v>3.4731521928999998</v>
      </c>
      <c r="I230" s="7">
        <f t="shared" si="30"/>
        <v>3.4731521928999998</v>
      </c>
      <c r="J230" s="7">
        <f t="shared" si="30"/>
        <v>4.4467914328999996</v>
      </c>
      <c r="K230" s="7">
        <f t="shared" si="30"/>
        <v>0</v>
      </c>
      <c r="L230" s="7">
        <f t="shared" si="30"/>
        <v>2.8833213601000001</v>
      </c>
      <c r="M230" s="7">
        <f t="shared" si="30"/>
        <v>7.1034291020000024</v>
      </c>
      <c r="N230" s="7">
        <f t="shared" si="30"/>
        <v>38.933150114099995</v>
      </c>
      <c r="O230" s="7">
        <f t="shared" si="30"/>
        <v>0</v>
      </c>
      <c r="P230" s="7">
        <f t="shared" ref="P230:R230" si="31">SUM(P30,P61,P92)</f>
        <v>0</v>
      </c>
      <c r="Q230" s="7">
        <f t="shared" si="31"/>
        <v>0</v>
      </c>
      <c r="R230" s="7">
        <f t="shared" si="31"/>
        <v>0</v>
      </c>
      <c r="V230"/>
      <c r="W230"/>
      <c r="X230"/>
      <c r="Y230"/>
      <c r="Z230"/>
      <c r="AA230"/>
      <c r="AB230"/>
    </row>
    <row r="231" spans="2:28" outlineLevel="1">
      <c r="B231" s="236"/>
      <c r="C231" s="25" t="s">
        <v>360</v>
      </c>
      <c r="D231" s="64" t="s">
        <v>31</v>
      </c>
      <c r="E231" s="7">
        <f t="shared" ref="E231:O231" si="32">SUM(E31,E62,E93)</f>
        <v>86.554264191899989</v>
      </c>
      <c r="F231" s="7">
        <f t="shared" si="32"/>
        <v>84.435742921000013</v>
      </c>
      <c r="G231" s="7">
        <f t="shared" si="32"/>
        <v>73.250779047999998</v>
      </c>
      <c r="H231" s="7">
        <f t="shared" si="32"/>
        <v>7.4386091342</v>
      </c>
      <c r="I231" s="7">
        <f t="shared" si="32"/>
        <v>7.4386091342</v>
      </c>
      <c r="J231" s="7">
        <f t="shared" si="32"/>
        <v>7.3207552241999991</v>
      </c>
      <c r="K231" s="7">
        <f t="shared" si="32"/>
        <v>0</v>
      </c>
      <c r="L231" s="7">
        <f t="shared" si="32"/>
        <v>4.5784659646000003</v>
      </c>
      <c r="M231" s="7">
        <f t="shared" si="32"/>
        <v>6.1284756387999995</v>
      </c>
      <c r="N231" s="7">
        <f t="shared" si="32"/>
        <v>29.210490185000001</v>
      </c>
      <c r="O231" s="7">
        <f t="shared" si="32"/>
        <v>0</v>
      </c>
      <c r="P231" s="7">
        <f t="shared" ref="P231:R231" si="33">SUM(P31,P62,P93)</f>
        <v>0</v>
      </c>
      <c r="Q231" s="7">
        <f t="shared" si="33"/>
        <v>0</v>
      </c>
      <c r="R231" s="7">
        <f t="shared" si="33"/>
        <v>0</v>
      </c>
      <c r="V231"/>
      <c r="W231"/>
      <c r="X231"/>
      <c r="Y231"/>
      <c r="Z231"/>
      <c r="AA231"/>
      <c r="AB231"/>
    </row>
    <row r="232" spans="2:28" outlineLevel="1">
      <c r="B232" s="236"/>
      <c r="C232" s="25" t="s">
        <v>360</v>
      </c>
      <c r="D232" s="64" t="s">
        <v>181</v>
      </c>
      <c r="E232" s="7">
        <f t="shared" ref="E232:O232" si="34">SUM(E32,E63,E94)</f>
        <v>104.42921488439998</v>
      </c>
      <c r="F232" s="7">
        <f t="shared" si="34"/>
        <v>94.687376198399974</v>
      </c>
      <c r="G232" s="7">
        <f t="shared" si="34"/>
        <v>84.378159279499982</v>
      </c>
      <c r="H232" s="7">
        <f t="shared" si="34"/>
        <v>20.516845796399998</v>
      </c>
      <c r="I232" s="7">
        <f t="shared" si="34"/>
        <v>20.516845796399998</v>
      </c>
      <c r="J232" s="7">
        <f t="shared" si="34"/>
        <v>20.366146576399998</v>
      </c>
      <c r="K232" s="7">
        <f t="shared" si="34"/>
        <v>0</v>
      </c>
      <c r="L232" s="7">
        <f t="shared" si="34"/>
        <v>30.686534643700003</v>
      </c>
      <c r="M232" s="7">
        <f t="shared" si="34"/>
        <v>33.836922084200012</v>
      </c>
      <c r="N232" s="7">
        <f t="shared" si="34"/>
        <v>129.98123338210002</v>
      </c>
      <c r="O232" s="7">
        <f t="shared" si="34"/>
        <v>0</v>
      </c>
      <c r="P232" s="7">
        <f t="shared" ref="P232:R232" si="35">SUM(P32,P63,P94)</f>
        <v>0</v>
      </c>
      <c r="Q232" s="7">
        <f t="shared" si="35"/>
        <v>0</v>
      </c>
      <c r="R232" s="7">
        <f t="shared" si="35"/>
        <v>0</v>
      </c>
      <c r="V232"/>
      <c r="W232"/>
      <c r="X232"/>
      <c r="Y232"/>
      <c r="Z232"/>
      <c r="AA232"/>
      <c r="AB232"/>
    </row>
    <row r="233" spans="2:28" outlineLevel="1">
      <c r="B233" s="236"/>
      <c r="C233" s="25" t="s">
        <v>360</v>
      </c>
      <c r="D233" s="19" t="s">
        <v>32</v>
      </c>
      <c r="E233" s="7">
        <f t="shared" ref="E233:O233" si="36">SUM(E33,E64,E95)</f>
        <v>95.419003634899994</v>
      </c>
      <c r="F233" s="7">
        <f t="shared" si="36"/>
        <v>95.648172446699988</v>
      </c>
      <c r="G233" s="7">
        <f t="shared" si="36"/>
        <v>94.772941316699985</v>
      </c>
      <c r="H233" s="7">
        <f t="shared" si="36"/>
        <v>9.7556852169000017</v>
      </c>
      <c r="I233" s="7">
        <f t="shared" si="36"/>
        <v>9.7556852169000017</v>
      </c>
      <c r="J233" s="7">
        <f t="shared" si="36"/>
        <v>9.5548145269000013</v>
      </c>
      <c r="K233" s="7">
        <f t="shared" si="36"/>
        <v>0</v>
      </c>
      <c r="L233" s="7">
        <f t="shared" si="36"/>
        <v>16.349531671899999</v>
      </c>
      <c r="M233" s="7">
        <f t="shared" si="36"/>
        <v>18.310189022700001</v>
      </c>
      <c r="N233" s="7">
        <f t="shared" si="36"/>
        <v>92.035132296100016</v>
      </c>
      <c r="O233" s="7">
        <f t="shared" si="36"/>
        <v>0</v>
      </c>
      <c r="P233" s="7">
        <f t="shared" ref="P233:R233" si="37">SUM(P33,P64,P95)</f>
        <v>0</v>
      </c>
      <c r="Q233" s="7">
        <f t="shared" si="37"/>
        <v>0</v>
      </c>
      <c r="R233" s="7">
        <f t="shared" si="37"/>
        <v>0</v>
      </c>
      <c r="V233"/>
      <c r="W233"/>
      <c r="X233"/>
      <c r="Y233"/>
      <c r="Z233"/>
      <c r="AA233"/>
      <c r="AB233"/>
    </row>
    <row r="234" spans="2:28">
      <c r="B234" s="236"/>
      <c r="C234" s="16" t="s">
        <v>360</v>
      </c>
      <c r="D234" s="61" t="s">
        <v>33</v>
      </c>
      <c r="E234" s="7">
        <f t="shared" ref="E234:O234" si="38">SUM(E35,E66,E97)</f>
        <v>121.46161960450002</v>
      </c>
      <c r="F234" s="7">
        <f t="shared" si="38"/>
        <v>110.5452608667</v>
      </c>
      <c r="G234" s="7">
        <f t="shared" si="38"/>
        <v>109.09751154129998</v>
      </c>
      <c r="H234" s="7">
        <f t="shared" si="38"/>
        <v>7.9939731469000019</v>
      </c>
      <c r="I234" s="7">
        <f t="shared" si="38"/>
        <v>7.9939731469000019</v>
      </c>
      <c r="J234" s="7">
        <f t="shared" si="38"/>
        <v>8.8064041869000018</v>
      </c>
      <c r="K234" s="7">
        <f t="shared" si="38"/>
        <v>0</v>
      </c>
      <c r="L234" s="7">
        <f t="shared" si="38"/>
        <v>29.362996613499998</v>
      </c>
      <c r="M234" s="7">
        <f t="shared" si="38"/>
        <v>34.842709552000002</v>
      </c>
      <c r="N234" s="7">
        <f t="shared" si="38"/>
        <v>134.90265705749999</v>
      </c>
      <c r="O234" s="7">
        <f t="shared" si="38"/>
        <v>0</v>
      </c>
      <c r="P234" s="7">
        <f t="shared" ref="P234:R234" si="39">SUM(P35,P66,P97)</f>
        <v>0</v>
      </c>
      <c r="Q234" s="7">
        <f t="shared" si="39"/>
        <v>0</v>
      </c>
      <c r="R234" s="7">
        <f t="shared" si="39"/>
        <v>0</v>
      </c>
      <c r="V234"/>
      <c r="W234"/>
      <c r="X234"/>
      <c r="Y234"/>
      <c r="Z234"/>
      <c r="AA234"/>
      <c r="AB234"/>
    </row>
    <row r="235" spans="2:28">
      <c r="B235" s="236"/>
      <c r="C235" s="16" t="s">
        <v>360</v>
      </c>
      <c r="D235" s="61" t="s">
        <v>34</v>
      </c>
      <c r="E235" s="7">
        <f t="shared" ref="E235:O235" si="40">SUM(E36,E67,E98)</f>
        <v>317.89341103960004</v>
      </c>
      <c r="F235" s="7">
        <f t="shared" si="40"/>
        <v>320.10844902599996</v>
      </c>
      <c r="G235" s="7">
        <f t="shared" si="40"/>
        <v>155.95028460899999</v>
      </c>
      <c r="H235" s="7">
        <f t="shared" si="40"/>
        <v>22.142966198400003</v>
      </c>
      <c r="I235" s="7">
        <f t="shared" si="40"/>
        <v>22.142966198400003</v>
      </c>
      <c r="J235" s="7">
        <f t="shared" si="40"/>
        <v>23.640055478999997</v>
      </c>
      <c r="K235" s="7">
        <f t="shared" si="40"/>
        <v>0</v>
      </c>
      <c r="L235" s="7">
        <f t="shared" si="40"/>
        <v>28.953223975900009</v>
      </c>
      <c r="M235" s="7">
        <f t="shared" si="40"/>
        <v>56.173244058999998</v>
      </c>
      <c r="N235" s="7">
        <f t="shared" si="40"/>
        <v>158.16522596899998</v>
      </c>
      <c r="O235" s="7">
        <f t="shared" si="40"/>
        <v>0</v>
      </c>
      <c r="P235" s="7">
        <f t="shared" ref="P235:R235" si="41">SUM(P36,P67,P98)</f>
        <v>0</v>
      </c>
      <c r="Q235" s="7">
        <f t="shared" si="41"/>
        <v>0</v>
      </c>
      <c r="R235" s="7">
        <f t="shared" si="41"/>
        <v>0</v>
      </c>
      <c r="V235"/>
      <c r="W235"/>
      <c r="X235"/>
      <c r="Y235"/>
      <c r="Z235"/>
      <c r="AA235"/>
      <c r="AB235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</sheetData>
  <autoFilter ref="A12:AN174" xr:uid="{7B8A8694-8D56-4302-97CB-F90D637D864F}"/>
  <phoneticPr fontId="49" type="noConversion"/>
  <pageMargins left="0.7" right="0.7" top="0.75" bottom="0.75" header="0.3" footer="0.3"/>
  <pageSetup orientation="portrait" r:id="rId1"/>
  <customProperties>
    <customPr name="COR_MapSheets" r:id="rId2"/>
    <customPr name="Serialized_Sheet_Mapping" r:id="rId3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142F8-78E8-4274-BBDB-499F2B5E2225}">
  <sheetPr>
    <tabColor rgb="FF002060"/>
  </sheetPr>
  <dimension ref="A1:BZ145"/>
  <sheetViews>
    <sheetView showGridLines="0" zoomScale="90" zoomScaleNormal="90" workbookViewId="0">
      <selection activeCell="A13" sqref="A13"/>
    </sheetView>
  </sheetViews>
  <sheetFormatPr defaultColWidth="8.88671875" defaultRowHeight="14.4" outlineLevelRow="1"/>
  <cols>
    <col min="1" max="1" width="8.88671875" style="237"/>
    <col min="2" max="2" width="11.44140625" style="235" customWidth="1"/>
    <col min="3" max="3" width="12.44140625" style="173" customWidth="1"/>
    <col min="4" max="4" width="20.33203125" style="173" bestFit="1" customWidth="1"/>
    <col min="5" max="5" width="10" style="1" customWidth="1"/>
    <col min="6" max="6" width="8" style="1" customWidth="1"/>
    <col min="7" max="7" width="7.33203125" style="1" customWidth="1"/>
    <col min="8" max="8" width="0.6640625" style="2" customWidth="1"/>
    <col min="9" max="11" width="7.33203125" customWidth="1"/>
    <col min="12" max="12" width="0.88671875" style="109" customWidth="1"/>
    <col min="13" max="15" width="7.33203125" style="1" customWidth="1"/>
    <col min="16" max="16" width="0.88671875" style="2" customWidth="1"/>
    <col min="17" max="19" width="7.33203125" customWidth="1"/>
    <col min="20" max="20" width="8.88671875" style="109"/>
    <col min="21" max="21" width="12.44140625" style="173" customWidth="1"/>
    <col min="22" max="22" width="18.6640625" style="173" customWidth="1"/>
    <col min="23" max="23" width="20.33203125" style="173" bestFit="1" customWidth="1"/>
    <col min="24" max="36" width="6.109375" style="107" customWidth="1"/>
    <col min="37" max="37" width="1.44140625" style="109" customWidth="1"/>
    <col min="38" max="50" width="6.109375" style="107" customWidth="1"/>
    <col min="51" max="51" width="1.44140625" style="109" customWidth="1"/>
    <col min="52" max="64" width="6.109375" style="107" customWidth="1"/>
    <col min="65" max="65" width="1.44140625" style="109" customWidth="1"/>
    <col min="66" max="78" width="6.109375" style="107" customWidth="1"/>
    <col min="79" max="79" width="2.33203125" style="108" customWidth="1"/>
    <col min="80" max="16384" width="8.88671875" style="108"/>
  </cols>
  <sheetData>
    <row r="1" spans="1:78">
      <c r="W1" s="395" t="s">
        <v>366</v>
      </c>
      <c r="X1" s="396" t="str">
        <f>CONCATENATE("Budget",INPUT!B2,INPUT!B1)</f>
        <v>Budget4Q25</v>
      </c>
      <c r="Y1" s="112"/>
    </row>
    <row r="2" spans="1:78">
      <c r="W2" s="395" t="s">
        <v>642</v>
      </c>
      <c r="X2" s="396" t="s">
        <v>641</v>
      </c>
      <c r="Y2" s="112"/>
    </row>
    <row r="3" spans="1:78">
      <c r="W3" s="173" t="s">
        <v>368</v>
      </c>
      <c r="X3" s="112" t="str">
        <f>CONCATENATE("WK1 ",INPUT!$B$2)</f>
        <v>WK1 4Q</v>
      </c>
      <c r="Y3" s="112" t="str">
        <f>CONCATENATE("WK2 ",INPUT!$B$2)</f>
        <v>WK2 4Q</v>
      </c>
      <c r="Z3" s="112" t="str">
        <f>CONCATENATE("WK3 ",INPUT!$B$2)</f>
        <v>WK3 4Q</v>
      </c>
      <c r="AA3" s="112" t="str">
        <f>CONCATENATE("WK4 ",INPUT!$B$2)</f>
        <v>WK4 4Q</v>
      </c>
      <c r="AB3" s="112" t="str">
        <f>CONCATENATE("WK5 ",INPUT!$B$2)</f>
        <v>WK5 4Q</v>
      </c>
      <c r="AC3" s="112" t="str">
        <f>CONCATENATE("WK6 ",INPUT!$B$2)</f>
        <v>WK6 4Q</v>
      </c>
      <c r="AD3" s="112" t="str">
        <f>CONCATENATE("WK7 ",INPUT!$B$2)</f>
        <v>WK7 4Q</v>
      </c>
      <c r="AE3" s="112" t="str">
        <f>CONCATENATE("WK8 ",INPUT!$B$2)</f>
        <v>WK8 4Q</v>
      </c>
      <c r="AF3" s="112" t="str">
        <f>CONCATENATE("WK9 ",INPUT!$B$2)</f>
        <v>WK9 4Q</v>
      </c>
      <c r="AG3" s="112" t="str">
        <f>CONCATENATE("WK10 ",INPUT!$B$2)</f>
        <v>WK10 4Q</v>
      </c>
      <c r="AH3" s="112" t="str">
        <f>CONCATENATE("WK11 ",INPUT!$B$2)</f>
        <v>WK11 4Q</v>
      </c>
      <c r="AI3" s="112" t="str">
        <f>CONCATENATE("WK12 ",INPUT!$B$2)</f>
        <v>WK12 4Q</v>
      </c>
      <c r="AJ3" s="112" t="str">
        <f>CONCATENATE("WK13 ",INPUT!$B$2)</f>
        <v>WK13 4Q</v>
      </c>
    </row>
    <row r="4" spans="1:78">
      <c r="C4" s="146"/>
      <c r="D4" s="146"/>
      <c r="E4" s="91">
        <f>+D4+1</f>
        <v>1</v>
      </c>
      <c r="F4" s="91">
        <f t="shared" ref="F4:M4" si="0">+E4+1</f>
        <v>2</v>
      </c>
      <c r="G4" s="91"/>
      <c r="H4" s="91">
        <f>+F4+1</f>
        <v>3</v>
      </c>
      <c r="I4" s="91">
        <f t="shared" si="0"/>
        <v>4</v>
      </c>
      <c r="J4" s="91">
        <f t="shared" si="0"/>
        <v>5</v>
      </c>
      <c r="K4" s="91"/>
      <c r="L4" s="198">
        <f>+J4+1</f>
        <v>6</v>
      </c>
      <c r="M4" s="91">
        <f t="shared" si="0"/>
        <v>7</v>
      </c>
      <c r="N4" s="91">
        <f>+M4+1</f>
        <v>8</v>
      </c>
      <c r="O4" s="91"/>
      <c r="P4" s="91">
        <f>+N4+1</f>
        <v>9</v>
      </c>
      <c r="Q4" s="91">
        <f>+P4+1</f>
        <v>10</v>
      </c>
      <c r="R4" s="91">
        <f>+Q4+1</f>
        <v>11</v>
      </c>
      <c r="S4" s="91"/>
      <c r="V4" s="9" t="s">
        <v>1</v>
      </c>
      <c r="AI4" s="107" t="s">
        <v>369</v>
      </c>
    </row>
    <row r="5" spans="1:78">
      <c r="C5" s="146"/>
      <c r="D5" s="146"/>
      <c r="E5" s="91"/>
      <c r="F5" s="91"/>
      <c r="G5" s="91"/>
      <c r="I5" s="2"/>
      <c r="J5" s="2"/>
      <c r="K5" s="2"/>
      <c r="M5" s="91"/>
      <c r="N5" s="91"/>
      <c r="O5" s="91"/>
      <c r="Q5" s="2"/>
      <c r="R5" s="2"/>
      <c r="S5" s="2"/>
      <c r="U5" s="173" t="s">
        <v>135</v>
      </c>
      <c r="V5" s="10" t="s">
        <v>127</v>
      </c>
    </row>
    <row r="6" spans="1:78">
      <c r="C6" s="146"/>
      <c r="D6" s="146"/>
      <c r="E6" s="555" t="s">
        <v>205</v>
      </c>
      <c r="F6" s="555"/>
      <c r="G6" s="555"/>
      <c r="H6" s="555"/>
      <c r="I6" s="555"/>
      <c r="J6" s="555"/>
      <c r="K6" s="197"/>
      <c r="M6" s="555" t="s">
        <v>206</v>
      </c>
      <c r="N6" s="555"/>
      <c r="O6" s="555"/>
      <c r="P6" s="555"/>
      <c r="Q6" s="555"/>
      <c r="R6" s="555"/>
      <c r="S6" s="197"/>
      <c r="U6" s="173" t="s">
        <v>136</v>
      </c>
      <c r="V6" s="10" t="s">
        <v>4</v>
      </c>
    </row>
    <row r="7" spans="1:78">
      <c r="C7" s="146"/>
      <c r="D7" s="146"/>
      <c r="E7" s="91"/>
      <c r="F7" s="91"/>
      <c r="G7" s="91"/>
      <c r="I7" s="2"/>
      <c r="J7" s="2"/>
      <c r="K7" s="2"/>
      <c r="M7" s="91"/>
      <c r="N7" s="91"/>
      <c r="O7" s="91"/>
      <c r="Q7" s="2"/>
      <c r="R7" s="2"/>
      <c r="S7" s="2"/>
      <c r="U7" s="173" t="s">
        <v>6</v>
      </c>
      <c r="V7" s="10" t="s">
        <v>7</v>
      </c>
    </row>
    <row r="8" spans="1:78">
      <c r="C8" s="146"/>
      <c r="D8" s="146"/>
      <c r="E8" s="553" t="s">
        <v>182</v>
      </c>
      <c r="F8" s="553"/>
      <c r="G8" s="91"/>
      <c r="I8" s="554" t="s">
        <v>142</v>
      </c>
      <c r="J8" s="554"/>
      <c r="K8" s="172"/>
      <c r="M8" s="553" t="s">
        <v>182</v>
      </c>
      <c r="N8" s="553"/>
      <c r="O8" s="91"/>
      <c r="Q8" s="554" t="s">
        <v>142</v>
      </c>
      <c r="R8" s="554"/>
      <c r="S8" s="172"/>
      <c r="T8" s="109">
        <v>1</v>
      </c>
      <c r="X8" s="107" t="s">
        <v>148</v>
      </c>
      <c r="Y8" s="107" t="s">
        <v>147</v>
      </c>
      <c r="Z8" s="107" t="s">
        <v>149</v>
      </c>
      <c r="AA8" s="107" t="s">
        <v>150</v>
      </c>
      <c r="AB8" s="107" t="s">
        <v>151</v>
      </c>
      <c r="AC8" s="107" t="s">
        <v>152</v>
      </c>
      <c r="AD8" s="107" t="s">
        <v>153</v>
      </c>
      <c r="AE8" s="107" t="s">
        <v>154</v>
      </c>
      <c r="AF8" s="107" t="s">
        <v>155</v>
      </c>
      <c r="AG8" s="107" t="s">
        <v>156</v>
      </c>
      <c r="AH8" s="107" t="s">
        <v>157</v>
      </c>
      <c r="AI8" s="107" t="s">
        <v>158</v>
      </c>
      <c r="AJ8" s="107" t="s">
        <v>159</v>
      </c>
      <c r="AL8" s="107" t="s">
        <v>148</v>
      </c>
      <c r="AM8" s="107" t="s">
        <v>147</v>
      </c>
      <c r="AN8" s="107" t="s">
        <v>149</v>
      </c>
      <c r="AO8" s="107" t="s">
        <v>150</v>
      </c>
      <c r="AP8" s="107" t="s">
        <v>151</v>
      </c>
      <c r="AQ8" s="107" t="s">
        <v>152</v>
      </c>
      <c r="AR8" s="107" t="s">
        <v>153</v>
      </c>
      <c r="AS8" s="107" t="s">
        <v>154</v>
      </c>
      <c r="AT8" s="107" t="s">
        <v>155</v>
      </c>
      <c r="AU8" s="107" t="s">
        <v>156</v>
      </c>
      <c r="AV8" s="107" t="s">
        <v>157</v>
      </c>
      <c r="AW8" s="107" t="s">
        <v>158</v>
      </c>
      <c r="AX8" s="107" t="s">
        <v>159</v>
      </c>
      <c r="AZ8" s="107" t="s">
        <v>148</v>
      </c>
      <c r="BA8" s="107" t="s">
        <v>147</v>
      </c>
      <c r="BB8" s="107" t="s">
        <v>149</v>
      </c>
      <c r="BC8" s="107" t="s">
        <v>150</v>
      </c>
      <c r="BD8" s="107" t="s">
        <v>151</v>
      </c>
      <c r="BE8" s="107" t="s">
        <v>152</v>
      </c>
      <c r="BF8" s="107" t="s">
        <v>153</v>
      </c>
      <c r="BG8" s="107" t="s">
        <v>154</v>
      </c>
      <c r="BH8" s="107" t="s">
        <v>155</v>
      </c>
      <c r="BI8" s="107" t="s">
        <v>156</v>
      </c>
      <c r="BJ8" s="107" t="s">
        <v>157</v>
      </c>
      <c r="BK8" s="107" t="s">
        <v>158</v>
      </c>
      <c r="BL8" s="107" t="s">
        <v>159</v>
      </c>
      <c r="BN8" s="107" t="s">
        <v>148</v>
      </c>
      <c r="BO8" s="107" t="s">
        <v>147</v>
      </c>
      <c r="BP8" s="107" t="s">
        <v>149</v>
      </c>
      <c r="BQ8" s="107" t="s">
        <v>150</v>
      </c>
      <c r="BR8" s="107" t="s">
        <v>151</v>
      </c>
      <c r="BS8" s="107" t="s">
        <v>152</v>
      </c>
      <c r="BT8" s="107" t="s">
        <v>153</v>
      </c>
      <c r="BU8" s="107" t="s">
        <v>154</v>
      </c>
      <c r="BV8" s="107" t="s">
        <v>155</v>
      </c>
      <c r="BW8" s="107" t="s">
        <v>156</v>
      </c>
      <c r="BX8" s="107" t="s">
        <v>157</v>
      </c>
      <c r="BY8" s="107" t="s">
        <v>158</v>
      </c>
      <c r="BZ8" s="107" t="s">
        <v>159</v>
      </c>
    </row>
    <row r="9" spans="1:78" s="188" customFormat="1" ht="30.6">
      <c r="A9" s="237"/>
      <c r="B9" s="235"/>
      <c r="C9" s="203"/>
      <c r="D9" s="203"/>
      <c r="E9" s="200" t="s">
        <v>160</v>
      </c>
      <c r="F9" s="200" t="s">
        <v>183</v>
      </c>
      <c r="G9" s="200"/>
      <c r="H9" s="2"/>
      <c r="I9" s="200" t="s">
        <v>160</v>
      </c>
      <c r="J9" s="200" t="s">
        <v>183</v>
      </c>
      <c r="K9" s="200"/>
      <c r="L9" s="199"/>
      <c r="M9" s="200" t="s">
        <v>160</v>
      </c>
      <c r="N9" s="200" t="s">
        <v>183</v>
      </c>
      <c r="O9" s="200"/>
      <c r="P9" s="2"/>
      <c r="Q9" s="200" t="s">
        <v>160</v>
      </c>
      <c r="R9" s="200" t="s">
        <v>183</v>
      </c>
      <c r="S9" s="200"/>
      <c r="T9" s="199">
        <v>2</v>
      </c>
      <c r="U9" s="189"/>
      <c r="V9" s="189"/>
      <c r="W9" s="189"/>
      <c r="X9" s="184" t="s">
        <v>128</v>
      </c>
      <c r="Y9" s="184" t="s">
        <v>128</v>
      </c>
      <c r="Z9" s="184" t="s">
        <v>128</v>
      </c>
      <c r="AA9" s="184" t="s">
        <v>128</v>
      </c>
      <c r="AB9" s="184" t="s">
        <v>128</v>
      </c>
      <c r="AC9" s="184" t="s">
        <v>128</v>
      </c>
      <c r="AD9" s="184" t="s">
        <v>128</v>
      </c>
      <c r="AE9" s="184" t="s">
        <v>128</v>
      </c>
      <c r="AF9" s="184" t="s">
        <v>128</v>
      </c>
      <c r="AG9" s="184" t="s">
        <v>128</v>
      </c>
      <c r="AH9" s="184" t="s">
        <v>128</v>
      </c>
      <c r="AI9" s="184" t="s">
        <v>128</v>
      </c>
      <c r="AJ9" s="185" t="s">
        <v>128</v>
      </c>
      <c r="AK9" s="186"/>
      <c r="AL9" s="187" t="s">
        <v>128</v>
      </c>
      <c r="AM9" s="184" t="s">
        <v>128</v>
      </c>
      <c r="AN9" s="184" t="s">
        <v>128</v>
      </c>
      <c r="AO9" s="184" t="s">
        <v>128</v>
      </c>
      <c r="AP9" s="184" t="s">
        <v>128</v>
      </c>
      <c r="AQ9" s="184" t="s">
        <v>128</v>
      </c>
      <c r="AR9" s="184" t="s">
        <v>128</v>
      </c>
      <c r="AS9" s="184" t="s">
        <v>128</v>
      </c>
      <c r="AT9" s="184" t="s">
        <v>128</v>
      </c>
      <c r="AU9" s="184" t="s">
        <v>128</v>
      </c>
      <c r="AV9" s="184" t="s">
        <v>128</v>
      </c>
      <c r="AW9" s="184" t="s">
        <v>128</v>
      </c>
      <c r="AX9" s="184" t="s">
        <v>128</v>
      </c>
      <c r="AY9" s="184"/>
      <c r="AZ9" s="184" t="s">
        <v>203</v>
      </c>
      <c r="BA9" s="184" t="s">
        <v>203</v>
      </c>
      <c r="BB9" s="184" t="s">
        <v>203</v>
      </c>
      <c r="BC9" s="184" t="s">
        <v>203</v>
      </c>
      <c r="BD9" s="184" t="s">
        <v>203</v>
      </c>
      <c r="BE9" s="184" t="s">
        <v>203</v>
      </c>
      <c r="BF9" s="184" t="s">
        <v>203</v>
      </c>
      <c r="BG9" s="184" t="s">
        <v>203</v>
      </c>
      <c r="BH9" s="184" t="s">
        <v>203</v>
      </c>
      <c r="BI9" s="184" t="s">
        <v>203</v>
      </c>
      <c r="BJ9" s="184" t="s">
        <v>203</v>
      </c>
      <c r="BK9" s="184" t="s">
        <v>203</v>
      </c>
      <c r="BL9" s="184" t="s">
        <v>203</v>
      </c>
      <c r="BM9" s="184"/>
      <c r="BN9" s="184" t="s">
        <v>203</v>
      </c>
      <c r="BO9" s="184" t="s">
        <v>203</v>
      </c>
      <c r="BP9" s="184" t="s">
        <v>203</v>
      </c>
      <c r="BQ9" s="184" t="s">
        <v>203</v>
      </c>
      <c r="BR9" s="184" t="s">
        <v>203</v>
      </c>
      <c r="BS9" s="184" t="s">
        <v>203</v>
      </c>
      <c r="BT9" s="184" t="s">
        <v>203</v>
      </c>
      <c r="BU9" s="184" t="s">
        <v>203</v>
      </c>
      <c r="BV9" s="184" t="s">
        <v>203</v>
      </c>
      <c r="BW9" s="184" t="s">
        <v>203</v>
      </c>
      <c r="BX9" s="184" t="s">
        <v>203</v>
      </c>
      <c r="BY9" s="184" t="s">
        <v>203</v>
      </c>
      <c r="BZ9" s="184" t="s">
        <v>203</v>
      </c>
    </row>
    <row r="10" spans="1:78" customFormat="1" ht="23.4" customHeight="1">
      <c r="A10" s="237"/>
      <c r="B10" s="235"/>
      <c r="C10" s="204"/>
      <c r="D10" s="204"/>
      <c r="E10" s="104"/>
      <c r="F10" s="104"/>
      <c r="G10" s="104"/>
      <c r="H10" s="2"/>
      <c r="I10" s="104"/>
      <c r="J10" s="104"/>
      <c r="K10" s="104"/>
      <c r="L10" s="2"/>
      <c r="M10" s="104"/>
      <c r="N10" s="104"/>
      <c r="O10" s="104"/>
      <c r="P10" s="2"/>
      <c r="Q10" s="104"/>
      <c r="R10" s="104"/>
      <c r="S10" s="104"/>
      <c r="T10" s="109">
        <v>3</v>
      </c>
      <c r="U10" s="12"/>
      <c r="V10" s="12"/>
      <c r="W10" s="12"/>
      <c r="X10" s="184" t="str">
        <f t="shared" ref="X10:AJ10" si="1">$X$1</f>
        <v>Budget4Q25</v>
      </c>
      <c r="Y10" s="184" t="str">
        <f t="shared" si="1"/>
        <v>Budget4Q25</v>
      </c>
      <c r="Z10" s="184" t="str">
        <f t="shared" si="1"/>
        <v>Budget4Q25</v>
      </c>
      <c r="AA10" s="184" t="str">
        <f t="shared" si="1"/>
        <v>Budget4Q25</v>
      </c>
      <c r="AB10" s="184" t="str">
        <f t="shared" si="1"/>
        <v>Budget4Q25</v>
      </c>
      <c r="AC10" s="184" t="str">
        <f t="shared" si="1"/>
        <v>Budget4Q25</v>
      </c>
      <c r="AD10" s="184" t="str">
        <f t="shared" si="1"/>
        <v>Budget4Q25</v>
      </c>
      <c r="AE10" s="184" t="str">
        <f t="shared" si="1"/>
        <v>Budget4Q25</v>
      </c>
      <c r="AF10" s="184" t="str">
        <f t="shared" si="1"/>
        <v>Budget4Q25</v>
      </c>
      <c r="AG10" s="184" t="str">
        <f t="shared" si="1"/>
        <v>Budget4Q25</v>
      </c>
      <c r="AH10" s="184" t="str">
        <f t="shared" si="1"/>
        <v>Budget4Q25</v>
      </c>
      <c r="AI10" s="184" t="str">
        <f t="shared" si="1"/>
        <v>Budget4Q25</v>
      </c>
      <c r="AJ10" s="184" t="str">
        <f t="shared" si="1"/>
        <v>Budget4Q25</v>
      </c>
      <c r="AK10" s="105"/>
      <c r="AL10" s="397" t="str">
        <f t="shared" ref="AL10:AX10" si="2">$X$2</f>
        <v>Tgt4Q24</v>
      </c>
      <c r="AM10" s="397" t="str">
        <f t="shared" si="2"/>
        <v>Tgt4Q24</v>
      </c>
      <c r="AN10" s="397" t="str">
        <f t="shared" si="2"/>
        <v>Tgt4Q24</v>
      </c>
      <c r="AO10" s="397" t="str">
        <f t="shared" si="2"/>
        <v>Tgt4Q24</v>
      </c>
      <c r="AP10" s="397" t="str">
        <f t="shared" si="2"/>
        <v>Tgt4Q24</v>
      </c>
      <c r="AQ10" s="397" t="str">
        <f t="shared" si="2"/>
        <v>Tgt4Q24</v>
      </c>
      <c r="AR10" s="397" t="str">
        <f t="shared" si="2"/>
        <v>Tgt4Q24</v>
      </c>
      <c r="AS10" s="397" t="str">
        <f t="shared" si="2"/>
        <v>Tgt4Q24</v>
      </c>
      <c r="AT10" s="397" t="str">
        <f t="shared" si="2"/>
        <v>Tgt4Q24</v>
      </c>
      <c r="AU10" s="397" t="str">
        <f t="shared" si="2"/>
        <v>Tgt4Q24</v>
      </c>
      <c r="AV10" s="397" t="str">
        <f t="shared" si="2"/>
        <v>Tgt4Q24</v>
      </c>
      <c r="AW10" s="397" t="str">
        <f t="shared" si="2"/>
        <v>Tgt4Q24</v>
      </c>
      <c r="AX10" s="397" t="str">
        <f t="shared" si="2"/>
        <v>Tgt4Q24</v>
      </c>
      <c r="AZ10" s="184" t="str">
        <f t="shared" ref="AZ10:BL10" si="3">$X$1</f>
        <v>Budget4Q25</v>
      </c>
      <c r="BA10" s="184" t="str">
        <f t="shared" si="3"/>
        <v>Budget4Q25</v>
      </c>
      <c r="BB10" s="184" t="str">
        <f t="shared" si="3"/>
        <v>Budget4Q25</v>
      </c>
      <c r="BC10" s="184" t="str">
        <f t="shared" si="3"/>
        <v>Budget4Q25</v>
      </c>
      <c r="BD10" s="184" t="str">
        <f t="shared" si="3"/>
        <v>Budget4Q25</v>
      </c>
      <c r="BE10" s="184" t="str">
        <f t="shared" si="3"/>
        <v>Budget4Q25</v>
      </c>
      <c r="BF10" s="184" t="str">
        <f t="shared" si="3"/>
        <v>Budget4Q25</v>
      </c>
      <c r="BG10" s="184" t="str">
        <f t="shared" si="3"/>
        <v>Budget4Q25</v>
      </c>
      <c r="BH10" s="184" t="str">
        <f t="shared" si="3"/>
        <v>Budget4Q25</v>
      </c>
      <c r="BI10" s="184" t="str">
        <f t="shared" si="3"/>
        <v>Budget4Q25</v>
      </c>
      <c r="BJ10" s="184" t="str">
        <f t="shared" si="3"/>
        <v>Budget4Q25</v>
      </c>
      <c r="BK10" s="184" t="str">
        <f t="shared" si="3"/>
        <v>Budget4Q25</v>
      </c>
      <c r="BL10" s="184" t="str">
        <f t="shared" si="3"/>
        <v>Budget4Q25</v>
      </c>
      <c r="BM10" s="105"/>
      <c r="BN10" s="397" t="str">
        <f t="shared" ref="BN10:BZ10" si="4">$X$2</f>
        <v>Tgt4Q24</v>
      </c>
      <c r="BO10" s="397" t="str">
        <f t="shared" si="4"/>
        <v>Tgt4Q24</v>
      </c>
      <c r="BP10" s="397" t="str">
        <f t="shared" si="4"/>
        <v>Tgt4Q24</v>
      </c>
      <c r="BQ10" s="397" t="str">
        <f t="shared" si="4"/>
        <v>Tgt4Q24</v>
      </c>
      <c r="BR10" s="397" t="str">
        <f t="shared" si="4"/>
        <v>Tgt4Q24</v>
      </c>
      <c r="BS10" s="397" t="str">
        <f t="shared" si="4"/>
        <v>Tgt4Q24</v>
      </c>
      <c r="BT10" s="397" t="str">
        <f t="shared" si="4"/>
        <v>Tgt4Q24</v>
      </c>
      <c r="BU10" s="397" t="str">
        <f t="shared" si="4"/>
        <v>Tgt4Q24</v>
      </c>
      <c r="BV10" s="397" t="str">
        <f t="shared" si="4"/>
        <v>Tgt4Q24</v>
      </c>
      <c r="BW10" s="397" t="str">
        <f t="shared" si="4"/>
        <v>Tgt4Q24</v>
      </c>
      <c r="BX10" s="397" t="str">
        <f t="shared" si="4"/>
        <v>Tgt4Q24</v>
      </c>
      <c r="BY10" s="397" t="str">
        <f t="shared" si="4"/>
        <v>Tgt4Q24</v>
      </c>
      <c r="BZ10" s="397" t="str">
        <f t="shared" si="4"/>
        <v>Tgt4Q24</v>
      </c>
    </row>
    <row r="11" spans="1:78" s="188" customFormat="1" ht="20.399999999999999">
      <c r="A11" s="237"/>
      <c r="B11" s="235"/>
      <c r="C11" s="203"/>
      <c r="D11" s="203"/>
      <c r="E11" s="104"/>
      <c r="F11" s="104"/>
      <c r="G11" s="104"/>
      <c r="H11" s="2"/>
      <c r="I11" s="104"/>
      <c r="J11" s="104"/>
      <c r="K11" s="104"/>
      <c r="L11" s="199"/>
      <c r="M11" s="104"/>
      <c r="N11" s="104"/>
      <c r="O11" s="104"/>
      <c r="P11" s="2"/>
      <c r="Q11" s="104"/>
      <c r="R11" s="104"/>
      <c r="S11" s="104"/>
      <c r="T11" s="199">
        <v>4</v>
      </c>
      <c r="U11" s="189"/>
      <c r="V11" s="189"/>
      <c r="W11" s="189"/>
      <c r="X11" s="184" t="s">
        <v>8</v>
      </c>
      <c r="Y11" s="184" t="s">
        <v>8</v>
      </c>
      <c r="Z11" s="184" t="s">
        <v>8</v>
      </c>
      <c r="AA11" s="184" t="s">
        <v>8</v>
      </c>
      <c r="AB11" s="184" t="s">
        <v>8</v>
      </c>
      <c r="AC11" s="184" t="s">
        <v>8</v>
      </c>
      <c r="AD11" s="184" t="s">
        <v>8</v>
      </c>
      <c r="AE11" s="184" t="s">
        <v>8</v>
      </c>
      <c r="AF11" s="184" t="s">
        <v>8</v>
      </c>
      <c r="AG11" s="184" t="s">
        <v>8</v>
      </c>
      <c r="AH11" s="184" t="s">
        <v>8</v>
      </c>
      <c r="AI11" s="184" t="s">
        <v>8</v>
      </c>
      <c r="AJ11" s="185" t="s">
        <v>8</v>
      </c>
      <c r="AK11" s="186"/>
      <c r="AL11" s="187" t="s">
        <v>8</v>
      </c>
      <c r="AM11" s="184" t="s">
        <v>8</v>
      </c>
      <c r="AN11" s="184" t="s">
        <v>8</v>
      </c>
      <c r="AO11" s="184" t="s">
        <v>8</v>
      </c>
      <c r="AP11" s="184" t="s">
        <v>8</v>
      </c>
      <c r="AQ11" s="184" t="s">
        <v>8</v>
      </c>
      <c r="AR11" s="184" t="s">
        <v>8</v>
      </c>
      <c r="AS11" s="184" t="s">
        <v>8</v>
      </c>
      <c r="AT11" s="184" t="s">
        <v>8</v>
      </c>
      <c r="AU11" s="184" t="s">
        <v>8</v>
      </c>
      <c r="AV11" s="184" t="s">
        <v>8</v>
      </c>
      <c r="AW11" s="184" t="s">
        <v>8</v>
      </c>
      <c r="AX11" s="184" t="s">
        <v>8</v>
      </c>
      <c r="AY11" s="184"/>
      <c r="AZ11" s="184" t="s">
        <v>8</v>
      </c>
      <c r="BA11" s="184" t="s">
        <v>8</v>
      </c>
      <c r="BB11" s="184" t="s">
        <v>8</v>
      </c>
      <c r="BC11" s="184" t="s">
        <v>8</v>
      </c>
      <c r="BD11" s="184" t="s">
        <v>8</v>
      </c>
      <c r="BE11" s="184" t="s">
        <v>8</v>
      </c>
      <c r="BF11" s="184" t="s">
        <v>8</v>
      </c>
      <c r="BG11" s="184" t="s">
        <v>8</v>
      </c>
      <c r="BH11" s="184" t="s">
        <v>8</v>
      </c>
      <c r="BI11" s="184" t="s">
        <v>8</v>
      </c>
      <c r="BJ11" s="184" t="s">
        <v>8</v>
      </c>
      <c r="BK11" s="184" t="s">
        <v>8</v>
      </c>
      <c r="BL11" s="184" t="s">
        <v>8</v>
      </c>
      <c r="BM11" s="184"/>
      <c r="BN11" s="184" t="s">
        <v>8</v>
      </c>
      <c r="BO11" s="184" t="s">
        <v>8</v>
      </c>
      <c r="BP11" s="184" t="s">
        <v>8</v>
      </c>
      <c r="BQ11" s="184" t="s">
        <v>8</v>
      </c>
      <c r="BR11" s="184" t="s">
        <v>8</v>
      </c>
      <c r="BS11" s="184" t="s">
        <v>8</v>
      </c>
      <c r="BT11" s="184" t="s">
        <v>8</v>
      </c>
      <c r="BU11" s="184" t="s">
        <v>8</v>
      </c>
      <c r="BV11" s="184" t="s">
        <v>8</v>
      </c>
      <c r="BW11" s="184" t="s">
        <v>8</v>
      </c>
      <c r="BX11" s="184" t="s">
        <v>8</v>
      </c>
      <c r="BY11" s="184" t="s">
        <v>8</v>
      </c>
      <c r="BZ11" s="184" t="s">
        <v>8</v>
      </c>
    </row>
    <row r="12" spans="1:78" s="377" customFormat="1">
      <c r="A12" s="370" t="s">
        <v>240</v>
      </c>
      <c r="B12" s="370" t="s">
        <v>241</v>
      </c>
      <c r="C12" s="371"/>
      <c r="D12" s="371"/>
      <c r="E12" s="372" t="str">
        <f>INPUT!$Q$2</f>
        <v>WK7</v>
      </c>
      <c r="F12" s="372" t="str">
        <f>INPUT!$Q$3</f>
        <v>WK6</v>
      </c>
      <c r="G12" s="372" t="s">
        <v>215</v>
      </c>
      <c r="H12" s="307"/>
      <c r="I12" s="372" t="str">
        <f>INPUT!$Q$2</f>
        <v>WK7</v>
      </c>
      <c r="J12" s="372" t="str">
        <f>INPUT!$Q$3</f>
        <v>WK6</v>
      </c>
      <c r="K12" s="372" t="s">
        <v>215</v>
      </c>
      <c r="L12" s="373"/>
      <c r="M12" s="372" t="str">
        <f>INPUT!$Q$2</f>
        <v>WK7</v>
      </c>
      <c r="N12" s="372" t="str">
        <f>INPUT!$Q$3</f>
        <v>WK6</v>
      </c>
      <c r="O12" s="372" t="s">
        <v>215</v>
      </c>
      <c r="P12" s="307"/>
      <c r="Q12" s="372" t="str">
        <f>INPUT!$Q$2</f>
        <v>WK7</v>
      </c>
      <c r="R12" s="372" t="str">
        <f>INPUT!$Q$3</f>
        <v>WK6</v>
      </c>
      <c r="S12" s="372" t="s">
        <v>215</v>
      </c>
      <c r="T12" s="373">
        <v>5</v>
      </c>
      <c r="U12" s="374"/>
      <c r="V12" s="374"/>
      <c r="W12" s="374"/>
      <c r="X12" s="372" t="str">
        <f>X3</f>
        <v>WK1 4Q</v>
      </c>
      <c r="Y12" s="372" t="str">
        <f t="shared" ref="Y12:AJ12" si="5">Y3</f>
        <v>WK2 4Q</v>
      </c>
      <c r="Z12" s="372" t="str">
        <f t="shared" si="5"/>
        <v>WK3 4Q</v>
      </c>
      <c r="AA12" s="372" t="str">
        <f t="shared" si="5"/>
        <v>WK4 4Q</v>
      </c>
      <c r="AB12" s="372" t="str">
        <f t="shared" si="5"/>
        <v>WK5 4Q</v>
      </c>
      <c r="AC12" s="372" t="str">
        <f t="shared" si="5"/>
        <v>WK6 4Q</v>
      </c>
      <c r="AD12" s="372" t="str">
        <f t="shared" si="5"/>
        <v>WK7 4Q</v>
      </c>
      <c r="AE12" s="372" t="str">
        <f t="shared" si="5"/>
        <v>WK8 4Q</v>
      </c>
      <c r="AF12" s="372" t="str">
        <f t="shared" si="5"/>
        <v>WK9 4Q</v>
      </c>
      <c r="AG12" s="372" t="str">
        <f t="shared" si="5"/>
        <v>WK10 4Q</v>
      </c>
      <c r="AH12" s="372" t="str">
        <f t="shared" si="5"/>
        <v>WK11 4Q</v>
      </c>
      <c r="AI12" s="372" t="str">
        <f t="shared" si="5"/>
        <v>WK12 4Q</v>
      </c>
      <c r="AJ12" s="372" t="str">
        <f t="shared" si="5"/>
        <v>WK13 4Q</v>
      </c>
      <c r="AK12" s="375"/>
      <c r="AL12" s="376" t="str">
        <f>X3</f>
        <v>WK1 4Q</v>
      </c>
      <c r="AM12" s="376" t="str">
        <f t="shared" ref="AM12:AX12" si="6">Y3</f>
        <v>WK2 4Q</v>
      </c>
      <c r="AN12" s="376" t="str">
        <f t="shared" si="6"/>
        <v>WK3 4Q</v>
      </c>
      <c r="AO12" s="376" t="str">
        <f t="shared" si="6"/>
        <v>WK4 4Q</v>
      </c>
      <c r="AP12" s="376" t="str">
        <f t="shared" si="6"/>
        <v>WK5 4Q</v>
      </c>
      <c r="AQ12" s="376" t="str">
        <f t="shared" si="6"/>
        <v>WK6 4Q</v>
      </c>
      <c r="AR12" s="376" t="str">
        <f t="shared" si="6"/>
        <v>WK7 4Q</v>
      </c>
      <c r="AS12" s="376" t="str">
        <f t="shared" si="6"/>
        <v>WK8 4Q</v>
      </c>
      <c r="AT12" s="376" t="str">
        <f t="shared" si="6"/>
        <v>WK9 4Q</v>
      </c>
      <c r="AU12" s="376" t="str">
        <f t="shared" si="6"/>
        <v>WK10 4Q</v>
      </c>
      <c r="AV12" s="376" t="str">
        <f t="shared" si="6"/>
        <v>WK11 4Q</v>
      </c>
      <c r="AW12" s="376" t="str">
        <f t="shared" si="6"/>
        <v>WK12 4Q</v>
      </c>
      <c r="AX12" s="376" t="str">
        <f t="shared" si="6"/>
        <v>WK13 4Q</v>
      </c>
      <c r="AY12" s="372"/>
      <c r="AZ12" s="372" t="str">
        <f>X3</f>
        <v>WK1 4Q</v>
      </c>
      <c r="BA12" s="372" t="str">
        <f t="shared" ref="BA12:BL12" si="7">Y3</f>
        <v>WK2 4Q</v>
      </c>
      <c r="BB12" s="372" t="str">
        <f t="shared" si="7"/>
        <v>WK3 4Q</v>
      </c>
      <c r="BC12" s="372" t="str">
        <f t="shared" si="7"/>
        <v>WK4 4Q</v>
      </c>
      <c r="BD12" s="372" t="str">
        <f t="shared" si="7"/>
        <v>WK5 4Q</v>
      </c>
      <c r="BE12" s="372" t="str">
        <f t="shared" si="7"/>
        <v>WK6 4Q</v>
      </c>
      <c r="BF12" s="372" t="str">
        <f t="shared" si="7"/>
        <v>WK7 4Q</v>
      </c>
      <c r="BG12" s="372" t="str">
        <f t="shared" si="7"/>
        <v>WK8 4Q</v>
      </c>
      <c r="BH12" s="372" t="str">
        <f t="shared" si="7"/>
        <v>WK9 4Q</v>
      </c>
      <c r="BI12" s="372" t="str">
        <f t="shared" si="7"/>
        <v>WK10 4Q</v>
      </c>
      <c r="BJ12" s="372" t="str">
        <f t="shared" si="7"/>
        <v>WK11 4Q</v>
      </c>
      <c r="BK12" s="372" t="str">
        <f t="shared" si="7"/>
        <v>WK12 4Q</v>
      </c>
      <c r="BL12" s="372" t="str">
        <f t="shared" si="7"/>
        <v>WK13 4Q</v>
      </c>
      <c r="BM12" s="372"/>
      <c r="BN12" s="372" t="str">
        <f>X3</f>
        <v>WK1 4Q</v>
      </c>
      <c r="BO12" s="372" t="str">
        <f t="shared" ref="BO12:BZ12" si="8">Y3</f>
        <v>WK2 4Q</v>
      </c>
      <c r="BP12" s="372" t="str">
        <f t="shared" si="8"/>
        <v>WK3 4Q</v>
      </c>
      <c r="BQ12" s="372" t="str">
        <f t="shared" si="8"/>
        <v>WK4 4Q</v>
      </c>
      <c r="BR12" s="372" t="str">
        <f t="shared" si="8"/>
        <v>WK5 4Q</v>
      </c>
      <c r="BS12" s="372" t="str">
        <f t="shared" si="8"/>
        <v>WK6 4Q</v>
      </c>
      <c r="BT12" s="372" t="str">
        <f t="shared" si="8"/>
        <v>WK7 4Q</v>
      </c>
      <c r="BU12" s="372" t="str">
        <f t="shared" si="8"/>
        <v>WK8 4Q</v>
      </c>
      <c r="BV12" s="372" t="str">
        <f t="shared" si="8"/>
        <v>WK9 4Q</v>
      </c>
      <c r="BW12" s="372" t="str">
        <f t="shared" si="8"/>
        <v>WK10 4Q</v>
      </c>
      <c r="BX12" s="372" t="str">
        <f t="shared" si="8"/>
        <v>WK11 4Q</v>
      </c>
      <c r="BY12" s="372" t="str">
        <f t="shared" si="8"/>
        <v>WK12 4Q</v>
      </c>
      <c r="BZ12" s="372" t="str">
        <f t="shared" si="8"/>
        <v>WK13 4Q</v>
      </c>
    </row>
    <row r="13" spans="1:78">
      <c r="A13" s="237">
        <v>26</v>
      </c>
      <c r="B13" s="236" t="s">
        <v>13</v>
      </c>
      <c r="C13" s="201" t="s">
        <v>11</v>
      </c>
      <c r="D13" s="202" t="s">
        <v>231</v>
      </c>
      <c r="E13" s="123">
        <f>HLOOKUP(INPUT!$Q$2,'Tracks Pull'!$X$8:$AJ$138,T13,FALSE)</f>
        <v>78.14430126553377</v>
      </c>
      <c r="F13" s="123">
        <f>HLOOKUP(INPUT!$Q$3,'Tracks Pull'!$X$8:$AJ$138,T13,FALSE)</f>
        <v>71.895787811221837</v>
      </c>
      <c r="G13" s="123">
        <f t="shared" ref="G13:G50" si="9">E13-F13</f>
        <v>6.2485134543119329</v>
      </c>
      <c r="I13" s="123">
        <f>HLOOKUP(INPUT!$Q$2,'Tracks Pull'!$AL$8:$AX$138,T13,FALSE)</f>
        <v>56.437079768402697</v>
      </c>
      <c r="J13" s="123">
        <f>HLOOKUP(INPUT!$Q$3,'Tracks Pull'!$AL$8:$AX$138,T13,FALSE)</f>
        <v>43.279685911921788</v>
      </c>
      <c r="K13" s="123">
        <f t="shared" ref="K13:K50" si="10">I13-J13</f>
        <v>13.157393856480908</v>
      </c>
      <c r="M13" s="123">
        <f>HLOOKUP(INPUT!$Q$2,'Tracks Pull'!$AZ$8:$BL$138,T13,FALSE)</f>
        <v>78.14430126553377</v>
      </c>
      <c r="N13" s="123">
        <f>HLOOKUP(INPUT!$Q$3,'Tracks Pull'!$AZ$8:$BL$138,T13,FALSE)</f>
        <v>71.895787811221837</v>
      </c>
      <c r="O13" s="123">
        <f t="shared" ref="O13:O50" si="11">M13-N13</f>
        <v>6.2485134543119329</v>
      </c>
      <c r="Q13" s="123">
        <f>HLOOKUP(INPUT!$Q$2,'Tracks Pull'!$BN$8:$BZ$138,T13,FALSE)</f>
        <v>56.437079768402697</v>
      </c>
      <c r="R13" s="123">
        <f>HLOOKUP(INPUT!$Q$3,'Tracks Pull'!$BN$8:$BZ$138,T13,FALSE)</f>
        <v>43.279685911921788</v>
      </c>
      <c r="S13" s="123">
        <f t="shared" ref="S13:S50" si="12">Q13-R13</f>
        <v>13.157393856480908</v>
      </c>
      <c r="T13" s="109">
        <v>6</v>
      </c>
      <c r="U13" s="190" t="s">
        <v>11</v>
      </c>
      <c r="V13" s="191" t="s">
        <v>129</v>
      </c>
      <c r="W13" s="194" t="s">
        <v>13</v>
      </c>
      <c r="X13" s="102">
        <v>10.090005477708537</v>
      </c>
      <c r="Y13" s="102">
        <v>16.129869359647898</v>
      </c>
      <c r="Z13" s="102">
        <v>25.951259603015828</v>
      </c>
      <c r="AA13" s="102">
        <v>35.500965057517028</v>
      </c>
      <c r="AB13" s="102">
        <v>49.870427768836635</v>
      </c>
      <c r="AC13" s="102">
        <v>71.895787811221837</v>
      </c>
      <c r="AD13" s="102">
        <v>78.14430126553377</v>
      </c>
      <c r="AE13" s="102">
        <v>138.26206940137052</v>
      </c>
      <c r="AF13" s="102">
        <v>224.42720909115783</v>
      </c>
      <c r="AG13" s="102">
        <v>336.63102695387573</v>
      </c>
      <c r="AH13" s="102">
        <v>496.16096990762435</v>
      </c>
      <c r="AI13" s="102">
        <v>763.00071052171177</v>
      </c>
      <c r="AJ13" s="178">
        <v>1440.3421289716482</v>
      </c>
      <c r="AK13" s="182"/>
      <c r="AL13" s="180">
        <v>13.755266304083227</v>
      </c>
      <c r="AM13" s="102">
        <v>12.712622723338526</v>
      </c>
      <c r="AN13" s="102">
        <v>9.9474656057793567</v>
      </c>
      <c r="AO13" s="102">
        <v>19.676549405995512</v>
      </c>
      <c r="AP13" s="102">
        <v>26.489818404637965</v>
      </c>
      <c r="AQ13" s="102">
        <v>43.279685911921788</v>
      </c>
      <c r="AR13" s="102">
        <v>56.437079768402697</v>
      </c>
      <c r="AS13" s="102">
        <v>88.382352931811653</v>
      </c>
      <c r="AT13" s="102">
        <v>119.76092167806883</v>
      </c>
      <c r="AU13" s="102">
        <v>248.85088255166352</v>
      </c>
      <c r="AV13" s="102">
        <v>363.84013805420329</v>
      </c>
      <c r="AW13" s="102">
        <v>603.8595598750702</v>
      </c>
      <c r="AX13" s="102">
        <v>952.25015380467937</v>
      </c>
      <c r="AY13" s="128"/>
      <c r="AZ13" s="102">
        <v>10.090005477708537</v>
      </c>
      <c r="BA13" s="102">
        <v>16.129869359647898</v>
      </c>
      <c r="BB13" s="102">
        <v>25.951259603015828</v>
      </c>
      <c r="BC13" s="102">
        <v>35.500965057517028</v>
      </c>
      <c r="BD13" s="102">
        <v>49.870427768836635</v>
      </c>
      <c r="BE13" s="102">
        <v>71.895787811221837</v>
      </c>
      <c r="BF13" s="102">
        <v>78.14430126553377</v>
      </c>
      <c r="BG13" s="102">
        <v>138.26206940137052</v>
      </c>
      <c r="BH13" s="102">
        <v>224.42720909115783</v>
      </c>
      <c r="BI13" s="102">
        <v>336.63102695387573</v>
      </c>
      <c r="BJ13" s="102">
        <v>496.16096990762435</v>
      </c>
      <c r="BK13" s="102">
        <v>763.00071052171177</v>
      </c>
      <c r="BL13" s="102">
        <v>1440.3421289716482</v>
      </c>
      <c r="BM13" s="128"/>
      <c r="BN13" s="102">
        <v>13.755266304083227</v>
      </c>
      <c r="BO13" s="102">
        <v>12.712622723338526</v>
      </c>
      <c r="BP13" s="102">
        <v>9.9474656057793567</v>
      </c>
      <c r="BQ13" s="102">
        <v>19.676549405995512</v>
      </c>
      <c r="BR13" s="102">
        <v>26.489818404637965</v>
      </c>
      <c r="BS13" s="102">
        <v>43.279685911921788</v>
      </c>
      <c r="BT13" s="102">
        <v>56.437079768402697</v>
      </c>
      <c r="BU13" s="102">
        <v>88.382352931811653</v>
      </c>
      <c r="BV13" s="102">
        <v>119.76092167806883</v>
      </c>
      <c r="BW13" s="102">
        <v>248.85088255166352</v>
      </c>
      <c r="BX13" s="102">
        <v>363.84013805420329</v>
      </c>
      <c r="BY13" s="102">
        <v>603.8595598750702</v>
      </c>
      <c r="BZ13" s="102">
        <v>952.25015380467937</v>
      </c>
    </row>
    <row r="14" spans="1:78">
      <c r="A14" s="237">
        <v>26</v>
      </c>
      <c r="B14" s="236" t="s">
        <v>243</v>
      </c>
      <c r="C14" s="201"/>
      <c r="D14" s="202"/>
      <c r="E14" s="125">
        <f>HLOOKUP(INPUT!$Q$2,'Tracks Pull'!$X$8:$AJ$138,T14,FALSE)</f>
        <v>0</v>
      </c>
      <c r="F14" s="125">
        <f>HLOOKUP(INPUT!$Q$3,'Tracks Pull'!$X$8:$AJ$138,T14,FALSE)</f>
        <v>0</v>
      </c>
      <c r="G14" s="125">
        <f t="shared" si="9"/>
        <v>0</v>
      </c>
      <c r="I14" s="125">
        <f>HLOOKUP(INPUT!$Q$2,'Tracks Pull'!$AL$8:$AX$138,T14,FALSE)</f>
        <v>0</v>
      </c>
      <c r="J14" s="125">
        <f>HLOOKUP(INPUT!$Q$3,'Tracks Pull'!$AL$8:$AX$138,T14,FALSE)</f>
        <v>0</v>
      </c>
      <c r="K14" s="125">
        <f t="shared" si="10"/>
        <v>0</v>
      </c>
      <c r="M14" s="125">
        <f>HLOOKUP(INPUT!$Q$2,'Tracks Pull'!$AZ$8:$BL$138,T14,FALSE)</f>
        <v>0</v>
      </c>
      <c r="N14" s="125">
        <f>HLOOKUP(INPUT!$Q$3,'Tracks Pull'!$AZ$8:$BL$138,T14,FALSE)</f>
        <v>0</v>
      </c>
      <c r="O14" s="125">
        <f t="shared" si="11"/>
        <v>0</v>
      </c>
      <c r="Q14" s="125">
        <f>HLOOKUP(INPUT!$Q$2,'Tracks Pull'!$BN$8:$BZ$138,T14,FALSE)</f>
        <v>0</v>
      </c>
      <c r="R14" s="125">
        <f>HLOOKUP(INPUT!$Q$3,'Tracks Pull'!$BN$8:$BZ$138,T14,FALSE)</f>
        <v>0</v>
      </c>
      <c r="S14" s="125">
        <f t="shared" si="12"/>
        <v>0</v>
      </c>
      <c r="T14" s="199">
        <v>7</v>
      </c>
      <c r="U14" s="583"/>
      <c r="V14" s="583"/>
      <c r="W14" s="583"/>
      <c r="X14" s="287"/>
      <c r="Y14" s="287"/>
      <c r="Z14" s="287"/>
      <c r="AA14" s="287"/>
      <c r="AB14" s="287"/>
      <c r="AC14" s="287"/>
      <c r="AD14" s="287"/>
      <c r="AE14" s="287"/>
      <c r="AF14" s="287"/>
      <c r="AG14" s="287"/>
      <c r="AH14" s="287"/>
      <c r="AI14" s="287"/>
      <c r="AJ14" s="287"/>
      <c r="AK14" s="182"/>
      <c r="AL14" s="287"/>
      <c r="AM14" s="287"/>
      <c r="AN14" s="287"/>
      <c r="AO14" s="287"/>
      <c r="AP14" s="287"/>
      <c r="AQ14" s="287"/>
      <c r="AR14" s="287"/>
      <c r="AS14" s="287"/>
      <c r="AT14" s="287"/>
      <c r="AU14" s="287"/>
      <c r="AV14" s="287"/>
      <c r="AW14" s="287"/>
      <c r="AX14" s="287"/>
      <c r="AY14" s="128"/>
      <c r="AZ14" s="287"/>
      <c r="BA14" s="287"/>
      <c r="BB14" s="287"/>
      <c r="BC14" s="287"/>
      <c r="BD14" s="287"/>
      <c r="BE14" s="287"/>
      <c r="BF14" s="287"/>
      <c r="BG14" s="287"/>
      <c r="BH14" s="287"/>
      <c r="BI14" s="287"/>
      <c r="BJ14" s="287"/>
      <c r="BK14" s="287"/>
      <c r="BL14" s="287"/>
      <c r="BM14" s="128"/>
      <c r="BN14" s="287"/>
      <c r="BO14" s="287"/>
      <c r="BP14" s="287"/>
      <c r="BQ14" s="287"/>
      <c r="BR14" s="287"/>
      <c r="BS14" s="287"/>
      <c r="BT14" s="287"/>
      <c r="BU14" s="287"/>
      <c r="BV14" s="287"/>
      <c r="BW14" s="287"/>
      <c r="BX14" s="287"/>
      <c r="BY14" s="287"/>
      <c r="BZ14" s="287"/>
    </row>
    <row r="15" spans="1:78">
      <c r="A15" s="237">
        <v>26</v>
      </c>
      <c r="B15" s="236" t="s">
        <v>234</v>
      </c>
      <c r="C15" s="190" t="s">
        <v>11</v>
      </c>
      <c r="D15" s="194" t="s">
        <v>141</v>
      </c>
      <c r="E15" s="124">
        <f>HLOOKUP(INPUT!$Q$2,'Tracks Pull'!$X$8:$AJ$138,T15,FALSE)</f>
        <v>0</v>
      </c>
      <c r="F15" s="124">
        <f>HLOOKUP(INPUT!$Q$3,'Tracks Pull'!$X$8:$AJ$138,T15,FALSE)</f>
        <v>0</v>
      </c>
      <c r="G15" s="124">
        <f t="shared" si="9"/>
        <v>0</v>
      </c>
      <c r="I15" s="124">
        <f>HLOOKUP(INPUT!$Q$2,'Tracks Pull'!$AL$8:$AX$138,T15,FALSE)</f>
        <v>0</v>
      </c>
      <c r="J15" s="124">
        <f>HLOOKUP(INPUT!$Q$3,'Tracks Pull'!$AL$8:$AX$138,T15,FALSE)</f>
        <v>0</v>
      </c>
      <c r="K15" s="124">
        <f t="shared" si="10"/>
        <v>0</v>
      </c>
      <c r="M15" s="124">
        <f>HLOOKUP(INPUT!$Q$2,'Tracks Pull'!$AZ$8:$BL$138,T15,FALSE)</f>
        <v>0</v>
      </c>
      <c r="N15" s="124">
        <f>HLOOKUP(INPUT!$Q$3,'Tracks Pull'!$AZ$8:$BL$138,T15,FALSE)</f>
        <v>0</v>
      </c>
      <c r="O15" s="124">
        <f t="shared" si="11"/>
        <v>0</v>
      </c>
      <c r="Q15" s="124">
        <f>HLOOKUP(INPUT!$Q$2,'Tracks Pull'!$BN$8:$BZ$138,T15,FALSE)</f>
        <v>0</v>
      </c>
      <c r="R15" s="124">
        <f>HLOOKUP(INPUT!$Q$3,'Tracks Pull'!$BN$8:$BZ$138,T15,FALSE)</f>
        <v>0</v>
      </c>
      <c r="S15" s="124">
        <f t="shared" si="12"/>
        <v>0</v>
      </c>
      <c r="T15" s="109">
        <v>8</v>
      </c>
      <c r="U15" s="190" t="s">
        <v>11</v>
      </c>
      <c r="V15" s="191" t="s">
        <v>129</v>
      </c>
      <c r="W15" s="192" t="s">
        <v>75</v>
      </c>
      <c r="X15" s="102">
        <v>0</v>
      </c>
      <c r="Y15" s="102">
        <v>0</v>
      </c>
      <c r="Z15" s="102">
        <v>0</v>
      </c>
      <c r="AA15" s="102">
        <v>0</v>
      </c>
      <c r="AB15" s="102">
        <v>0</v>
      </c>
      <c r="AC15" s="102">
        <v>0</v>
      </c>
      <c r="AD15" s="102">
        <v>0</v>
      </c>
      <c r="AE15" s="102">
        <v>0</v>
      </c>
      <c r="AF15" s="102">
        <v>0</v>
      </c>
      <c r="AG15" s="102">
        <v>0</v>
      </c>
      <c r="AH15" s="102">
        <v>0</v>
      </c>
      <c r="AI15" s="102">
        <v>0</v>
      </c>
      <c r="AJ15" s="178">
        <v>0</v>
      </c>
      <c r="AK15" s="182"/>
      <c r="AL15" s="180">
        <v>0</v>
      </c>
      <c r="AM15" s="102">
        <v>0</v>
      </c>
      <c r="AN15" s="102">
        <v>0</v>
      </c>
      <c r="AO15" s="102">
        <v>0</v>
      </c>
      <c r="AP15" s="102">
        <v>0</v>
      </c>
      <c r="AQ15" s="102">
        <v>0</v>
      </c>
      <c r="AR15" s="102">
        <v>0</v>
      </c>
      <c r="AS15" s="102">
        <v>0</v>
      </c>
      <c r="AT15" s="102">
        <v>0</v>
      </c>
      <c r="AU15" s="102">
        <v>0</v>
      </c>
      <c r="AV15" s="102">
        <v>0</v>
      </c>
      <c r="AW15" s="102">
        <v>0</v>
      </c>
      <c r="AX15" s="102">
        <v>0</v>
      </c>
      <c r="AY15" s="128"/>
      <c r="AZ15" s="102">
        <v>0</v>
      </c>
      <c r="BA15" s="102">
        <v>0</v>
      </c>
      <c r="BB15" s="102">
        <v>0</v>
      </c>
      <c r="BC15" s="102">
        <v>0</v>
      </c>
      <c r="BD15" s="102">
        <v>0</v>
      </c>
      <c r="BE15" s="102">
        <v>0</v>
      </c>
      <c r="BF15" s="102">
        <v>0</v>
      </c>
      <c r="BG15" s="102">
        <v>0</v>
      </c>
      <c r="BH15" s="102">
        <v>0</v>
      </c>
      <c r="BI15" s="102">
        <v>0</v>
      </c>
      <c r="BJ15" s="102">
        <v>0</v>
      </c>
      <c r="BK15" s="102">
        <v>0</v>
      </c>
      <c r="BL15" s="102">
        <v>0</v>
      </c>
      <c r="BM15" s="128"/>
      <c r="BN15" s="102">
        <v>0</v>
      </c>
      <c r="BO15" s="102">
        <v>0</v>
      </c>
      <c r="BP15" s="102">
        <v>0</v>
      </c>
      <c r="BQ15" s="102">
        <v>0</v>
      </c>
      <c r="BR15" s="102">
        <v>0</v>
      </c>
      <c r="BS15" s="102">
        <v>0</v>
      </c>
      <c r="BT15" s="102">
        <v>0</v>
      </c>
      <c r="BU15" s="102">
        <v>0</v>
      </c>
      <c r="BV15" s="102">
        <v>0</v>
      </c>
      <c r="BW15" s="102">
        <v>0</v>
      </c>
      <c r="BX15" s="102">
        <v>0</v>
      </c>
      <c r="BY15" s="102">
        <v>0</v>
      </c>
      <c r="BZ15" s="102">
        <v>0</v>
      </c>
    </row>
    <row r="16" spans="1:78">
      <c r="A16" s="237">
        <v>26</v>
      </c>
      <c r="B16" s="236" t="s">
        <v>58</v>
      </c>
      <c r="C16" s="190" t="s">
        <v>11</v>
      </c>
      <c r="D16" s="191" t="s">
        <v>15</v>
      </c>
      <c r="E16" s="123">
        <f>HLOOKUP(INPUT!$Q$2,'Tracks Pull'!$X$8:$AJ$138,T16,FALSE)</f>
        <v>31.784939416672451</v>
      </c>
      <c r="F16" s="123">
        <f>HLOOKUP(INPUT!$Q$3,'Tracks Pull'!$X$8:$AJ$138,T16,FALSE)</f>
        <v>33.066367939037271</v>
      </c>
      <c r="G16" s="123">
        <f t="shared" si="9"/>
        <v>-1.2814285223648199</v>
      </c>
      <c r="I16" s="123">
        <f>HLOOKUP(INPUT!$Q$2,'Tracks Pull'!$AL$8:$AX$138,T16,FALSE)</f>
        <v>31.67700024983305</v>
      </c>
      <c r="J16" s="123">
        <f>HLOOKUP(INPUT!$Q$3,'Tracks Pull'!$AL$8:$AX$138,T16,FALSE)</f>
        <v>25.172561755565422</v>
      </c>
      <c r="K16" s="123">
        <f t="shared" si="10"/>
        <v>6.5044384942676281</v>
      </c>
      <c r="M16" s="123">
        <f>HLOOKUP(INPUT!$Q$2,'Tracks Pull'!$AZ$8:$BL$138,T16,FALSE)</f>
        <v>31.784939416672451</v>
      </c>
      <c r="N16" s="123">
        <f>HLOOKUP(INPUT!$Q$3,'Tracks Pull'!$AZ$8:$BL$138,T16,FALSE)</f>
        <v>33.066367939037271</v>
      </c>
      <c r="O16" s="123">
        <f t="shared" si="11"/>
        <v>-1.2814285223648199</v>
      </c>
      <c r="Q16" s="123">
        <f>HLOOKUP(INPUT!$Q$2,'Tracks Pull'!$BN$8:$BZ$138,T16,FALSE)</f>
        <v>31.67700024983305</v>
      </c>
      <c r="R16" s="123">
        <f>HLOOKUP(INPUT!$Q$3,'Tracks Pull'!$BN$8:$BZ$138,T16,FALSE)</f>
        <v>25.172561755565422</v>
      </c>
      <c r="S16" s="123">
        <f t="shared" si="12"/>
        <v>6.5044384942676281</v>
      </c>
      <c r="T16" s="199">
        <v>9</v>
      </c>
      <c r="U16" s="190" t="s">
        <v>11</v>
      </c>
      <c r="V16" s="191" t="s">
        <v>129</v>
      </c>
      <c r="W16" s="191" t="s">
        <v>15</v>
      </c>
      <c r="X16" s="102">
        <v>8.5665058052377301</v>
      </c>
      <c r="Y16" s="102">
        <v>10.333202476155376</v>
      </c>
      <c r="Z16" s="102">
        <v>9.5324286729310348</v>
      </c>
      <c r="AA16" s="102">
        <v>11.778833736021761</v>
      </c>
      <c r="AB16" s="102">
        <v>18.059888659783336</v>
      </c>
      <c r="AC16" s="102">
        <v>33.066367939037271</v>
      </c>
      <c r="AD16" s="102">
        <v>31.784939416672451</v>
      </c>
      <c r="AE16" s="102">
        <v>69.408221762956572</v>
      </c>
      <c r="AF16" s="102">
        <v>91.496542116721031</v>
      </c>
      <c r="AG16" s="102">
        <v>160.97971647146045</v>
      </c>
      <c r="AH16" s="102">
        <v>270.36213219199749</v>
      </c>
      <c r="AI16" s="102">
        <v>418.8394621033359</v>
      </c>
      <c r="AJ16" s="178">
        <v>804.79775054194477</v>
      </c>
      <c r="AK16" s="182"/>
      <c r="AL16" s="180">
        <v>12.658984753170499</v>
      </c>
      <c r="AM16" s="102">
        <v>11.318158109883125</v>
      </c>
      <c r="AN16" s="102">
        <v>6.1467207564453199</v>
      </c>
      <c r="AO16" s="102">
        <v>13.972439644879817</v>
      </c>
      <c r="AP16" s="102">
        <v>18.001317750283686</v>
      </c>
      <c r="AQ16" s="102">
        <v>25.172561755565422</v>
      </c>
      <c r="AR16" s="102">
        <v>31.67700024983305</v>
      </c>
      <c r="AS16" s="102">
        <v>59.09566873471573</v>
      </c>
      <c r="AT16" s="102">
        <v>73.691618671692879</v>
      </c>
      <c r="AU16" s="102">
        <v>173.37585551189699</v>
      </c>
      <c r="AV16" s="102">
        <v>265.1007086058687</v>
      </c>
      <c r="AW16" s="102">
        <v>440.47833234126824</v>
      </c>
      <c r="AX16" s="102">
        <v>672.05979610903489</v>
      </c>
      <c r="AY16" s="128"/>
      <c r="AZ16" s="102">
        <v>8.5665058052377301</v>
      </c>
      <c r="BA16" s="102">
        <v>10.333202476155376</v>
      </c>
      <c r="BB16" s="102">
        <v>9.5324286729310348</v>
      </c>
      <c r="BC16" s="102">
        <v>11.778833736021761</v>
      </c>
      <c r="BD16" s="102">
        <v>18.059888659783336</v>
      </c>
      <c r="BE16" s="102">
        <v>33.066367939037271</v>
      </c>
      <c r="BF16" s="102">
        <v>31.784939416672451</v>
      </c>
      <c r="BG16" s="102">
        <v>69.408221762956572</v>
      </c>
      <c r="BH16" s="102">
        <v>91.496542116721031</v>
      </c>
      <c r="BI16" s="102">
        <v>160.97971647146045</v>
      </c>
      <c r="BJ16" s="102">
        <v>270.36213219199749</v>
      </c>
      <c r="BK16" s="102">
        <v>418.8394621033359</v>
      </c>
      <c r="BL16" s="102">
        <v>804.79775054194477</v>
      </c>
      <c r="BM16" s="128"/>
      <c r="BN16" s="102">
        <v>12.658984753170499</v>
      </c>
      <c r="BO16" s="102">
        <v>11.318158109883125</v>
      </c>
      <c r="BP16" s="102">
        <v>6.1467207564453199</v>
      </c>
      <c r="BQ16" s="102">
        <v>13.972439644879817</v>
      </c>
      <c r="BR16" s="102">
        <v>18.001317750283686</v>
      </c>
      <c r="BS16" s="102">
        <v>25.172561755565422</v>
      </c>
      <c r="BT16" s="102">
        <v>31.67700024983305</v>
      </c>
      <c r="BU16" s="102">
        <v>59.09566873471573</v>
      </c>
      <c r="BV16" s="102">
        <v>73.691618671692879</v>
      </c>
      <c r="BW16" s="102">
        <v>173.37585551189699</v>
      </c>
      <c r="BX16" s="102">
        <v>265.1007086058687</v>
      </c>
      <c r="BY16" s="102">
        <v>440.47833234126824</v>
      </c>
      <c r="BZ16" s="102">
        <v>672.05979610903489</v>
      </c>
    </row>
    <row r="17" spans="1:78" outlineLevel="1">
      <c r="A17" s="237">
        <v>26</v>
      </c>
      <c r="B17" s="236" t="s">
        <v>17</v>
      </c>
      <c r="C17" s="190" t="s">
        <v>11</v>
      </c>
      <c r="D17" s="192" t="s">
        <v>101</v>
      </c>
      <c r="E17" s="125">
        <f>HLOOKUP(INPUT!$Q$2,'Tracks Pull'!$X$8:$AJ$138,T17,FALSE)</f>
        <v>5.05173289674876</v>
      </c>
      <c r="F17" s="125">
        <f>HLOOKUP(INPUT!$Q$3,'Tracks Pull'!$X$8:$AJ$138,T17,FALSE)</f>
        <v>5.2553964789378398</v>
      </c>
      <c r="G17" s="125">
        <f t="shared" si="9"/>
        <v>-0.20366358218907976</v>
      </c>
      <c r="I17" s="125">
        <f>HLOOKUP(INPUT!$Q$2,'Tracks Pull'!$AL$8:$AX$138,T17,FALSE)</f>
        <v>3.32562498602868</v>
      </c>
      <c r="J17" s="125">
        <f>HLOOKUP(INPUT!$Q$3,'Tracks Pull'!$AL$8:$AX$138,T17,FALSE)</f>
        <v>2.64275340709067</v>
      </c>
      <c r="K17" s="125">
        <f t="shared" si="10"/>
        <v>0.68287157893800998</v>
      </c>
      <c r="M17" s="125">
        <f>HLOOKUP(INPUT!$Q$2,'Tracks Pull'!$AZ$8:$BL$138,T17,FALSE)</f>
        <v>5.05173289674876</v>
      </c>
      <c r="N17" s="125">
        <f>HLOOKUP(INPUT!$Q$3,'Tracks Pull'!$AZ$8:$BL$138,T17,FALSE)</f>
        <v>5.2553964789378398</v>
      </c>
      <c r="O17" s="125">
        <f t="shared" si="11"/>
        <v>-0.20366358218907976</v>
      </c>
      <c r="Q17" s="125">
        <f>HLOOKUP(INPUT!$Q$2,'Tracks Pull'!$BN$8:$BZ$138,T17,FALSE)</f>
        <v>3.32562498602868</v>
      </c>
      <c r="R17" s="125">
        <f>HLOOKUP(INPUT!$Q$3,'Tracks Pull'!$BN$8:$BZ$138,T17,FALSE)</f>
        <v>2.64275340709067</v>
      </c>
      <c r="S17" s="125">
        <f t="shared" si="12"/>
        <v>0.68287157893800998</v>
      </c>
      <c r="T17" s="109">
        <v>10</v>
      </c>
      <c r="U17" s="190" t="s">
        <v>11</v>
      </c>
      <c r="V17" s="191" t="s">
        <v>129</v>
      </c>
      <c r="W17" s="193" t="s">
        <v>17</v>
      </c>
      <c r="X17" s="102">
        <v>1.36151586193708</v>
      </c>
      <c r="Y17" s="102">
        <v>1.6423054388512901</v>
      </c>
      <c r="Z17" s="102">
        <v>1.5150346169197799</v>
      </c>
      <c r="AA17" s="102">
        <v>1.8720665498070199</v>
      </c>
      <c r="AB17" s="102">
        <v>2.8703447396345099</v>
      </c>
      <c r="AC17" s="102">
        <v>5.2553964789378398</v>
      </c>
      <c r="AD17" s="102">
        <v>5.05173289674876</v>
      </c>
      <c r="AE17" s="102">
        <v>11.0313816423649</v>
      </c>
      <c r="AF17" s="102">
        <v>14.541984355878499</v>
      </c>
      <c r="AG17" s="102">
        <v>25.585278573209902</v>
      </c>
      <c r="AH17" s="102">
        <v>42.969950621111899</v>
      </c>
      <c r="AI17" s="102">
        <v>66.568164923231606</v>
      </c>
      <c r="AJ17" s="178">
        <v>127.910367181935</v>
      </c>
      <c r="AK17" s="182"/>
      <c r="AL17" s="180">
        <v>1.3290095545938501</v>
      </c>
      <c r="AM17" s="102">
        <v>1.1882422296678401</v>
      </c>
      <c r="AN17" s="102">
        <v>0.64531641154636699</v>
      </c>
      <c r="AO17" s="102">
        <v>1.4669032431199001</v>
      </c>
      <c r="AP17" s="102">
        <v>1.88987693341009</v>
      </c>
      <c r="AQ17" s="102">
        <v>2.64275340709067</v>
      </c>
      <c r="AR17" s="102">
        <v>3.32562498602868</v>
      </c>
      <c r="AS17" s="102">
        <v>6.2041869798350104</v>
      </c>
      <c r="AT17" s="102">
        <v>7.7365497484810302</v>
      </c>
      <c r="AU17" s="102">
        <v>18.201946917858901</v>
      </c>
      <c r="AV17" s="102">
        <v>27.831724386788501</v>
      </c>
      <c r="AW17" s="102">
        <v>46.243827896743099</v>
      </c>
      <c r="AX17" s="102">
        <v>70.556518370369602</v>
      </c>
      <c r="AY17" s="128"/>
      <c r="AZ17" s="102">
        <v>1.36151586193708</v>
      </c>
      <c r="BA17" s="102">
        <v>1.6423054388512901</v>
      </c>
      <c r="BB17" s="102">
        <v>1.5150346169197799</v>
      </c>
      <c r="BC17" s="102">
        <v>1.8720665498070199</v>
      </c>
      <c r="BD17" s="102">
        <v>2.8703447396345099</v>
      </c>
      <c r="BE17" s="102">
        <v>5.2553964789378398</v>
      </c>
      <c r="BF17" s="102">
        <v>5.05173289674876</v>
      </c>
      <c r="BG17" s="102">
        <v>11.0313816423649</v>
      </c>
      <c r="BH17" s="102">
        <v>14.541984355878499</v>
      </c>
      <c r="BI17" s="102">
        <v>25.585278573209902</v>
      </c>
      <c r="BJ17" s="102">
        <v>42.969950621111899</v>
      </c>
      <c r="BK17" s="102">
        <v>66.568164923231606</v>
      </c>
      <c r="BL17" s="102">
        <v>127.910367181935</v>
      </c>
      <c r="BM17" s="128"/>
      <c r="BN17" s="102">
        <v>1.3290095545938501</v>
      </c>
      <c r="BO17" s="102">
        <v>1.1882422296678401</v>
      </c>
      <c r="BP17" s="102">
        <v>0.64531641154636699</v>
      </c>
      <c r="BQ17" s="102">
        <v>1.4669032431199001</v>
      </c>
      <c r="BR17" s="102">
        <v>1.88987693341009</v>
      </c>
      <c r="BS17" s="102">
        <v>2.64275340709067</v>
      </c>
      <c r="BT17" s="102">
        <v>3.32562498602868</v>
      </c>
      <c r="BU17" s="102">
        <v>6.2041869798350104</v>
      </c>
      <c r="BV17" s="102">
        <v>7.7365497484810302</v>
      </c>
      <c r="BW17" s="102">
        <v>18.201946917858901</v>
      </c>
      <c r="BX17" s="102">
        <v>27.831724386788501</v>
      </c>
      <c r="BY17" s="102">
        <v>46.243827896743099</v>
      </c>
      <c r="BZ17" s="102">
        <v>70.556518370369602</v>
      </c>
    </row>
    <row r="18" spans="1:78" outlineLevel="1">
      <c r="A18" s="237">
        <v>26</v>
      </c>
      <c r="B18" s="236" t="s">
        <v>18</v>
      </c>
      <c r="C18" s="190" t="s">
        <v>11</v>
      </c>
      <c r="D18" s="192" t="s">
        <v>102</v>
      </c>
      <c r="E18" s="125">
        <f>HLOOKUP(INPUT!$Q$2,'Tracks Pull'!$X$8:$AJ$138,T18,FALSE)</f>
        <v>9.8694088126059995E-2</v>
      </c>
      <c r="F18" s="125">
        <f>HLOOKUP(INPUT!$Q$3,'Tracks Pull'!$X$8:$AJ$138,T18,FALSE)</f>
        <v>0.102672998321722</v>
      </c>
      <c r="G18" s="125">
        <f t="shared" si="9"/>
        <v>-3.9789101956620027E-3</v>
      </c>
      <c r="I18" s="125">
        <f>HLOOKUP(INPUT!$Q$2,'Tracks Pull'!$AL$8:$AX$138,T18,FALSE)</f>
        <v>2.1303101583839599</v>
      </c>
      <c r="J18" s="125">
        <f>HLOOKUP(INPUT!$Q$3,'Tracks Pull'!$AL$8:$AX$138,T18,FALSE)</f>
        <v>1.6928801211444</v>
      </c>
      <c r="K18" s="125">
        <f t="shared" si="10"/>
        <v>0.43743003723955987</v>
      </c>
      <c r="M18" s="125">
        <f>HLOOKUP(INPUT!$Q$2,'Tracks Pull'!$AZ$8:$BL$138,T18,FALSE)</f>
        <v>9.8694088126059995E-2</v>
      </c>
      <c r="N18" s="125">
        <f>HLOOKUP(INPUT!$Q$3,'Tracks Pull'!$AZ$8:$BL$138,T18,FALSE)</f>
        <v>0.102672998321722</v>
      </c>
      <c r="O18" s="125">
        <f t="shared" si="11"/>
        <v>-3.9789101956620027E-3</v>
      </c>
      <c r="Q18" s="125">
        <f>HLOOKUP(INPUT!$Q$2,'Tracks Pull'!$BN$8:$BZ$138,T18,FALSE)</f>
        <v>2.1303101583839599</v>
      </c>
      <c r="R18" s="125">
        <f>HLOOKUP(INPUT!$Q$3,'Tracks Pull'!$BN$8:$BZ$138,T18,FALSE)</f>
        <v>1.6928801211444</v>
      </c>
      <c r="S18" s="125">
        <f t="shared" si="12"/>
        <v>0.43743003723955987</v>
      </c>
      <c r="T18" s="109">
        <v>11</v>
      </c>
      <c r="U18" s="190" t="s">
        <v>11</v>
      </c>
      <c r="V18" s="191" t="s">
        <v>129</v>
      </c>
      <c r="W18" s="193" t="s">
        <v>18</v>
      </c>
      <c r="X18" s="102">
        <v>2.6599499460775E-2</v>
      </c>
      <c r="Y18" s="102">
        <v>3.2085195520969001E-2</v>
      </c>
      <c r="Z18" s="102">
        <v>2.9598746222815001E-2</v>
      </c>
      <c r="AA18" s="102">
        <v>3.6573964780167001E-2</v>
      </c>
      <c r="AB18" s="102">
        <v>5.6077006143373E-2</v>
      </c>
      <c r="AC18" s="102">
        <v>0.102672998321722</v>
      </c>
      <c r="AD18" s="102">
        <v>9.8694088126059995E-2</v>
      </c>
      <c r="AE18" s="102">
        <v>0.21551657108879399</v>
      </c>
      <c r="AF18" s="102">
        <v>0.28410209226828698</v>
      </c>
      <c r="AG18" s="102">
        <v>0.49985139552000002</v>
      </c>
      <c r="AH18" s="102">
        <v>0.839490167047792</v>
      </c>
      <c r="AI18" s="102">
        <v>1.3005209241272</v>
      </c>
      <c r="AJ18" s="178">
        <v>2.4989438889406101</v>
      </c>
      <c r="AK18" s="182"/>
      <c r="AL18" s="180">
        <v>0.85132946938840603</v>
      </c>
      <c r="AM18" s="102">
        <v>0.76115752771782497</v>
      </c>
      <c r="AN18" s="102">
        <v>0.41337315923006301</v>
      </c>
      <c r="AO18" s="102">
        <v>0.93966063320819304</v>
      </c>
      <c r="AP18" s="102">
        <v>1.21060674196664</v>
      </c>
      <c r="AQ18" s="102">
        <v>1.6928801211444</v>
      </c>
      <c r="AR18" s="102">
        <v>2.1303101583839599</v>
      </c>
      <c r="AS18" s="102">
        <v>3.97424321839698</v>
      </c>
      <c r="AT18" s="102">
        <v>4.9558355464827102</v>
      </c>
      <c r="AU18" s="102">
        <v>11.659700833492</v>
      </c>
      <c r="AV18" s="102">
        <v>17.8282895502659</v>
      </c>
      <c r="AW18" s="102">
        <v>29.622611312116799</v>
      </c>
      <c r="AX18" s="102">
        <v>45.196697900713502</v>
      </c>
      <c r="AY18" s="128"/>
      <c r="AZ18" s="102">
        <v>2.6599499460775E-2</v>
      </c>
      <c r="BA18" s="102">
        <v>3.2085195520969001E-2</v>
      </c>
      <c r="BB18" s="102">
        <v>2.9598746222815001E-2</v>
      </c>
      <c r="BC18" s="102">
        <v>3.6573964780167001E-2</v>
      </c>
      <c r="BD18" s="102">
        <v>5.6077006143373E-2</v>
      </c>
      <c r="BE18" s="102">
        <v>0.102672998321722</v>
      </c>
      <c r="BF18" s="102">
        <v>9.8694088126059995E-2</v>
      </c>
      <c r="BG18" s="102">
        <v>0.21551657108879399</v>
      </c>
      <c r="BH18" s="102">
        <v>0.28410209226828698</v>
      </c>
      <c r="BI18" s="102">
        <v>0.49985139552000002</v>
      </c>
      <c r="BJ18" s="102">
        <v>0.839490167047792</v>
      </c>
      <c r="BK18" s="102">
        <v>1.3005209241272</v>
      </c>
      <c r="BL18" s="102">
        <v>2.4989438889406101</v>
      </c>
      <c r="BM18" s="128"/>
      <c r="BN18" s="102">
        <v>0.85132946938840603</v>
      </c>
      <c r="BO18" s="102">
        <v>0.76115752771782497</v>
      </c>
      <c r="BP18" s="102">
        <v>0.41337315923006301</v>
      </c>
      <c r="BQ18" s="102">
        <v>0.93966063320819304</v>
      </c>
      <c r="BR18" s="102">
        <v>1.21060674196664</v>
      </c>
      <c r="BS18" s="102">
        <v>1.6928801211444</v>
      </c>
      <c r="BT18" s="102">
        <v>2.1303101583839599</v>
      </c>
      <c r="BU18" s="102">
        <v>3.97424321839698</v>
      </c>
      <c r="BV18" s="102">
        <v>4.9558355464827102</v>
      </c>
      <c r="BW18" s="102">
        <v>11.659700833492</v>
      </c>
      <c r="BX18" s="102">
        <v>17.8282895502659</v>
      </c>
      <c r="BY18" s="102">
        <v>29.622611312116799</v>
      </c>
      <c r="BZ18" s="102">
        <v>45.196697900713502</v>
      </c>
    </row>
    <row r="19" spans="1:78" outlineLevel="1">
      <c r="A19" s="237">
        <v>26</v>
      </c>
      <c r="B19" s="236" t="s">
        <v>19</v>
      </c>
      <c r="C19" s="190" t="s">
        <v>11</v>
      </c>
      <c r="D19" s="192" t="s">
        <v>103</v>
      </c>
      <c r="E19" s="125">
        <f>HLOOKUP(INPUT!$Q$2,'Tracks Pull'!$X$8:$AJ$138,T19,FALSE)</f>
        <v>1.51206765590402</v>
      </c>
      <c r="F19" s="125">
        <f>HLOOKUP(INPUT!$Q$3,'Tracks Pull'!$X$8:$AJ$138,T19,FALSE)</f>
        <v>1.57302755255885</v>
      </c>
      <c r="G19" s="125">
        <f t="shared" si="9"/>
        <v>-6.0959896654829926E-2</v>
      </c>
      <c r="I19" s="125">
        <f>HLOOKUP(INPUT!$Q$2,'Tracks Pull'!$AL$8:$AX$138,T19,FALSE)</f>
        <v>2.11610077457718</v>
      </c>
      <c r="J19" s="125">
        <f>HLOOKUP(INPUT!$Q$3,'Tracks Pull'!$AL$8:$AX$138,T19,FALSE)</f>
        <v>1.68158843984366</v>
      </c>
      <c r="K19" s="125">
        <f t="shared" si="10"/>
        <v>0.43451233473352002</v>
      </c>
      <c r="M19" s="125">
        <f>HLOOKUP(INPUT!$Q$2,'Tracks Pull'!$AZ$8:$BL$138,T19,FALSE)</f>
        <v>1.51206765590402</v>
      </c>
      <c r="N19" s="125">
        <f>HLOOKUP(INPUT!$Q$3,'Tracks Pull'!$AZ$8:$BL$138,T19,FALSE)</f>
        <v>1.57302755255885</v>
      </c>
      <c r="O19" s="125">
        <f t="shared" si="11"/>
        <v>-6.0959896654829926E-2</v>
      </c>
      <c r="Q19" s="125">
        <f>HLOOKUP(INPUT!$Q$2,'Tracks Pull'!$BN$8:$BZ$138,T19,FALSE)</f>
        <v>2.11610077457718</v>
      </c>
      <c r="R19" s="125">
        <f>HLOOKUP(INPUT!$Q$3,'Tracks Pull'!$BN$8:$BZ$138,T19,FALSE)</f>
        <v>1.68158843984366</v>
      </c>
      <c r="S19" s="125">
        <f t="shared" si="12"/>
        <v>0.43451233473352002</v>
      </c>
      <c r="T19" s="199">
        <v>12</v>
      </c>
      <c r="U19" s="190" t="s">
        <v>11</v>
      </c>
      <c r="V19" s="191" t="s">
        <v>129</v>
      </c>
      <c r="W19" s="193" t="s">
        <v>19</v>
      </c>
      <c r="X19" s="102">
        <v>0.40752433668064503</v>
      </c>
      <c r="Y19" s="102">
        <v>0.49156932600306202</v>
      </c>
      <c r="Z19" s="102">
        <v>0.45347505274748201</v>
      </c>
      <c r="AA19" s="102">
        <v>0.56034064696588104</v>
      </c>
      <c r="AB19" s="102">
        <v>0.85914190849022298</v>
      </c>
      <c r="AC19" s="102">
        <v>1.57302755255885</v>
      </c>
      <c r="AD19" s="102">
        <v>1.51206765590402</v>
      </c>
      <c r="AE19" s="102">
        <v>3.30187595470229</v>
      </c>
      <c r="AF19" s="102">
        <v>4.3526577209451602</v>
      </c>
      <c r="AG19" s="102">
        <v>7.6580993074164798</v>
      </c>
      <c r="AH19" s="102">
        <v>12.861620722622201</v>
      </c>
      <c r="AI19" s="102">
        <v>19.924958652917599</v>
      </c>
      <c r="AJ19" s="178">
        <v>38.285699783353003</v>
      </c>
      <c r="AK19" s="182"/>
      <c r="AL19" s="180">
        <v>0.84565101588765401</v>
      </c>
      <c r="AM19" s="102">
        <v>0.75608053017068499</v>
      </c>
      <c r="AN19" s="102">
        <v>0.41061591852884199</v>
      </c>
      <c r="AO19" s="102">
        <v>0.93339300192791697</v>
      </c>
      <c r="AP19" s="102">
        <v>1.2025318727895</v>
      </c>
      <c r="AQ19" s="102">
        <v>1.68158843984366</v>
      </c>
      <c r="AR19" s="102">
        <v>2.11610077457718</v>
      </c>
      <c r="AS19" s="102">
        <v>3.94773461493872</v>
      </c>
      <c r="AT19" s="102">
        <v>4.9227796231064298</v>
      </c>
      <c r="AU19" s="102">
        <v>11.581929451910099</v>
      </c>
      <c r="AV19" s="102">
        <v>17.709373059236999</v>
      </c>
      <c r="AW19" s="102">
        <v>29.4250255043242</v>
      </c>
      <c r="AX19" s="102">
        <v>44.8952313632035</v>
      </c>
      <c r="AY19" s="128"/>
      <c r="AZ19" s="102">
        <v>0.40752433668064503</v>
      </c>
      <c r="BA19" s="102">
        <v>0.49156932600306202</v>
      </c>
      <c r="BB19" s="102">
        <v>0.45347505274748201</v>
      </c>
      <c r="BC19" s="102">
        <v>0.56034064696588104</v>
      </c>
      <c r="BD19" s="102">
        <v>0.85914190849022298</v>
      </c>
      <c r="BE19" s="102">
        <v>1.57302755255885</v>
      </c>
      <c r="BF19" s="102">
        <v>1.51206765590402</v>
      </c>
      <c r="BG19" s="102">
        <v>3.30187595470229</v>
      </c>
      <c r="BH19" s="102">
        <v>4.3526577209451602</v>
      </c>
      <c r="BI19" s="102">
        <v>7.6580993074164798</v>
      </c>
      <c r="BJ19" s="102">
        <v>12.861620722622201</v>
      </c>
      <c r="BK19" s="102">
        <v>19.924958652917599</v>
      </c>
      <c r="BL19" s="102">
        <v>38.285699783353003</v>
      </c>
      <c r="BM19" s="128"/>
      <c r="BN19" s="102">
        <v>0.84565101588765401</v>
      </c>
      <c r="BO19" s="102">
        <v>0.75608053017068499</v>
      </c>
      <c r="BP19" s="102">
        <v>0.41061591852884199</v>
      </c>
      <c r="BQ19" s="102">
        <v>0.93339300192791697</v>
      </c>
      <c r="BR19" s="102">
        <v>1.2025318727895</v>
      </c>
      <c r="BS19" s="102">
        <v>1.68158843984366</v>
      </c>
      <c r="BT19" s="102">
        <v>2.11610077457718</v>
      </c>
      <c r="BU19" s="102">
        <v>3.94773461493872</v>
      </c>
      <c r="BV19" s="102">
        <v>4.9227796231064298</v>
      </c>
      <c r="BW19" s="102">
        <v>11.581929451910099</v>
      </c>
      <c r="BX19" s="102">
        <v>17.709373059236999</v>
      </c>
      <c r="BY19" s="102">
        <v>29.4250255043242</v>
      </c>
      <c r="BZ19" s="102">
        <v>44.8952313632035</v>
      </c>
    </row>
    <row r="20" spans="1:78" outlineLevel="1">
      <c r="A20" s="237">
        <v>26</v>
      </c>
      <c r="B20" s="236" t="s">
        <v>77</v>
      </c>
      <c r="C20" s="190" t="s">
        <v>11</v>
      </c>
      <c r="D20" s="192" t="s">
        <v>20</v>
      </c>
      <c r="E20" s="125">
        <f>HLOOKUP(INPUT!$Q$2,'Tracks Pull'!$X$8:$AJ$138,T20,FALSE)</f>
        <v>16.915640428310098</v>
      </c>
      <c r="F20" s="125">
        <f>HLOOKUP(INPUT!$Q$3,'Tracks Pull'!$X$8:$AJ$138,T20,FALSE)</f>
        <v>17.5976044187003</v>
      </c>
      <c r="G20" s="125">
        <f t="shared" si="9"/>
        <v>-0.6819639903902015</v>
      </c>
      <c r="I20" s="125">
        <f>HLOOKUP(INPUT!$Q$2,'Tracks Pull'!$AL$8:$AX$138,T20,FALSE)</f>
        <v>12.7414758184714</v>
      </c>
      <c r="J20" s="125">
        <f>HLOOKUP(INPUT!$Q$3,'Tracks Pull'!$AL$8:$AX$138,T20,FALSE)</f>
        <v>10.125188129175999</v>
      </c>
      <c r="K20" s="125">
        <f t="shared" si="10"/>
        <v>2.616287689295401</v>
      </c>
      <c r="M20" s="125">
        <f>HLOOKUP(INPUT!$Q$2,'Tracks Pull'!$AZ$8:$BL$138,T20,FALSE)</f>
        <v>16.915640428310098</v>
      </c>
      <c r="N20" s="125">
        <f>HLOOKUP(INPUT!$Q$3,'Tracks Pull'!$AZ$8:$BL$138,T20,FALSE)</f>
        <v>17.5976044187003</v>
      </c>
      <c r="O20" s="125">
        <f t="shared" si="11"/>
        <v>-0.6819639903902015</v>
      </c>
      <c r="Q20" s="125">
        <f>HLOOKUP(INPUT!$Q$2,'Tracks Pull'!$BN$8:$BZ$138,T20,FALSE)</f>
        <v>12.7414758184714</v>
      </c>
      <c r="R20" s="125">
        <f>HLOOKUP(INPUT!$Q$3,'Tracks Pull'!$BN$8:$BZ$138,T20,FALSE)</f>
        <v>10.125188129175999</v>
      </c>
      <c r="S20" s="125">
        <f t="shared" si="12"/>
        <v>2.616287689295401</v>
      </c>
      <c r="T20" s="109">
        <v>13</v>
      </c>
      <c r="U20" s="190" t="s">
        <v>11</v>
      </c>
      <c r="V20" s="191" t="s">
        <v>129</v>
      </c>
      <c r="W20" s="193" t="s">
        <v>77</v>
      </c>
      <c r="X20" s="102">
        <v>4.5590123683678501</v>
      </c>
      <c r="Y20" s="102">
        <v>5.4992314211516904</v>
      </c>
      <c r="Z20" s="102">
        <v>5.07306727019383</v>
      </c>
      <c r="AA20" s="102">
        <v>6.2685825362586698</v>
      </c>
      <c r="AB20" s="102">
        <v>9.6112998278664694</v>
      </c>
      <c r="AC20" s="102">
        <v>17.5976044187003</v>
      </c>
      <c r="AD20" s="102">
        <v>16.915640428310098</v>
      </c>
      <c r="AE20" s="102">
        <v>36.9383910637479</v>
      </c>
      <c r="AF20" s="102">
        <v>48.693583668381798</v>
      </c>
      <c r="AG20" s="102">
        <v>85.671863783832606</v>
      </c>
      <c r="AH20" s="102">
        <v>143.88413813342601</v>
      </c>
      <c r="AI20" s="102">
        <v>222.90235149576901</v>
      </c>
      <c r="AJ20" s="178">
        <v>428.305657192458</v>
      </c>
      <c r="AK20" s="182"/>
      <c r="AL20" s="180">
        <v>5.0918378270294102</v>
      </c>
      <c r="AM20" s="102">
        <v>4.5525156021511801</v>
      </c>
      <c r="AN20" s="102">
        <v>2.4724024769850801</v>
      </c>
      <c r="AO20" s="102">
        <v>5.62015028115629</v>
      </c>
      <c r="AP20" s="102">
        <v>7.2406905012121001</v>
      </c>
      <c r="AQ20" s="102">
        <v>10.125188129175999</v>
      </c>
      <c r="AR20" s="102">
        <v>12.7414758184714</v>
      </c>
      <c r="AS20" s="102">
        <v>23.770118010582301</v>
      </c>
      <c r="AT20" s="102">
        <v>29.641063545287501</v>
      </c>
      <c r="AU20" s="102">
        <v>69.737167442907307</v>
      </c>
      <c r="AV20" s="102">
        <v>106.63175936866401</v>
      </c>
      <c r="AW20" s="102">
        <v>177.174100319567</v>
      </c>
      <c r="AX20" s="102">
        <v>270.32337573489798</v>
      </c>
      <c r="AY20" s="128"/>
      <c r="AZ20" s="102">
        <v>4.5590123683678501</v>
      </c>
      <c r="BA20" s="102">
        <v>5.4992314211516904</v>
      </c>
      <c r="BB20" s="102">
        <v>5.07306727019383</v>
      </c>
      <c r="BC20" s="102">
        <v>6.2685825362586698</v>
      </c>
      <c r="BD20" s="102">
        <v>9.6112998278664694</v>
      </c>
      <c r="BE20" s="102">
        <v>17.5976044187003</v>
      </c>
      <c r="BF20" s="102">
        <v>16.915640428310098</v>
      </c>
      <c r="BG20" s="102">
        <v>36.9383910637479</v>
      </c>
      <c r="BH20" s="102">
        <v>48.693583668381798</v>
      </c>
      <c r="BI20" s="102">
        <v>85.671863783832606</v>
      </c>
      <c r="BJ20" s="102">
        <v>143.88413813342601</v>
      </c>
      <c r="BK20" s="102">
        <v>222.90235149576901</v>
      </c>
      <c r="BL20" s="102">
        <v>428.305657192458</v>
      </c>
      <c r="BM20" s="128"/>
      <c r="BN20" s="102">
        <v>5.0918378270294102</v>
      </c>
      <c r="BO20" s="102">
        <v>4.5525156021511801</v>
      </c>
      <c r="BP20" s="102">
        <v>2.4724024769850801</v>
      </c>
      <c r="BQ20" s="102">
        <v>5.62015028115629</v>
      </c>
      <c r="BR20" s="102">
        <v>7.2406905012121001</v>
      </c>
      <c r="BS20" s="102">
        <v>10.125188129175999</v>
      </c>
      <c r="BT20" s="102">
        <v>12.7414758184714</v>
      </c>
      <c r="BU20" s="102">
        <v>23.770118010582301</v>
      </c>
      <c r="BV20" s="102">
        <v>29.641063545287501</v>
      </c>
      <c r="BW20" s="102">
        <v>69.737167442907307</v>
      </c>
      <c r="BX20" s="102">
        <v>106.63175936866401</v>
      </c>
      <c r="BY20" s="102">
        <v>177.174100319567</v>
      </c>
      <c r="BZ20" s="102">
        <v>270.32337573489798</v>
      </c>
    </row>
    <row r="21" spans="1:78" outlineLevel="1">
      <c r="A21" s="237">
        <v>26</v>
      </c>
      <c r="B21" s="236" t="s">
        <v>78</v>
      </c>
      <c r="C21" s="190" t="s">
        <v>11</v>
      </c>
      <c r="D21" s="192" t="s">
        <v>78</v>
      </c>
      <c r="E21" s="125">
        <f>HLOOKUP(INPUT!$Q$2,'Tracks Pull'!$X$8:$AJ$138,T21,FALSE)</f>
        <v>2.46846327830364</v>
      </c>
      <c r="F21" s="125">
        <f>HLOOKUP(INPUT!$Q$3,'Tracks Pull'!$X$8:$AJ$138,T21,FALSE)</f>
        <v>2.5679808268432902</v>
      </c>
      <c r="G21" s="125">
        <f>E21-F21</f>
        <v>-9.9517548539650225E-2</v>
      </c>
      <c r="I21" s="125">
        <f>HLOOKUP(INPUT!$Q$2,'Tracks Pull'!$AL$8:$AX$138,T21,FALSE)</f>
        <v>2.5734198373760799</v>
      </c>
      <c r="J21" s="125">
        <f>HLOOKUP(INPUT!$Q$3,'Tracks Pull'!$AL$8:$AX$138,T21,FALSE)</f>
        <v>2.04500329161338</v>
      </c>
      <c r="K21" s="125">
        <f>I21-J21</f>
        <v>0.52841654576269992</v>
      </c>
      <c r="M21" s="125">
        <f>HLOOKUP(INPUT!$Q$2,'Tracks Pull'!$AZ$8:$BL$138,T21,FALSE)</f>
        <v>2.46846327830364</v>
      </c>
      <c r="N21" s="125">
        <f>HLOOKUP(INPUT!$Q$3,'Tracks Pull'!$AZ$8:$BL$138,T21,FALSE)</f>
        <v>2.5679808268432902</v>
      </c>
      <c r="O21" s="125">
        <f>M21-N21</f>
        <v>-9.9517548539650225E-2</v>
      </c>
      <c r="Q21" s="125">
        <f>HLOOKUP(INPUT!$Q$2,'Tracks Pull'!$BN$8:$BZ$138,T21,FALSE)</f>
        <v>2.5734198373760799</v>
      </c>
      <c r="R21" s="125">
        <f>HLOOKUP(INPUT!$Q$3,'Tracks Pull'!$BN$8:$BZ$138,T21,FALSE)</f>
        <v>2.04500329161338</v>
      </c>
      <c r="S21" s="125">
        <f>Q21-R21</f>
        <v>0.52841654576269992</v>
      </c>
      <c r="T21" s="199">
        <v>14</v>
      </c>
      <c r="U21" s="500" t="s">
        <v>11</v>
      </c>
      <c r="V21" s="427" t="s">
        <v>129</v>
      </c>
      <c r="W21" s="502" t="s">
        <v>78</v>
      </c>
      <c r="X21" s="102">
        <v>0.66528693751457402</v>
      </c>
      <c r="Y21" s="102">
        <v>0.80249109571328303</v>
      </c>
      <c r="Z21" s="102">
        <v>0.74030187138995596</v>
      </c>
      <c r="AA21" s="102">
        <v>0.91476086071639695</v>
      </c>
      <c r="AB21" s="102">
        <v>1.4025564555125001</v>
      </c>
      <c r="AC21" s="102">
        <v>2.5679808268432902</v>
      </c>
      <c r="AD21" s="102">
        <v>2.46846327830364</v>
      </c>
      <c r="AE21" s="102">
        <v>5.3903405127883799</v>
      </c>
      <c r="AF21" s="102">
        <v>7.1057506621648097</v>
      </c>
      <c r="AG21" s="102">
        <v>12.5019120990709</v>
      </c>
      <c r="AH21" s="102">
        <v>20.9967049617768</v>
      </c>
      <c r="AI21" s="102">
        <v>32.527664066089699</v>
      </c>
      <c r="AJ21" s="178">
        <v>62.501729754190102</v>
      </c>
      <c r="AK21" s="182"/>
      <c r="AL21" s="180">
        <v>1.0284080635135899</v>
      </c>
      <c r="AM21" s="102">
        <v>0.91948013930661598</v>
      </c>
      <c r="AN21" s="102">
        <v>0.49935577878877702</v>
      </c>
      <c r="AO21" s="102">
        <v>1.1351123236128799</v>
      </c>
      <c r="AP21" s="102">
        <v>1.4624158800432601</v>
      </c>
      <c r="AQ21" s="102">
        <v>2.04500329161338</v>
      </c>
      <c r="AR21" s="102">
        <v>2.5734198373760799</v>
      </c>
      <c r="AS21" s="102">
        <v>4.8008954454493997</v>
      </c>
      <c r="AT21" s="102">
        <v>5.9866613581596102</v>
      </c>
      <c r="AU21" s="102">
        <v>14.084946881885299</v>
      </c>
      <c r="AV21" s="102">
        <v>21.5366170107093</v>
      </c>
      <c r="AW21" s="102">
        <v>35.784186300510797</v>
      </c>
      <c r="AX21" s="102">
        <v>54.597720667032803</v>
      </c>
      <c r="AY21" s="128"/>
      <c r="AZ21" s="102">
        <v>0.66528693751457402</v>
      </c>
      <c r="BA21" s="102">
        <v>0.80249109571328303</v>
      </c>
      <c r="BB21" s="102">
        <v>0.74030187138995596</v>
      </c>
      <c r="BC21" s="102">
        <v>0.91476086071639695</v>
      </c>
      <c r="BD21" s="102">
        <v>1.4025564555125001</v>
      </c>
      <c r="BE21" s="102">
        <v>2.5679808268432902</v>
      </c>
      <c r="BF21" s="102">
        <v>2.46846327830364</v>
      </c>
      <c r="BG21" s="102">
        <v>5.3903405127883799</v>
      </c>
      <c r="BH21" s="102">
        <v>7.1057506621648097</v>
      </c>
      <c r="BI21" s="102">
        <v>12.5019120990709</v>
      </c>
      <c r="BJ21" s="102">
        <v>20.9967049617768</v>
      </c>
      <c r="BK21" s="102">
        <v>32.527664066089699</v>
      </c>
      <c r="BL21" s="102">
        <v>62.501729754190102</v>
      </c>
      <c r="BM21" s="128"/>
      <c r="BN21" s="102">
        <v>1.0284080635135899</v>
      </c>
      <c r="BO21" s="102">
        <v>0.91948013930661598</v>
      </c>
      <c r="BP21" s="102">
        <v>0.49935577878877702</v>
      </c>
      <c r="BQ21" s="102">
        <v>1.1351123236128799</v>
      </c>
      <c r="BR21" s="102">
        <v>1.4624158800432601</v>
      </c>
      <c r="BS21" s="102">
        <v>2.04500329161338</v>
      </c>
      <c r="BT21" s="102">
        <v>2.5734198373760799</v>
      </c>
      <c r="BU21" s="102">
        <v>4.8008954454493997</v>
      </c>
      <c r="BV21" s="102">
        <v>5.9866613581596102</v>
      </c>
      <c r="BW21" s="102">
        <v>14.084946881885299</v>
      </c>
      <c r="BX21" s="102">
        <v>21.5366170107093</v>
      </c>
      <c r="BY21" s="102">
        <v>35.784186300510797</v>
      </c>
      <c r="BZ21" s="102">
        <v>54.597720667032803</v>
      </c>
    </row>
    <row r="22" spans="1:78" outlineLevel="1">
      <c r="A22" s="237">
        <v>26</v>
      </c>
      <c r="B22" s="236" t="s">
        <v>393</v>
      </c>
      <c r="C22" s="190" t="s">
        <v>11</v>
      </c>
      <c r="D22" s="192" t="s">
        <v>393</v>
      </c>
      <c r="E22" s="125">
        <f>HLOOKUP(INPUT!$Q$2,'Tracks Pull'!$X$8:$AJ$138,T22,FALSE)</f>
        <v>0.78398828211135296</v>
      </c>
      <c r="F22" s="125">
        <f>HLOOKUP(INPUT!$Q$3,'Tracks Pull'!$X$8:$AJ$138,T22,FALSE)</f>
        <v>0.815595230695634</v>
      </c>
      <c r="G22" s="125">
        <f>E22-F22</f>
        <v>-3.1606948584281036E-2</v>
      </c>
      <c r="I22" s="125">
        <f>HLOOKUP(INPUT!$Q$2,'Tracks Pull'!$AL$8:$AX$138,T22,FALSE)</f>
        <v>1.70337314641935</v>
      </c>
      <c r="J22" s="125">
        <f>HLOOKUP(INPUT!$Q$3,'Tracks Pull'!$AL$8:$AX$138,T22,FALSE)</f>
        <v>1.3536087818555</v>
      </c>
      <c r="K22" s="125">
        <f>I22-J22</f>
        <v>0.34976436456384996</v>
      </c>
      <c r="M22" s="125">
        <f>HLOOKUP(INPUT!$Q$2,'Tracks Pull'!$AZ$8:$BL$138,T22,FALSE)</f>
        <v>0.78398828211135296</v>
      </c>
      <c r="N22" s="125">
        <f>HLOOKUP(INPUT!$Q$3,'Tracks Pull'!$AZ$8:$BL$138,T22,FALSE)</f>
        <v>0.815595230695634</v>
      </c>
      <c r="O22" s="125">
        <f>M22-N22</f>
        <v>-3.1606948584281036E-2</v>
      </c>
      <c r="Q22" s="125">
        <f>HLOOKUP(INPUT!$Q$2,'Tracks Pull'!$BN$8:$BZ$138,T22,FALSE)</f>
        <v>1.70337314641935</v>
      </c>
      <c r="R22" s="125">
        <f>HLOOKUP(INPUT!$Q$3,'Tracks Pull'!$BN$8:$BZ$138,T22,FALSE)</f>
        <v>1.3536087818555</v>
      </c>
      <c r="S22" s="125">
        <f>Q22-R22</f>
        <v>0.34976436456384996</v>
      </c>
      <c r="T22" s="109">
        <v>15</v>
      </c>
      <c r="U22" s="500" t="s">
        <v>11</v>
      </c>
      <c r="V22" s="427" t="s">
        <v>129</v>
      </c>
      <c r="W22" s="502" t="s">
        <v>393</v>
      </c>
      <c r="X22" s="102">
        <v>0.21129630237465299</v>
      </c>
      <c r="Y22" s="102">
        <v>0.254872584521601</v>
      </c>
      <c r="Z22" s="102">
        <v>0.23512117741272601</v>
      </c>
      <c r="AA22" s="102">
        <v>0.29052965950078602</v>
      </c>
      <c r="AB22" s="102">
        <v>0.44545439901260298</v>
      </c>
      <c r="AC22" s="102">
        <v>0.815595230695634</v>
      </c>
      <c r="AD22" s="102">
        <v>0.78398828211135296</v>
      </c>
      <c r="AE22" s="102">
        <v>1.7119816347927701</v>
      </c>
      <c r="AF22" s="102">
        <v>2.25679891765314</v>
      </c>
      <c r="AG22" s="102">
        <v>3.9706292881915202</v>
      </c>
      <c r="AH22" s="102">
        <v>6.6685904536909204</v>
      </c>
      <c r="AI22" s="102">
        <v>10.3308433617022</v>
      </c>
      <c r="AJ22" s="178">
        <v>19.8506593837804</v>
      </c>
      <c r="AK22" s="182"/>
      <c r="AL22" s="180">
        <v>0.68071390975843105</v>
      </c>
      <c r="AM22" s="102">
        <v>0.60861339265876202</v>
      </c>
      <c r="AN22" s="102">
        <v>0.33052874301513402</v>
      </c>
      <c r="AO22" s="102">
        <v>0.75134256063841998</v>
      </c>
      <c r="AP22" s="102">
        <v>0.96798816220474904</v>
      </c>
      <c r="AQ22" s="102">
        <v>1.3536087818555</v>
      </c>
      <c r="AR22" s="102">
        <v>1.70337314641935</v>
      </c>
      <c r="AS22" s="102">
        <v>3.17776223753823</v>
      </c>
      <c r="AT22" s="102">
        <v>3.9626329315130802</v>
      </c>
      <c r="AU22" s="102">
        <v>9.3229716888360805</v>
      </c>
      <c r="AV22" s="102">
        <v>14.255309043613099</v>
      </c>
      <c r="AW22" s="102">
        <v>23.685922182409001</v>
      </c>
      <c r="AX22" s="102">
        <v>36.1387947233491</v>
      </c>
      <c r="AY22" s="128"/>
      <c r="AZ22" s="102">
        <v>0.21129630237465299</v>
      </c>
      <c r="BA22" s="102">
        <v>0.254872584521601</v>
      </c>
      <c r="BB22" s="102">
        <v>0.23512117741272601</v>
      </c>
      <c r="BC22" s="102">
        <v>0.29052965950078602</v>
      </c>
      <c r="BD22" s="102">
        <v>0.44545439901260298</v>
      </c>
      <c r="BE22" s="102">
        <v>0.815595230695634</v>
      </c>
      <c r="BF22" s="102">
        <v>0.78398828211135296</v>
      </c>
      <c r="BG22" s="102">
        <v>1.7119816347927701</v>
      </c>
      <c r="BH22" s="102">
        <v>2.25679891765314</v>
      </c>
      <c r="BI22" s="102">
        <v>3.9706292881915202</v>
      </c>
      <c r="BJ22" s="102">
        <v>6.6685904536909204</v>
      </c>
      <c r="BK22" s="102">
        <v>10.3308433617022</v>
      </c>
      <c r="BL22" s="102">
        <v>19.8506593837804</v>
      </c>
      <c r="BM22" s="128"/>
      <c r="BN22" s="102">
        <v>0.68071390975843105</v>
      </c>
      <c r="BO22" s="102">
        <v>0.60861339265876202</v>
      </c>
      <c r="BP22" s="102">
        <v>0.33052874301513402</v>
      </c>
      <c r="BQ22" s="102">
        <v>0.75134256063841998</v>
      </c>
      <c r="BR22" s="102">
        <v>0.96798816220474904</v>
      </c>
      <c r="BS22" s="102">
        <v>1.3536087818555</v>
      </c>
      <c r="BT22" s="102">
        <v>1.70337314641935</v>
      </c>
      <c r="BU22" s="102">
        <v>3.17776223753823</v>
      </c>
      <c r="BV22" s="102">
        <v>3.9626329315130802</v>
      </c>
      <c r="BW22" s="102">
        <v>9.3229716888360805</v>
      </c>
      <c r="BX22" s="102">
        <v>14.255309043613099</v>
      </c>
      <c r="BY22" s="102">
        <v>23.685922182409001</v>
      </c>
      <c r="BZ22" s="102">
        <v>36.1387947233491</v>
      </c>
    </row>
    <row r="23" spans="1:78" outlineLevel="1">
      <c r="A23" s="237">
        <v>26</v>
      </c>
      <c r="B23" s="236" t="s">
        <v>80</v>
      </c>
      <c r="C23" s="190" t="s">
        <v>11</v>
      </c>
      <c r="D23" s="193" t="s">
        <v>80</v>
      </c>
      <c r="E23" s="125">
        <f>HLOOKUP(INPUT!$Q$2,'Tracks Pull'!$X$8:$AJ$138,T23,FALSE)</f>
        <v>4.4678463088000003E-4</v>
      </c>
      <c r="F23" s="125">
        <f>HLOOKUP(INPUT!$Q$3,'Tracks Pull'!$X$8:$AJ$138,T23,FALSE)</f>
        <v>4.6479701598599999E-4</v>
      </c>
      <c r="G23" s="125">
        <f t="shared" si="9"/>
        <v>-1.8012385105999962E-5</v>
      </c>
      <c r="I23" s="125">
        <f>HLOOKUP(INPUT!$Q$2,'Tracks Pull'!$AL$8:$AX$138,T23,FALSE)</f>
        <v>7.4381435253499998E-4</v>
      </c>
      <c r="J23" s="125">
        <f>HLOOKUP(INPUT!$Q$3,'Tracks Pull'!$AL$8:$AX$138,T23,FALSE)</f>
        <v>5.9108225451199995E-4</v>
      </c>
      <c r="K23" s="125">
        <f t="shared" si="10"/>
        <v>1.5273209802300002E-4</v>
      </c>
      <c r="M23" s="125">
        <f>HLOOKUP(INPUT!$Q$2,'Tracks Pull'!$AZ$8:$BL$138,T23,FALSE)</f>
        <v>4.4678463088000003E-4</v>
      </c>
      <c r="N23" s="125">
        <f>HLOOKUP(INPUT!$Q$3,'Tracks Pull'!$AZ$8:$BL$138,T23,FALSE)</f>
        <v>4.6479701598599999E-4</v>
      </c>
      <c r="O23" s="125">
        <f t="shared" si="11"/>
        <v>-1.8012385105999962E-5</v>
      </c>
      <c r="Q23" s="125">
        <f>HLOOKUP(INPUT!$Q$2,'Tracks Pull'!$BN$8:$BZ$138,T23,FALSE)</f>
        <v>7.4381435253499998E-4</v>
      </c>
      <c r="R23" s="125">
        <f>HLOOKUP(INPUT!$Q$3,'Tracks Pull'!$BN$8:$BZ$138,T23,FALSE)</f>
        <v>5.9108225451199995E-4</v>
      </c>
      <c r="S23" s="125">
        <f t="shared" si="12"/>
        <v>1.5273209802300002E-4</v>
      </c>
      <c r="T23" s="199">
        <v>16</v>
      </c>
      <c r="U23" s="190" t="s">
        <v>11</v>
      </c>
      <c r="V23" s="191" t="s">
        <v>129</v>
      </c>
      <c r="W23" s="193" t="s">
        <v>80</v>
      </c>
      <c r="X23" s="102">
        <v>1.2041498912299999E-4</v>
      </c>
      <c r="Y23" s="102">
        <v>1.4524854031E-4</v>
      </c>
      <c r="Z23" s="102">
        <v>1.3399247266700001E-4</v>
      </c>
      <c r="AA23" s="102">
        <v>1.6556903928499999E-4</v>
      </c>
      <c r="AB23" s="102">
        <v>2.53858614698E-4</v>
      </c>
      <c r="AC23" s="102">
        <v>4.6479701598599999E-4</v>
      </c>
      <c r="AD23" s="102">
        <v>4.4678463088000003E-4</v>
      </c>
      <c r="AE23" s="102">
        <v>9.7563586118099997E-4</v>
      </c>
      <c r="AF23" s="102">
        <v>1.286120079088E-3</v>
      </c>
      <c r="AG23" s="102">
        <v>2.2628095105039999E-3</v>
      </c>
      <c r="AH23" s="102">
        <v>3.8003421636820002E-3</v>
      </c>
      <c r="AI23" s="102">
        <v>5.8874120230520003E-3</v>
      </c>
      <c r="AJ23" s="178">
        <v>1.1312630211279E-2</v>
      </c>
      <c r="AK23" s="182"/>
      <c r="AL23" s="180">
        <v>2.9724830235399998E-4</v>
      </c>
      <c r="AM23" s="102">
        <v>2.65764067935E-4</v>
      </c>
      <c r="AN23" s="102">
        <v>1.4433245205100001E-4</v>
      </c>
      <c r="AO23" s="102">
        <v>3.2808981487600001E-4</v>
      </c>
      <c r="AP23" s="102">
        <v>4.2269275504600002E-4</v>
      </c>
      <c r="AQ23" s="102">
        <v>5.9108225451199995E-4</v>
      </c>
      <c r="AR23" s="102">
        <v>7.4381435253499998E-4</v>
      </c>
      <c r="AS23" s="102">
        <v>1.387637914917E-3</v>
      </c>
      <c r="AT23" s="102">
        <v>1.730368507031E-3</v>
      </c>
      <c r="AU23" s="102">
        <v>4.0710751869069998E-3</v>
      </c>
      <c r="AV23" s="102">
        <v>6.2248858911190001E-3</v>
      </c>
      <c r="AW23" s="102">
        <v>1.0342965021687E-2</v>
      </c>
      <c r="AX23" s="102">
        <v>1.5780778424878999E-2</v>
      </c>
      <c r="AY23" s="128"/>
      <c r="AZ23" s="102">
        <v>1.2041498912299999E-4</v>
      </c>
      <c r="BA23" s="102">
        <v>1.4524854031E-4</v>
      </c>
      <c r="BB23" s="102">
        <v>1.3399247266700001E-4</v>
      </c>
      <c r="BC23" s="102">
        <v>1.6556903928499999E-4</v>
      </c>
      <c r="BD23" s="102">
        <v>2.53858614698E-4</v>
      </c>
      <c r="BE23" s="102">
        <v>4.6479701598599999E-4</v>
      </c>
      <c r="BF23" s="102">
        <v>4.4678463088000003E-4</v>
      </c>
      <c r="BG23" s="102">
        <v>9.7563586118099997E-4</v>
      </c>
      <c r="BH23" s="102">
        <v>1.286120079088E-3</v>
      </c>
      <c r="BI23" s="102">
        <v>2.2628095105039999E-3</v>
      </c>
      <c r="BJ23" s="102">
        <v>3.8003421636820002E-3</v>
      </c>
      <c r="BK23" s="102">
        <v>5.8874120230520003E-3</v>
      </c>
      <c r="BL23" s="102">
        <v>1.1312630211279E-2</v>
      </c>
      <c r="BM23" s="128"/>
      <c r="BN23" s="102">
        <v>2.9724830235399998E-4</v>
      </c>
      <c r="BO23" s="102">
        <v>2.65764067935E-4</v>
      </c>
      <c r="BP23" s="102">
        <v>1.4433245205100001E-4</v>
      </c>
      <c r="BQ23" s="102">
        <v>3.2808981487600001E-4</v>
      </c>
      <c r="BR23" s="102">
        <v>4.2269275504600002E-4</v>
      </c>
      <c r="BS23" s="102">
        <v>5.9108225451199995E-4</v>
      </c>
      <c r="BT23" s="102">
        <v>7.4381435253499998E-4</v>
      </c>
      <c r="BU23" s="102">
        <v>1.387637914917E-3</v>
      </c>
      <c r="BV23" s="102">
        <v>1.730368507031E-3</v>
      </c>
      <c r="BW23" s="102">
        <v>4.0710751869069998E-3</v>
      </c>
      <c r="BX23" s="102">
        <v>6.2248858911190001E-3</v>
      </c>
      <c r="BY23" s="102">
        <v>1.0342965021687E-2</v>
      </c>
      <c r="BZ23" s="102">
        <v>1.5780778424878999E-2</v>
      </c>
    </row>
    <row r="24" spans="1:78" outlineLevel="1">
      <c r="A24" s="237">
        <v>26</v>
      </c>
      <c r="B24" s="236" t="s">
        <v>104</v>
      </c>
      <c r="C24" s="190" t="s">
        <v>11</v>
      </c>
      <c r="D24" s="190" t="s">
        <v>24</v>
      </c>
      <c r="E24" s="125">
        <f>HLOOKUP(INPUT!$Q$2,'Tracks Pull'!$X$8:$AJ$138,T24,FALSE)</f>
        <v>0.78244118951920005</v>
      </c>
      <c r="F24" s="125">
        <f>HLOOKUP(INPUT!$Q$3,'Tracks Pull'!$X$8:$AJ$138,T24,FALSE)</f>
        <v>0.81398576615592599</v>
      </c>
      <c r="G24" s="125">
        <f t="shared" si="9"/>
        <v>-3.1544576636725941E-2</v>
      </c>
      <c r="I24" s="125">
        <f>HLOOKUP(INPUT!$Q$2,'Tracks Pull'!$AL$8:$AX$138,T24,FALSE)</f>
        <v>1.64122077449919</v>
      </c>
      <c r="J24" s="125">
        <f>HLOOKUP(INPUT!$Q$3,'Tracks Pull'!$AL$8:$AX$138,T24,FALSE)</f>
        <v>1.3042185489396401</v>
      </c>
      <c r="K24" s="125">
        <f t="shared" si="10"/>
        <v>0.33700222555954995</v>
      </c>
      <c r="M24" s="125">
        <f>HLOOKUP(INPUT!$Q$2,'Tracks Pull'!$AZ$8:$BL$138,T24,FALSE)</f>
        <v>0.78244118951920005</v>
      </c>
      <c r="N24" s="125">
        <f>HLOOKUP(INPUT!$Q$3,'Tracks Pull'!$AZ$8:$BL$138,T24,FALSE)</f>
        <v>0.81398576615592599</v>
      </c>
      <c r="O24" s="125">
        <f t="shared" si="11"/>
        <v>-3.1544576636725941E-2</v>
      </c>
      <c r="Q24" s="125">
        <f>HLOOKUP(INPUT!$Q$2,'Tracks Pull'!$BN$8:$BZ$138,T24,FALSE)</f>
        <v>1.64122077449919</v>
      </c>
      <c r="R24" s="125">
        <f>HLOOKUP(INPUT!$Q$3,'Tracks Pull'!$BN$8:$BZ$138,T24,FALSE)</f>
        <v>1.3042185489396401</v>
      </c>
      <c r="S24" s="125">
        <f t="shared" si="12"/>
        <v>0.33700222555954995</v>
      </c>
      <c r="T24" s="109">
        <v>17</v>
      </c>
      <c r="U24" s="190" t="s">
        <v>11</v>
      </c>
      <c r="V24" s="191" t="s">
        <v>129</v>
      </c>
      <c r="W24" s="192" t="s">
        <v>405</v>
      </c>
      <c r="X24" s="102">
        <v>0.210879338305659</v>
      </c>
      <c r="Y24" s="102">
        <v>0.25436962867844198</v>
      </c>
      <c r="Z24" s="102">
        <v>0.234657198243479</v>
      </c>
      <c r="AA24" s="102">
        <v>0.28995633934502502</v>
      </c>
      <c r="AB24" s="102">
        <v>0.444575356281252</v>
      </c>
      <c r="AC24" s="102">
        <v>0.81398576615592599</v>
      </c>
      <c r="AD24" s="102">
        <v>0.78244118951920005</v>
      </c>
      <c r="AE24" s="102">
        <v>1.7086032754913301</v>
      </c>
      <c r="AF24" s="102">
        <v>2.2523454366928499</v>
      </c>
      <c r="AG24" s="102">
        <v>3.9627937997051399</v>
      </c>
      <c r="AH24" s="102">
        <v>6.6554309114803898</v>
      </c>
      <c r="AI24" s="102">
        <v>10.310456869199401</v>
      </c>
      <c r="AJ24" s="178">
        <v>19.811486849212301</v>
      </c>
      <c r="AK24" s="182"/>
      <c r="AL24" s="180">
        <v>0.65587614348304502</v>
      </c>
      <c r="AM24" s="102">
        <v>0.58640641703769303</v>
      </c>
      <c r="AN24" s="102">
        <v>0.31846846989801703</v>
      </c>
      <c r="AO24" s="102">
        <v>0.72392770889767999</v>
      </c>
      <c r="AP24" s="102">
        <v>0.93266838485700299</v>
      </c>
      <c r="AQ24" s="102">
        <v>1.3042185489396401</v>
      </c>
      <c r="AR24" s="102">
        <v>1.64122077449919</v>
      </c>
      <c r="AS24" s="102">
        <v>3.06181262257777</v>
      </c>
      <c r="AT24" s="102">
        <v>3.8180450963342798</v>
      </c>
      <c r="AU24" s="102">
        <v>8.9827967805819995</v>
      </c>
      <c r="AV24" s="102">
        <v>13.7351639002087</v>
      </c>
      <c r="AW24" s="102">
        <v>22.821674528952901</v>
      </c>
      <c r="AX24" s="102">
        <v>34.820168904271597</v>
      </c>
      <c r="AY24" s="128"/>
      <c r="AZ24" s="102">
        <v>0.210879338305659</v>
      </c>
      <c r="BA24" s="102">
        <v>0.25436962867844198</v>
      </c>
      <c r="BB24" s="102">
        <v>0.234657198243479</v>
      </c>
      <c r="BC24" s="102">
        <v>0.28995633934502502</v>
      </c>
      <c r="BD24" s="102">
        <v>0.444575356281252</v>
      </c>
      <c r="BE24" s="102">
        <v>0.81398576615592599</v>
      </c>
      <c r="BF24" s="102">
        <v>0.78244118951920005</v>
      </c>
      <c r="BG24" s="102">
        <v>1.7086032754913301</v>
      </c>
      <c r="BH24" s="102">
        <v>2.2523454366928499</v>
      </c>
      <c r="BI24" s="102">
        <v>3.9627937997051399</v>
      </c>
      <c r="BJ24" s="102">
        <v>6.6554309114803898</v>
      </c>
      <c r="BK24" s="102">
        <v>10.310456869199401</v>
      </c>
      <c r="BL24" s="102">
        <v>19.811486849212301</v>
      </c>
      <c r="BM24" s="128"/>
      <c r="BN24" s="102">
        <v>0.65587614348304502</v>
      </c>
      <c r="BO24" s="102">
        <v>0.58640641703769303</v>
      </c>
      <c r="BP24" s="102">
        <v>0.31846846989801703</v>
      </c>
      <c r="BQ24" s="102">
        <v>0.72392770889767999</v>
      </c>
      <c r="BR24" s="102">
        <v>0.93266838485700299</v>
      </c>
      <c r="BS24" s="102">
        <v>1.3042185489396401</v>
      </c>
      <c r="BT24" s="102">
        <v>1.64122077449919</v>
      </c>
      <c r="BU24" s="102">
        <v>3.06181262257777</v>
      </c>
      <c r="BV24" s="102">
        <v>3.8180450963342798</v>
      </c>
      <c r="BW24" s="102">
        <v>8.9827967805819995</v>
      </c>
      <c r="BX24" s="102">
        <v>13.7351639002087</v>
      </c>
      <c r="BY24" s="102">
        <v>22.821674528952901</v>
      </c>
      <c r="BZ24" s="102">
        <v>34.820168904271597</v>
      </c>
    </row>
    <row r="25" spans="1:78" outlineLevel="1">
      <c r="A25" s="237">
        <v>26</v>
      </c>
      <c r="B25" s="236" t="s">
        <v>105</v>
      </c>
      <c r="C25" s="190" t="s">
        <v>11</v>
      </c>
      <c r="D25" s="190" t="s">
        <v>130</v>
      </c>
      <c r="E25" s="125">
        <f>HLOOKUP(INPUT!$Q$2,'Tracks Pull'!$X$8:$AJ$138,T25,FALSE)</f>
        <v>4.1714648130184404</v>
      </c>
      <c r="F25" s="125">
        <f>HLOOKUP(INPUT!$Q$3,'Tracks Pull'!$X$8:$AJ$138,T25,FALSE)</f>
        <v>4.3396398698077201</v>
      </c>
      <c r="G25" s="125">
        <f t="shared" si="9"/>
        <v>-0.16817505678927969</v>
      </c>
      <c r="I25" s="125">
        <f>HLOOKUP(INPUT!$Q$2,'Tracks Pull'!$AL$8:$AX$138,T25,FALSE)</f>
        <v>5.4447309397246801</v>
      </c>
      <c r="J25" s="125">
        <f>HLOOKUP(INPUT!$Q$3,'Tracks Pull'!$AL$8:$AX$138,T25,FALSE)</f>
        <v>4.3267299536476598</v>
      </c>
      <c r="K25" s="125">
        <f t="shared" si="10"/>
        <v>1.1180009860770204</v>
      </c>
      <c r="M25" s="125">
        <f>HLOOKUP(INPUT!$Q$2,'Tracks Pull'!$AZ$8:$BL$138,T25,FALSE)</f>
        <v>4.1714648130184404</v>
      </c>
      <c r="N25" s="125">
        <f>HLOOKUP(INPUT!$Q$3,'Tracks Pull'!$AZ$8:$BL$138,T25,FALSE)</f>
        <v>4.3396398698077201</v>
      </c>
      <c r="O25" s="125">
        <f t="shared" si="11"/>
        <v>-0.16817505678927969</v>
      </c>
      <c r="Q25" s="125">
        <f>HLOOKUP(INPUT!$Q$2,'Tracks Pull'!$BN$8:$BZ$138,T25,FALSE)</f>
        <v>5.4447309397246801</v>
      </c>
      <c r="R25" s="125">
        <f>HLOOKUP(INPUT!$Q$3,'Tracks Pull'!$BN$8:$BZ$138,T25,FALSE)</f>
        <v>4.3267299536476598</v>
      </c>
      <c r="S25" s="125">
        <f t="shared" si="12"/>
        <v>1.1180009860770204</v>
      </c>
      <c r="T25" s="199">
        <v>18</v>
      </c>
      <c r="U25" s="190" t="s">
        <v>11</v>
      </c>
      <c r="V25" s="191" t="s">
        <v>129</v>
      </c>
      <c r="W25" s="190" t="s">
        <v>105</v>
      </c>
      <c r="X25" s="102">
        <v>1.1242707456073699</v>
      </c>
      <c r="Y25" s="102">
        <v>1.3561325371747299</v>
      </c>
      <c r="Z25" s="102">
        <v>1.2510387473283</v>
      </c>
      <c r="AA25" s="102">
        <v>1.5458576096085299</v>
      </c>
      <c r="AB25" s="102">
        <v>2.3701851082277101</v>
      </c>
      <c r="AC25" s="102">
        <v>4.3396398698077201</v>
      </c>
      <c r="AD25" s="102">
        <v>4.1714648130184404</v>
      </c>
      <c r="AE25" s="102">
        <v>9.1091554721190295</v>
      </c>
      <c r="AF25" s="102">
        <v>12.0080331426574</v>
      </c>
      <c r="AG25" s="102">
        <v>21.127025415003398</v>
      </c>
      <c r="AH25" s="102">
        <v>35.482405878677802</v>
      </c>
      <c r="AI25" s="102">
        <v>54.968614398276102</v>
      </c>
      <c r="AJ25" s="178">
        <v>105.621893877864</v>
      </c>
      <c r="AK25" s="182"/>
      <c r="AL25" s="180">
        <v>2.17586152121376</v>
      </c>
      <c r="AM25" s="102">
        <v>1.94539650710459</v>
      </c>
      <c r="AN25" s="102">
        <v>1.0565154660009899</v>
      </c>
      <c r="AO25" s="102">
        <v>2.40162180250366</v>
      </c>
      <c r="AP25" s="102">
        <v>3.0941165810453</v>
      </c>
      <c r="AQ25" s="102">
        <v>4.3267299536476598</v>
      </c>
      <c r="AR25" s="102">
        <v>5.4447309397246801</v>
      </c>
      <c r="AS25" s="102">
        <v>10.1575279674824</v>
      </c>
      <c r="AT25" s="102">
        <v>12.6663204538212</v>
      </c>
      <c r="AU25" s="102">
        <v>29.800324439238398</v>
      </c>
      <c r="AV25" s="102">
        <v>45.5662474004911</v>
      </c>
      <c r="AW25" s="102">
        <v>75.710641331622796</v>
      </c>
      <c r="AX25" s="102">
        <v>115.515507666772</v>
      </c>
      <c r="AY25" s="128"/>
      <c r="AZ25" s="102">
        <v>1.1242707456073699</v>
      </c>
      <c r="BA25" s="102">
        <v>1.3561325371747299</v>
      </c>
      <c r="BB25" s="102">
        <v>1.2510387473283</v>
      </c>
      <c r="BC25" s="102">
        <v>1.5458576096085299</v>
      </c>
      <c r="BD25" s="102">
        <v>2.3701851082277101</v>
      </c>
      <c r="BE25" s="102">
        <v>4.3396398698077201</v>
      </c>
      <c r="BF25" s="102">
        <v>4.1714648130184404</v>
      </c>
      <c r="BG25" s="102">
        <v>9.1091554721190295</v>
      </c>
      <c r="BH25" s="102">
        <v>12.0080331426574</v>
      </c>
      <c r="BI25" s="102">
        <v>21.127025415003398</v>
      </c>
      <c r="BJ25" s="102">
        <v>35.482405878677802</v>
      </c>
      <c r="BK25" s="102">
        <v>54.968614398276102</v>
      </c>
      <c r="BL25" s="102">
        <v>105.621893877864</v>
      </c>
      <c r="BM25" s="128"/>
      <c r="BN25" s="102">
        <v>2.17586152121376</v>
      </c>
      <c r="BO25" s="102">
        <v>1.94539650710459</v>
      </c>
      <c r="BP25" s="102">
        <v>1.0565154660009899</v>
      </c>
      <c r="BQ25" s="102">
        <v>2.40162180250366</v>
      </c>
      <c r="BR25" s="102">
        <v>3.0941165810453</v>
      </c>
      <c r="BS25" s="102">
        <v>4.3267299536476598</v>
      </c>
      <c r="BT25" s="102">
        <v>5.4447309397246801</v>
      </c>
      <c r="BU25" s="102">
        <v>10.1575279674824</v>
      </c>
      <c r="BV25" s="102">
        <v>12.6663204538212</v>
      </c>
      <c r="BW25" s="102">
        <v>29.800324439238398</v>
      </c>
      <c r="BX25" s="102">
        <v>45.5662474004911</v>
      </c>
      <c r="BY25" s="102">
        <v>75.710641331622796</v>
      </c>
      <c r="BZ25" s="102">
        <v>115.515507666772</v>
      </c>
    </row>
    <row r="26" spans="1:78">
      <c r="A26" s="237">
        <v>26</v>
      </c>
      <c r="B26" s="236" t="s">
        <v>26</v>
      </c>
      <c r="C26" s="190" t="s">
        <v>11</v>
      </c>
      <c r="D26" s="191" t="s">
        <v>26</v>
      </c>
      <c r="E26" s="123">
        <f>HLOOKUP(INPUT!$Q$2,'Tracks Pull'!$X$8:$AJ$138,T26,FALSE)</f>
        <v>26.66816375747544</v>
      </c>
      <c r="F26" s="123">
        <f>HLOOKUP(INPUT!$Q$3,'Tracks Pull'!$X$8:$AJ$138,T26,FALSE)</f>
        <v>20.798906296003508</v>
      </c>
      <c r="G26" s="123">
        <f t="shared" si="9"/>
        <v>5.8692574614719319</v>
      </c>
      <c r="I26" s="123">
        <f>HLOOKUP(INPUT!$Q$2,'Tracks Pull'!$AL$8:$AX$138,T26,FALSE)</f>
        <v>9.9394986306572743</v>
      </c>
      <c r="J26" s="123">
        <f>HLOOKUP(INPUT!$Q$3,'Tracks Pull'!$AL$8:$AX$138,T26,FALSE)</f>
        <v>5.6561736572901404</v>
      </c>
      <c r="K26" s="123">
        <f t="shared" si="10"/>
        <v>4.2833249733671339</v>
      </c>
      <c r="M26" s="123">
        <f>HLOOKUP(INPUT!$Q$2,'Tracks Pull'!$AZ$8:$BL$138,T26,FALSE)</f>
        <v>26.66816375747544</v>
      </c>
      <c r="N26" s="123">
        <f>HLOOKUP(INPUT!$Q$3,'Tracks Pull'!$AZ$8:$BL$138,T26,FALSE)</f>
        <v>20.798906296003508</v>
      </c>
      <c r="O26" s="123">
        <f t="shared" si="11"/>
        <v>5.8692574614719319</v>
      </c>
      <c r="Q26" s="123">
        <f>HLOOKUP(INPUT!$Q$2,'Tracks Pull'!$BN$8:$BZ$138,T26,FALSE)</f>
        <v>9.9394986306572743</v>
      </c>
      <c r="R26" s="123">
        <f>HLOOKUP(INPUT!$Q$3,'Tracks Pull'!$BN$8:$BZ$138,T26,FALSE)</f>
        <v>5.6561736572901404</v>
      </c>
      <c r="S26" s="123">
        <f t="shared" si="12"/>
        <v>4.2833249733671339</v>
      </c>
      <c r="T26" s="109">
        <v>19</v>
      </c>
      <c r="U26" s="190" t="s">
        <v>11</v>
      </c>
      <c r="V26" s="191" t="s">
        <v>129</v>
      </c>
      <c r="W26" s="191" t="s">
        <v>26</v>
      </c>
      <c r="X26" s="102">
        <v>0.21964522819955498</v>
      </c>
      <c r="Y26" s="102">
        <v>0.43030500909769198</v>
      </c>
      <c r="Z26" s="102">
        <v>9.8168271735551436</v>
      </c>
      <c r="AA26" s="102">
        <v>11.476083927024973</v>
      </c>
      <c r="AB26" s="102">
        <v>16.564715155132738</v>
      </c>
      <c r="AC26" s="102">
        <v>20.798906296003508</v>
      </c>
      <c r="AD26" s="102">
        <v>26.66816375747544</v>
      </c>
      <c r="AE26" s="102">
        <v>42.646208092310182</v>
      </c>
      <c r="AF26" s="102">
        <v>97.183711772500047</v>
      </c>
      <c r="AG26" s="102">
        <v>116.56710216507626</v>
      </c>
      <c r="AH26" s="102">
        <v>143.60232834379548</v>
      </c>
      <c r="AI26" s="102">
        <v>239.02564135517093</v>
      </c>
      <c r="AJ26" s="178">
        <v>457.09575001686409</v>
      </c>
      <c r="AK26" s="182"/>
      <c r="AL26" s="180">
        <v>0.30522714130546297</v>
      </c>
      <c r="AM26" s="102">
        <v>0.51048566501548598</v>
      </c>
      <c r="AN26" s="102">
        <v>2.2803447561705359</v>
      </c>
      <c r="AO26" s="102">
        <v>3.0681293717916178</v>
      </c>
      <c r="AP26" s="102">
        <v>4.5598895407873981</v>
      </c>
      <c r="AQ26" s="102">
        <v>5.6561736572901404</v>
      </c>
      <c r="AR26" s="102">
        <v>9.9394986306572743</v>
      </c>
      <c r="AS26" s="102">
        <v>12.283758083424768</v>
      </c>
      <c r="AT26" s="102">
        <v>24.485358387333367</v>
      </c>
      <c r="AU26" s="102">
        <v>35.349656835416226</v>
      </c>
      <c r="AV26" s="102">
        <v>49.499174598888786</v>
      </c>
      <c r="AW26" s="102">
        <v>96.629904464941973</v>
      </c>
      <c r="AX26" s="102">
        <v>159.24596545222511</v>
      </c>
      <c r="AY26" s="128"/>
      <c r="AZ26" s="102">
        <v>0.21964522819955498</v>
      </c>
      <c r="BA26" s="102">
        <v>0.43030500909769198</v>
      </c>
      <c r="BB26" s="102">
        <v>9.8168271735551436</v>
      </c>
      <c r="BC26" s="102">
        <v>11.476083927024973</v>
      </c>
      <c r="BD26" s="102">
        <v>16.564715155132738</v>
      </c>
      <c r="BE26" s="102">
        <v>20.798906296003508</v>
      </c>
      <c r="BF26" s="102">
        <v>26.66816375747544</v>
      </c>
      <c r="BG26" s="102">
        <v>42.646208092310182</v>
      </c>
      <c r="BH26" s="102">
        <v>97.183711772500047</v>
      </c>
      <c r="BI26" s="102">
        <v>116.56710216507626</v>
      </c>
      <c r="BJ26" s="102">
        <v>143.60232834379548</v>
      </c>
      <c r="BK26" s="102">
        <v>239.02564135517093</v>
      </c>
      <c r="BL26" s="102">
        <v>457.09575001686409</v>
      </c>
      <c r="BM26" s="128"/>
      <c r="BN26" s="102">
        <v>0.30522714130546297</v>
      </c>
      <c r="BO26" s="102">
        <v>0.51048566501548598</v>
      </c>
      <c r="BP26" s="102">
        <v>2.2803447561705359</v>
      </c>
      <c r="BQ26" s="102">
        <v>3.0681293717916178</v>
      </c>
      <c r="BR26" s="102">
        <v>4.5598895407873981</v>
      </c>
      <c r="BS26" s="102">
        <v>5.6561736572901404</v>
      </c>
      <c r="BT26" s="102">
        <v>9.9394986306572743</v>
      </c>
      <c r="BU26" s="102">
        <v>12.283758083424768</v>
      </c>
      <c r="BV26" s="102">
        <v>24.485358387333367</v>
      </c>
      <c r="BW26" s="102">
        <v>35.349656835416226</v>
      </c>
      <c r="BX26" s="102">
        <v>49.499174598888786</v>
      </c>
      <c r="BY26" s="102">
        <v>96.629904464941973</v>
      </c>
      <c r="BZ26" s="102">
        <v>159.24596545222511</v>
      </c>
    </row>
    <row r="27" spans="1:78" outlineLevel="1">
      <c r="A27" s="237">
        <v>26</v>
      </c>
      <c r="B27" s="236" t="s">
        <v>235</v>
      </c>
      <c r="C27" s="190" t="s">
        <v>11</v>
      </c>
      <c r="D27" s="190" t="s">
        <v>139</v>
      </c>
      <c r="E27" s="125">
        <f>HLOOKUP(INPUT!$Q$2,'Tracks Pull'!$X$8:$AJ$138,T27,FALSE)</f>
        <v>5.3218328160774204</v>
      </c>
      <c r="F27" s="125">
        <f>HLOOKUP(INPUT!$Q$3,'Tracks Pull'!$X$8:$AJ$138,T27,FALSE)</f>
        <v>4.1505783101981804</v>
      </c>
      <c r="G27" s="125">
        <f t="shared" si="9"/>
        <v>1.1712545058792401</v>
      </c>
      <c r="I27" s="125">
        <f>HLOOKUP(INPUT!$Q$2,'Tracks Pull'!$AL$8:$AX$138,T27,FALSE)</f>
        <v>2.6692103881972402</v>
      </c>
      <c r="J27" s="125">
        <f>HLOOKUP(INPUT!$Q$3,'Tracks Pull'!$AL$8:$AX$138,T27,FALSE)</f>
        <v>1.51894155273786</v>
      </c>
      <c r="K27" s="125">
        <f t="shared" si="10"/>
        <v>1.1502688354593802</v>
      </c>
      <c r="M27" s="125">
        <f>HLOOKUP(INPUT!$Q$2,'Tracks Pull'!$AZ$8:$BL$138,T27,FALSE)</f>
        <v>5.3218328160774204</v>
      </c>
      <c r="N27" s="125">
        <f>HLOOKUP(INPUT!$Q$3,'Tracks Pull'!$AZ$8:$BL$138,T27,FALSE)</f>
        <v>4.1505783101981804</v>
      </c>
      <c r="O27" s="125">
        <f t="shared" si="11"/>
        <v>1.1712545058792401</v>
      </c>
      <c r="Q27" s="125">
        <f>HLOOKUP(INPUT!$Q$2,'Tracks Pull'!$BN$8:$BZ$138,T27,FALSE)</f>
        <v>2.6692103881972402</v>
      </c>
      <c r="R27" s="125">
        <f>HLOOKUP(INPUT!$Q$3,'Tracks Pull'!$BN$8:$BZ$138,T27,FALSE)</f>
        <v>1.51894155273786</v>
      </c>
      <c r="S27" s="125">
        <f t="shared" si="12"/>
        <v>1.1502688354593802</v>
      </c>
      <c r="T27" s="199">
        <v>20</v>
      </c>
      <c r="U27" s="190" t="s">
        <v>11</v>
      </c>
      <c r="V27" s="191" t="s">
        <v>129</v>
      </c>
      <c r="W27" s="190" t="s">
        <v>299</v>
      </c>
      <c r="X27" s="102">
        <v>4.3831858614545E-2</v>
      </c>
      <c r="Y27" s="102">
        <v>8.5870603584270996E-2</v>
      </c>
      <c r="Z27" s="102">
        <v>1.95902175631953</v>
      </c>
      <c r="AA27" s="102">
        <v>2.29013893113583</v>
      </c>
      <c r="AB27" s="102">
        <v>3.30561359616856</v>
      </c>
      <c r="AC27" s="102">
        <v>4.1505783101981804</v>
      </c>
      <c r="AD27" s="102">
        <v>5.3218328160774204</v>
      </c>
      <c r="AE27" s="102">
        <v>8.5103718340301597</v>
      </c>
      <c r="AF27" s="102">
        <v>19.393741211526901</v>
      </c>
      <c r="AG27" s="102">
        <v>23.261842668236199</v>
      </c>
      <c r="AH27" s="102">
        <v>28.656925553448101</v>
      </c>
      <c r="AI27" s="102">
        <v>47.699365941208697</v>
      </c>
      <c r="AJ27" s="178">
        <v>91.216897595635302</v>
      </c>
      <c r="AK27" s="182"/>
      <c r="AL27" s="180">
        <v>8.1967459990324995E-2</v>
      </c>
      <c r="AM27" s="102">
        <v>0.13708876983818299</v>
      </c>
      <c r="AN27" s="102">
        <v>0.61237695562104999</v>
      </c>
      <c r="AO27" s="102">
        <v>0.82393318776258095</v>
      </c>
      <c r="AP27" s="102">
        <v>1.2245390822591999</v>
      </c>
      <c r="AQ27" s="102">
        <v>1.51894155273786</v>
      </c>
      <c r="AR27" s="102">
        <v>2.6692103881972402</v>
      </c>
      <c r="AS27" s="102">
        <v>3.2987513657126</v>
      </c>
      <c r="AT27" s="102">
        <v>6.5754396066435001</v>
      </c>
      <c r="AU27" s="102">
        <v>9.4930010808866108</v>
      </c>
      <c r="AV27" s="102">
        <v>13.2927943305935</v>
      </c>
      <c r="AW27" s="102">
        <v>25.949552828830502</v>
      </c>
      <c r="AX27" s="102">
        <v>42.764831613591099</v>
      </c>
      <c r="AY27" s="128"/>
      <c r="AZ27" s="102">
        <v>4.3831858614545E-2</v>
      </c>
      <c r="BA27" s="102">
        <v>8.5870603584270996E-2</v>
      </c>
      <c r="BB27" s="102">
        <v>1.95902175631953</v>
      </c>
      <c r="BC27" s="102">
        <v>2.29013893113583</v>
      </c>
      <c r="BD27" s="102">
        <v>3.30561359616856</v>
      </c>
      <c r="BE27" s="102">
        <v>4.1505783101981804</v>
      </c>
      <c r="BF27" s="102">
        <v>5.3218328160774204</v>
      </c>
      <c r="BG27" s="102">
        <v>8.5103718340301597</v>
      </c>
      <c r="BH27" s="102">
        <v>19.393741211526901</v>
      </c>
      <c r="BI27" s="102">
        <v>23.261842668236199</v>
      </c>
      <c r="BJ27" s="102">
        <v>28.656925553448101</v>
      </c>
      <c r="BK27" s="102">
        <v>47.699365941208697</v>
      </c>
      <c r="BL27" s="102">
        <v>91.216897595635302</v>
      </c>
      <c r="BM27" s="128"/>
      <c r="BN27" s="102">
        <v>8.1967459990324995E-2</v>
      </c>
      <c r="BO27" s="102">
        <v>0.13708876983818299</v>
      </c>
      <c r="BP27" s="102">
        <v>0.61237695562104999</v>
      </c>
      <c r="BQ27" s="102">
        <v>0.82393318776258095</v>
      </c>
      <c r="BR27" s="102">
        <v>1.2245390822591999</v>
      </c>
      <c r="BS27" s="102">
        <v>1.51894155273786</v>
      </c>
      <c r="BT27" s="102">
        <v>2.6692103881972402</v>
      </c>
      <c r="BU27" s="102">
        <v>3.2987513657126</v>
      </c>
      <c r="BV27" s="102">
        <v>6.5754396066435001</v>
      </c>
      <c r="BW27" s="102">
        <v>9.4930010808866108</v>
      </c>
      <c r="BX27" s="102">
        <v>13.2927943305935</v>
      </c>
      <c r="BY27" s="102">
        <v>25.949552828830502</v>
      </c>
      <c r="BZ27" s="102">
        <v>42.764831613591099</v>
      </c>
    </row>
    <row r="28" spans="1:78" outlineLevel="1">
      <c r="A28" s="237">
        <v>26</v>
      </c>
      <c r="B28" s="236" t="s">
        <v>106</v>
      </c>
      <c r="C28" s="190" t="s">
        <v>11</v>
      </c>
      <c r="D28" s="190" t="s">
        <v>27</v>
      </c>
      <c r="E28" s="125">
        <f>HLOOKUP(INPUT!$Q$2,'Tracks Pull'!$X$8:$AJ$138,T28,FALSE)</f>
        <v>5.4724606728009997</v>
      </c>
      <c r="F28" s="125">
        <f>HLOOKUP(INPUT!$Q$3,'Tracks Pull'!$X$8:$AJ$138,T28,FALSE)</f>
        <v>4.2680552653441204</v>
      </c>
      <c r="G28" s="125">
        <f t="shared" si="9"/>
        <v>1.2044054074568793</v>
      </c>
      <c r="I28" s="125">
        <f>HLOOKUP(INPUT!$Q$2,'Tracks Pull'!$AL$8:$AX$138,T28,FALSE)</f>
        <v>0.77992280333253206</v>
      </c>
      <c r="J28" s="125">
        <f>HLOOKUP(INPUT!$Q$3,'Tracks Pull'!$AL$8:$AX$138,T28,FALSE)</f>
        <v>0.44382307185223002</v>
      </c>
      <c r="K28" s="125">
        <f t="shared" si="10"/>
        <v>0.33609973148030203</v>
      </c>
      <c r="M28" s="125">
        <f>HLOOKUP(INPUT!$Q$2,'Tracks Pull'!$AZ$8:$BL$138,T28,FALSE)</f>
        <v>5.4724606728009997</v>
      </c>
      <c r="N28" s="125">
        <f>HLOOKUP(INPUT!$Q$3,'Tracks Pull'!$AZ$8:$BL$138,T28,FALSE)</f>
        <v>4.2680552653441204</v>
      </c>
      <c r="O28" s="125">
        <f t="shared" si="11"/>
        <v>1.2044054074568793</v>
      </c>
      <c r="Q28" s="125">
        <f>HLOOKUP(INPUT!$Q$2,'Tracks Pull'!$BN$8:$BZ$138,T28,FALSE)</f>
        <v>0.77992280333253206</v>
      </c>
      <c r="R28" s="125">
        <f>HLOOKUP(INPUT!$Q$3,'Tracks Pull'!$BN$8:$BZ$138,T28,FALSE)</f>
        <v>0.44382307185223002</v>
      </c>
      <c r="S28" s="125">
        <f t="shared" si="12"/>
        <v>0.33609973148030203</v>
      </c>
      <c r="T28" s="109">
        <v>21</v>
      </c>
      <c r="U28" s="190" t="s">
        <v>11</v>
      </c>
      <c r="V28" s="191" t="s">
        <v>129</v>
      </c>
      <c r="W28" s="190" t="s">
        <v>301</v>
      </c>
      <c r="X28" s="102">
        <v>4.5072464839410999E-2</v>
      </c>
      <c r="Y28" s="102">
        <v>8.8301064183179998E-2</v>
      </c>
      <c r="Z28" s="102">
        <v>2.0144694298236301</v>
      </c>
      <c r="AA28" s="102">
        <v>2.3549584643151</v>
      </c>
      <c r="AB28" s="102">
        <v>3.3991748763431202</v>
      </c>
      <c r="AC28" s="102">
        <v>4.2680552653441204</v>
      </c>
      <c r="AD28" s="102">
        <v>5.4724606728009997</v>
      </c>
      <c r="AE28" s="102">
        <v>8.7512473206497408</v>
      </c>
      <c r="AF28" s="102">
        <v>19.942656927879199</v>
      </c>
      <c r="AG28" s="102">
        <v>23.9202401838388</v>
      </c>
      <c r="AH28" s="102">
        <v>29.468024177847301</v>
      </c>
      <c r="AI28" s="102">
        <v>49.049437149212899</v>
      </c>
      <c r="AJ28" s="178">
        <v>93.798678394967496</v>
      </c>
      <c r="AK28" s="182"/>
      <c r="AL28" s="180">
        <v>2.3950263141632001E-2</v>
      </c>
      <c r="AM28" s="102">
        <v>4.0056287114113999E-2</v>
      </c>
      <c r="AN28" s="102">
        <v>0.17893184967213499</v>
      </c>
      <c r="AO28" s="102">
        <v>0.24074695812663499</v>
      </c>
      <c r="AP28" s="102">
        <v>0.357800927963147</v>
      </c>
      <c r="AQ28" s="102">
        <v>0.44382307185223002</v>
      </c>
      <c r="AR28" s="102">
        <v>0.77992280333253206</v>
      </c>
      <c r="AS28" s="102">
        <v>0.96386984855892699</v>
      </c>
      <c r="AT28" s="102">
        <v>1.92129302127465</v>
      </c>
      <c r="AU28" s="102">
        <v>2.7737821071662698</v>
      </c>
      <c r="AV28" s="102">
        <v>3.8840525513769202</v>
      </c>
      <c r="AW28" s="102">
        <v>7.5822603107565998</v>
      </c>
      <c r="AX28" s="102">
        <v>12.4955558031685</v>
      </c>
      <c r="AY28" s="128"/>
      <c r="AZ28" s="102">
        <v>4.5072464839410999E-2</v>
      </c>
      <c r="BA28" s="102">
        <v>8.8301064183179998E-2</v>
      </c>
      <c r="BB28" s="102">
        <v>2.0144694298236301</v>
      </c>
      <c r="BC28" s="102">
        <v>2.3549584643151</v>
      </c>
      <c r="BD28" s="102">
        <v>3.3991748763431202</v>
      </c>
      <c r="BE28" s="102">
        <v>4.2680552653441204</v>
      </c>
      <c r="BF28" s="102">
        <v>5.4724606728009997</v>
      </c>
      <c r="BG28" s="102">
        <v>8.7512473206497408</v>
      </c>
      <c r="BH28" s="102">
        <v>19.942656927879199</v>
      </c>
      <c r="BI28" s="102">
        <v>23.9202401838388</v>
      </c>
      <c r="BJ28" s="102">
        <v>29.468024177847301</v>
      </c>
      <c r="BK28" s="102">
        <v>49.049437149212899</v>
      </c>
      <c r="BL28" s="102">
        <v>93.798678394967496</v>
      </c>
      <c r="BM28" s="128"/>
      <c r="BN28" s="102">
        <v>2.3950263141632001E-2</v>
      </c>
      <c r="BO28" s="102">
        <v>4.0056287114113999E-2</v>
      </c>
      <c r="BP28" s="102">
        <v>0.17893184967213499</v>
      </c>
      <c r="BQ28" s="102">
        <v>0.24074695812663499</v>
      </c>
      <c r="BR28" s="102">
        <v>0.357800927963147</v>
      </c>
      <c r="BS28" s="102">
        <v>0.44382307185223002</v>
      </c>
      <c r="BT28" s="102">
        <v>0.77992280333253206</v>
      </c>
      <c r="BU28" s="102">
        <v>0.96386984855892699</v>
      </c>
      <c r="BV28" s="102">
        <v>1.92129302127465</v>
      </c>
      <c r="BW28" s="102">
        <v>2.7737821071662698</v>
      </c>
      <c r="BX28" s="102">
        <v>3.8840525513769202</v>
      </c>
      <c r="BY28" s="102">
        <v>7.5822603107565998</v>
      </c>
      <c r="BZ28" s="102">
        <v>12.4955558031685</v>
      </c>
    </row>
    <row r="29" spans="1:78" outlineLevel="1">
      <c r="A29" s="237">
        <v>26</v>
      </c>
      <c r="B29" s="236" t="s">
        <v>87</v>
      </c>
      <c r="C29" s="190" t="s">
        <v>11</v>
      </c>
      <c r="D29" s="190" t="s">
        <v>140</v>
      </c>
      <c r="E29" s="125">
        <f>HLOOKUP(INPUT!$Q$2,'Tracks Pull'!$X$8:$AJ$138,T29,FALSE)</f>
        <v>3.97765937867038</v>
      </c>
      <c r="F29" s="125">
        <f>HLOOKUP(INPUT!$Q$3,'Tracks Pull'!$X$8:$AJ$138,T29,FALSE)</f>
        <v>3.10223701364494</v>
      </c>
      <c r="G29" s="125">
        <f t="shared" si="9"/>
        <v>0.87542236502544002</v>
      </c>
      <c r="I29" s="125">
        <f>HLOOKUP(INPUT!$Q$2,'Tracks Pull'!$AL$8:$AX$138,T29,FALSE)</f>
        <v>1.4411968632104699</v>
      </c>
      <c r="J29" s="125">
        <f>HLOOKUP(INPUT!$Q$3,'Tracks Pull'!$AL$8:$AX$138,T29,FALSE)</f>
        <v>0.82012785911729902</v>
      </c>
      <c r="K29" s="125">
        <f t="shared" si="10"/>
        <v>0.6210690040931709</v>
      </c>
      <c r="M29" s="125">
        <f>HLOOKUP(INPUT!$Q$2,'Tracks Pull'!$AZ$8:$BL$138,T29,FALSE)</f>
        <v>3.97765937867038</v>
      </c>
      <c r="N29" s="125">
        <f>HLOOKUP(INPUT!$Q$3,'Tracks Pull'!$AZ$8:$BL$138,T29,FALSE)</f>
        <v>3.10223701364494</v>
      </c>
      <c r="O29" s="125">
        <f t="shared" si="11"/>
        <v>0.87542236502544002</v>
      </c>
      <c r="Q29" s="125">
        <f>HLOOKUP(INPUT!$Q$2,'Tracks Pull'!$BN$8:$BZ$138,T29,FALSE)</f>
        <v>1.4411968632104699</v>
      </c>
      <c r="R29" s="125">
        <f>HLOOKUP(INPUT!$Q$3,'Tracks Pull'!$BN$8:$BZ$138,T29,FALSE)</f>
        <v>0.82012785911729902</v>
      </c>
      <c r="S29" s="125">
        <f t="shared" si="12"/>
        <v>0.6210690040931709</v>
      </c>
      <c r="T29" s="199">
        <v>22</v>
      </c>
      <c r="U29" s="190" t="s">
        <v>11</v>
      </c>
      <c r="V29" s="191" t="s">
        <v>129</v>
      </c>
      <c r="W29" s="190" t="s">
        <v>300</v>
      </c>
      <c r="X29" s="102">
        <v>3.2760932093918997E-2</v>
      </c>
      <c r="Y29" s="102">
        <v>6.4181650101292995E-2</v>
      </c>
      <c r="Z29" s="102">
        <v>1.4642175978363801</v>
      </c>
      <c r="AA29" s="102">
        <v>1.7117021358451601</v>
      </c>
      <c r="AB29" s="102">
        <v>2.4706910903585402</v>
      </c>
      <c r="AC29" s="102">
        <v>3.10223701364494</v>
      </c>
      <c r="AD29" s="102">
        <v>3.97765937867038</v>
      </c>
      <c r="AE29" s="102">
        <v>6.3608462556990304</v>
      </c>
      <c r="AF29" s="102">
        <v>14.495325066298401</v>
      </c>
      <c r="AG29" s="102">
        <v>17.3864324288684</v>
      </c>
      <c r="AH29" s="102">
        <v>21.418840581983702</v>
      </c>
      <c r="AI29" s="102">
        <v>35.651595390124598</v>
      </c>
      <c r="AJ29" s="178">
        <v>68.177592335928793</v>
      </c>
      <c r="AK29" s="182"/>
      <c r="AL29" s="180">
        <v>4.4257000776612002E-2</v>
      </c>
      <c r="AM29" s="102">
        <v>7.4018858140893998E-2</v>
      </c>
      <c r="AN29" s="102">
        <v>0.330643006428394</v>
      </c>
      <c r="AO29" s="102">
        <v>0.44486936322034598</v>
      </c>
      <c r="AP29" s="102">
        <v>0.66117001943130005</v>
      </c>
      <c r="AQ29" s="102">
        <v>0.82012785911729902</v>
      </c>
      <c r="AR29" s="102">
        <v>1.4411968632104699</v>
      </c>
      <c r="AS29" s="102">
        <v>1.7811073049161801</v>
      </c>
      <c r="AT29" s="102">
        <v>3.5503019833984899</v>
      </c>
      <c r="AU29" s="102">
        <v>5.1255919880739098</v>
      </c>
      <c r="AV29" s="102">
        <v>7.1772287329857596</v>
      </c>
      <c r="AW29" s="102">
        <v>14.0110402327198</v>
      </c>
      <c r="AX29" s="102">
        <v>23.0901773235109</v>
      </c>
      <c r="AY29" s="128"/>
      <c r="AZ29" s="102">
        <v>3.2760932093918997E-2</v>
      </c>
      <c r="BA29" s="102">
        <v>6.4181650101292995E-2</v>
      </c>
      <c r="BB29" s="102">
        <v>1.4642175978363801</v>
      </c>
      <c r="BC29" s="102">
        <v>1.7117021358451601</v>
      </c>
      <c r="BD29" s="102">
        <v>2.4706910903585402</v>
      </c>
      <c r="BE29" s="102">
        <v>3.10223701364494</v>
      </c>
      <c r="BF29" s="102">
        <v>3.97765937867038</v>
      </c>
      <c r="BG29" s="102">
        <v>6.3608462556990304</v>
      </c>
      <c r="BH29" s="102">
        <v>14.495325066298401</v>
      </c>
      <c r="BI29" s="102">
        <v>17.3864324288684</v>
      </c>
      <c r="BJ29" s="102">
        <v>21.418840581983702</v>
      </c>
      <c r="BK29" s="102">
        <v>35.651595390124598</v>
      </c>
      <c r="BL29" s="102">
        <v>68.177592335928793</v>
      </c>
      <c r="BM29" s="128"/>
      <c r="BN29" s="102">
        <v>4.4257000776612002E-2</v>
      </c>
      <c r="BO29" s="102">
        <v>7.4018858140893998E-2</v>
      </c>
      <c r="BP29" s="102">
        <v>0.330643006428394</v>
      </c>
      <c r="BQ29" s="102">
        <v>0.44486936322034598</v>
      </c>
      <c r="BR29" s="102">
        <v>0.66117001943130005</v>
      </c>
      <c r="BS29" s="102">
        <v>0.82012785911729902</v>
      </c>
      <c r="BT29" s="102">
        <v>1.4411968632104699</v>
      </c>
      <c r="BU29" s="102">
        <v>1.7811073049161801</v>
      </c>
      <c r="BV29" s="102">
        <v>3.5503019833984899</v>
      </c>
      <c r="BW29" s="102">
        <v>5.1255919880739098</v>
      </c>
      <c r="BX29" s="102">
        <v>7.1772287329857596</v>
      </c>
      <c r="BY29" s="102">
        <v>14.0110402327198</v>
      </c>
      <c r="BZ29" s="102">
        <v>23.0901773235109</v>
      </c>
    </row>
    <row r="30" spans="1:78" outlineLevel="1">
      <c r="A30" s="237">
        <v>26</v>
      </c>
      <c r="B30" s="236" t="s">
        <v>107</v>
      </c>
      <c r="C30" s="190" t="s">
        <v>11</v>
      </c>
      <c r="D30" s="190" t="s">
        <v>29</v>
      </c>
      <c r="E30" s="125">
        <f>HLOOKUP(INPUT!$Q$2,'Tracks Pull'!$X$8:$AJ$138,T30,FALSE)</f>
        <v>3.5567007384624199</v>
      </c>
      <c r="F30" s="125">
        <f>HLOOKUP(INPUT!$Q$3,'Tracks Pull'!$X$8:$AJ$138,T30,FALSE)</f>
        <v>2.7739249711735399</v>
      </c>
      <c r="G30" s="125">
        <f t="shared" si="9"/>
        <v>0.78277576728887999</v>
      </c>
      <c r="I30" s="125">
        <f>HLOOKUP(INPUT!$Q$2,'Tracks Pull'!$AL$8:$AX$138,T30,FALSE)</f>
        <v>0.97490350416566396</v>
      </c>
      <c r="J30" s="125">
        <f>HLOOKUP(INPUT!$Q$3,'Tracks Pull'!$AL$8:$AX$138,T30,FALSE)</f>
        <v>0.55477883981528797</v>
      </c>
      <c r="K30" s="125">
        <f t="shared" si="10"/>
        <v>0.42012466435037599</v>
      </c>
      <c r="M30" s="125">
        <f>HLOOKUP(INPUT!$Q$2,'Tracks Pull'!$AZ$8:$BL$138,T30,FALSE)</f>
        <v>3.5567007384624199</v>
      </c>
      <c r="N30" s="125">
        <f>HLOOKUP(INPUT!$Q$3,'Tracks Pull'!$AZ$8:$BL$138,T30,FALSE)</f>
        <v>2.7739249711735399</v>
      </c>
      <c r="O30" s="125">
        <f t="shared" si="11"/>
        <v>0.78277576728887999</v>
      </c>
      <c r="Q30" s="125">
        <f>HLOOKUP(INPUT!$Q$2,'Tracks Pull'!$BN$8:$BZ$138,T30,FALSE)</f>
        <v>0.97490350416566396</v>
      </c>
      <c r="R30" s="125">
        <f>HLOOKUP(INPUT!$Q$3,'Tracks Pull'!$BN$8:$BZ$138,T30,FALSE)</f>
        <v>0.55477883981528797</v>
      </c>
      <c r="S30" s="125">
        <f t="shared" si="12"/>
        <v>0.42012466435037599</v>
      </c>
      <c r="T30" s="109">
        <v>23</v>
      </c>
      <c r="U30" s="190" t="s">
        <v>11</v>
      </c>
      <c r="V30" s="191" t="s">
        <v>129</v>
      </c>
      <c r="W30" s="190" t="s">
        <v>302</v>
      </c>
      <c r="X30" s="102">
        <v>2.9293818368657999E-2</v>
      </c>
      <c r="Y30" s="102">
        <v>5.7389258500891001E-2</v>
      </c>
      <c r="Z30" s="102">
        <v>1.3092583642079301</v>
      </c>
      <c r="AA30" s="102">
        <v>1.5305514301285501</v>
      </c>
      <c r="AB30" s="102">
        <v>2.2092160210380198</v>
      </c>
      <c r="AC30" s="102">
        <v>2.7739249711735399</v>
      </c>
      <c r="AD30" s="102">
        <v>3.5567007384624199</v>
      </c>
      <c r="AE30" s="102">
        <v>5.6876731819236603</v>
      </c>
      <c r="AF30" s="102">
        <v>12.961274070880799</v>
      </c>
      <c r="AG30" s="102">
        <v>15.546413398437799</v>
      </c>
      <c r="AH30" s="102">
        <v>19.152068807966899</v>
      </c>
      <c r="AI30" s="102">
        <v>31.878560625723001</v>
      </c>
      <c r="AJ30" s="178">
        <v>60.962307207120404</v>
      </c>
      <c r="AK30" s="182"/>
      <c r="AL30" s="180">
        <v>2.993782892704E-2</v>
      </c>
      <c r="AM30" s="102">
        <v>5.0070358892641997E-2</v>
      </c>
      <c r="AN30" s="102">
        <v>0.223664812090169</v>
      </c>
      <c r="AO30" s="102">
        <v>0.30093369765829397</v>
      </c>
      <c r="AP30" s="102">
        <v>0.447251159953933</v>
      </c>
      <c r="AQ30" s="102">
        <v>0.55477883981528797</v>
      </c>
      <c r="AR30" s="102">
        <v>0.97490350416566396</v>
      </c>
      <c r="AS30" s="102">
        <v>1.2048373106986601</v>
      </c>
      <c r="AT30" s="102">
        <v>2.4016162765933098</v>
      </c>
      <c r="AU30" s="102">
        <v>3.4672276339578398</v>
      </c>
      <c r="AV30" s="102">
        <v>4.8550656892211501</v>
      </c>
      <c r="AW30" s="102">
        <v>9.4778253884457495</v>
      </c>
      <c r="AX30" s="102">
        <v>15.6194447539606</v>
      </c>
      <c r="AY30" s="128"/>
      <c r="AZ30" s="102">
        <v>2.9293818368657999E-2</v>
      </c>
      <c r="BA30" s="102">
        <v>5.7389258500891001E-2</v>
      </c>
      <c r="BB30" s="102">
        <v>1.3092583642079301</v>
      </c>
      <c r="BC30" s="102">
        <v>1.5305514301285501</v>
      </c>
      <c r="BD30" s="102">
        <v>2.2092160210380198</v>
      </c>
      <c r="BE30" s="102">
        <v>2.7739249711735399</v>
      </c>
      <c r="BF30" s="102">
        <v>3.5567007384624199</v>
      </c>
      <c r="BG30" s="102">
        <v>5.6876731819236603</v>
      </c>
      <c r="BH30" s="102">
        <v>12.961274070880799</v>
      </c>
      <c r="BI30" s="102">
        <v>15.546413398437799</v>
      </c>
      <c r="BJ30" s="102">
        <v>19.152068807966899</v>
      </c>
      <c r="BK30" s="102">
        <v>31.878560625723001</v>
      </c>
      <c r="BL30" s="102">
        <v>60.962307207120404</v>
      </c>
      <c r="BM30" s="128"/>
      <c r="BN30" s="102">
        <v>2.993782892704E-2</v>
      </c>
      <c r="BO30" s="102">
        <v>5.0070358892641997E-2</v>
      </c>
      <c r="BP30" s="102">
        <v>0.223664812090169</v>
      </c>
      <c r="BQ30" s="102">
        <v>0.30093369765829397</v>
      </c>
      <c r="BR30" s="102">
        <v>0.447251159953933</v>
      </c>
      <c r="BS30" s="102">
        <v>0.55477883981528797</v>
      </c>
      <c r="BT30" s="102">
        <v>0.97490350416566396</v>
      </c>
      <c r="BU30" s="102">
        <v>1.2048373106986601</v>
      </c>
      <c r="BV30" s="102">
        <v>2.4016162765933098</v>
      </c>
      <c r="BW30" s="102">
        <v>3.4672276339578398</v>
      </c>
      <c r="BX30" s="102">
        <v>4.8550656892211501</v>
      </c>
      <c r="BY30" s="102">
        <v>9.4778253884457495</v>
      </c>
      <c r="BZ30" s="102">
        <v>15.6194447539606</v>
      </c>
    </row>
    <row r="31" spans="1:78" outlineLevel="1">
      <c r="A31" s="237">
        <v>26</v>
      </c>
      <c r="B31" s="236" t="s">
        <v>236</v>
      </c>
      <c r="C31" s="190" t="s">
        <v>11</v>
      </c>
      <c r="D31" s="190" t="s">
        <v>131</v>
      </c>
      <c r="E31" s="125">
        <f>HLOOKUP(INPUT!$Q$2,'Tracks Pull'!$X$8:$AJ$138,T31,FALSE)</f>
        <v>1.49234933484431</v>
      </c>
      <c r="F31" s="125">
        <f>HLOOKUP(INPUT!$Q$3,'Tracks Pull'!$X$8:$AJ$138,T31,FALSE)</f>
        <v>1.16390593137967</v>
      </c>
      <c r="G31" s="125">
        <f t="shared" si="9"/>
        <v>0.32844340346463996</v>
      </c>
      <c r="I31" s="125">
        <f>HLOOKUP(INPUT!$Q$2,'Tracks Pull'!$AL$8:$AX$138,T31,FALSE)</f>
        <v>0.95903056015457799</v>
      </c>
      <c r="J31" s="125">
        <f>HLOOKUP(INPUT!$Q$3,'Tracks Pull'!$AL$8:$AX$138,T31,FALSE)</f>
        <v>0.54574617819770599</v>
      </c>
      <c r="K31" s="125">
        <f t="shared" si="10"/>
        <v>0.413284381956872</v>
      </c>
      <c r="M31" s="125">
        <f>HLOOKUP(INPUT!$Q$2,'Tracks Pull'!$AZ$8:$BL$138,T31,FALSE)</f>
        <v>1.49234933484431</v>
      </c>
      <c r="N31" s="125">
        <f>HLOOKUP(INPUT!$Q$3,'Tracks Pull'!$AZ$8:$BL$138,T31,FALSE)</f>
        <v>1.16390593137967</v>
      </c>
      <c r="O31" s="125">
        <f t="shared" si="11"/>
        <v>0.32844340346463996</v>
      </c>
      <c r="Q31" s="125">
        <f>HLOOKUP(INPUT!$Q$2,'Tracks Pull'!$BN$8:$BZ$138,T31,FALSE)</f>
        <v>0.95903056015457799</v>
      </c>
      <c r="R31" s="125">
        <f>HLOOKUP(INPUT!$Q$3,'Tracks Pull'!$BN$8:$BZ$138,T31,FALSE)</f>
        <v>0.54574617819770599</v>
      </c>
      <c r="S31" s="125">
        <f t="shared" si="12"/>
        <v>0.413284381956872</v>
      </c>
      <c r="T31" s="199">
        <v>24</v>
      </c>
      <c r="U31" s="190" t="s">
        <v>11</v>
      </c>
      <c r="V31" s="191" t="s">
        <v>129</v>
      </c>
      <c r="W31" s="190" t="s">
        <v>303</v>
      </c>
      <c r="X31" s="102">
        <v>1.2291337835866001E-2</v>
      </c>
      <c r="Y31" s="102">
        <v>2.4079850414414E-2</v>
      </c>
      <c r="Z31" s="102">
        <v>0.54934924038892297</v>
      </c>
      <c r="AA31" s="102">
        <v>0.64220117931113396</v>
      </c>
      <c r="AB31" s="102">
        <v>0.92696077121988996</v>
      </c>
      <c r="AC31" s="102">
        <v>1.16390593137967</v>
      </c>
      <c r="AD31" s="102">
        <v>1.49234933484431</v>
      </c>
      <c r="AE31" s="102">
        <v>2.38648003135765</v>
      </c>
      <c r="AF31" s="102">
        <v>5.43839646930084</v>
      </c>
      <c r="AG31" s="102">
        <v>6.5230901895904703</v>
      </c>
      <c r="AH31" s="102">
        <v>8.0359803222628994</v>
      </c>
      <c r="AI31" s="102">
        <v>13.375864950099301</v>
      </c>
      <c r="AJ31" s="178">
        <v>25.579059162129699</v>
      </c>
      <c r="AK31" s="182"/>
      <c r="AL31" s="180">
        <v>2.9450394549850999E-2</v>
      </c>
      <c r="AM31" s="102">
        <v>4.9255135642420997E-2</v>
      </c>
      <c r="AN31" s="102">
        <v>0.22002320138265999</v>
      </c>
      <c r="AO31" s="102">
        <v>0.29603402942080298</v>
      </c>
      <c r="AP31" s="102">
        <v>0.43996921605845202</v>
      </c>
      <c r="AQ31" s="102">
        <v>0.54574617819770599</v>
      </c>
      <c r="AR31" s="102">
        <v>0.95903056015457799</v>
      </c>
      <c r="AS31" s="102">
        <v>1.1852206870087501</v>
      </c>
      <c r="AT31" s="102">
        <v>2.36251423158927</v>
      </c>
      <c r="AU31" s="102">
        <v>3.4107757801360599</v>
      </c>
      <c r="AV31" s="102">
        <v>4.7760176752116896</v>
      </c>
      <c r="AW31" s="102">
        <v>9.3235116629387296</v>
      </c>
      <c r="AX31" s="102">
        <v>15.365135921338201</v>
      </c>
      <c r="AY31" s="128"/>
      <c r="AZ31" s="102">
        <v>1.2291337835866001E-2</v>
      </c>
      <c r="BA31" s="102">
        <v>2.4079850414414E-2</v>
      </c>
      <c r="BB31" s="102">
        <v>0.54934924038892297</v>
      </c>
      <c r="BC31" s="102">
        <v>0.64220117931113396</v>
      </c>
      <c r="BD31" s="102">
        <v>0.92696077121988996</v>
      </c>
      <c r="BE31" s="102">
        <v>1.16390593137967</v>
      </c>
      <c r="BF31" s="102">
        <v>1.49234933484431</v>
      </c>
      <c r="BG31" s="102">
        <v>2.38648003135765</v>
      </c>
      <c r="BH31" s="102">
        <v>5.43839646930084</v>
      </c>
      <c r="BI31" s="102">
        <v>6.5230901895904703</v>
      </c>
      <c r="BJ31" s="102">
        <v>8.0359803222628994</v>
      </c>
      <c r="BK31" s="102">
        <v>13.375864950099301</v>
      </c>
      <c r="BL31" s="102">
        <v>25.579059162129699</v>
      </c>
      <c r="BM31" s="128"/>
      <c r="BN31" s="102">
        <v>2.9450394549850999E-2</v>
      </c>
      <c r="BO31" s="102">
        <v>4.9255135642420997E-2</v>
      </c>
      <c r="BP31" s="102">
        <v>0.22002320138265999</v>
      </c>
      <c r="BQ31" s="102">
        <v>0.29603402942080298</v>
      </c>
      <c r="BR31" s="102">
        <v>0.43996921605845202</v>
      </c>
      <c r="BS31" s="102">
        <v>0.54574617819770599</v>
      </c>
      <c r="BT31" s="102">
        <v>0.95903056015457799</v>
      </c>
      <c r="BU31" s="102">
        <v>1.1852206870087501</v>
      </c>
      <c r="BV31" s="102">
        <v>2.36251423158927</v>
      </c>
      <c r="BW31" s="102">
        <v>3.4107757801360599</v>
      </c>
      <c r="BX31" s="102">
        <v>4.7760176752116896</v>
      </c>
      <c r="BY31" s="102">
        <v>9.3235116629387296</v>
      </c>
      <c r="BZ31" s="102">
        <v>15.365135921338201</v>
      </c>
    </row>
    <row r="32" spans="1:78" outlineLevel="1">
      <c r="A32" s="237">
        <v>26</v>
      </c>
      <c r="B32" s="236" t="s">
        <v>237</v>
      </c>
      <c r="C32" s="190" t="s">
        <v>11</v>
      </c>
      <c r="D32" s="190" t="s">
        <v>138</v>
      </c>
      <c r="E32" s="125">
        <f>HLOOKUP(INPUT!$Q$2,'Tracks Pull'!$X$8:$AJ$138,T32,FALSE)</f>
        <v>2.86544726856705</v>
      </c>
      <c r="F32" s="125">
        <f>HLOOKUP(INPUT!$Q$3,'Tracks Pull'!$X$8:$AJ$138,T32,FALSE)</f>
        <v>2.2348058822894799</v>
      </c>
      <c r="G32" s="125">
        <f t="shared" si="9"/>
        <v>0.63064138627757016</v>
      </c>
      <c r="I32" s="125">
        <f>HLOOKUP(INPUT!$Q$2,'Tracks Pull'!$AL$8:$AX$138,T32,FALSE)</f>
        <v>1.7659680618315099</v>
      </c>
      <c r="J32" s="125">
        <f>HLOOKUP(INPUT!$Q$3,'Tracks Pull'!$AL$8:$AX$138,T32,FALSE)</f>
        <v>1.0049422412654001</v>
      </c>
      <c r="K32" s="125">
        <f t="shared" si="10"/>
        <v>0.76102582056610979</v>
      </c>
      <c r="M32" s="125">
        <f>HLOOKUP(INPUT!$Q$2,'Tracks Pull'!$AZ$8:$BL$138,T32,FALSE)</f>
        <v>2.86544726856705</v>
      </c>
      <c r="N32" s="125">
        <f>HLOOKUP(INPUT!$Q$3,'Tracks Pull'!$AZ$8:$BL$138,T32,FALSE)</f>
        <v>2.2348058822894799</v>
      </c>
      <c r="O32" s="125">
        <f t="shared" si="11"/>
        <v>0.63064138627757016</v>
      </c>
      <c r="Q32" s="125">
        <f>HLOOKUP(INPUT!$Q$2,'Tracks Pull'!$BN$8:$BZ$138,T32,FALSE)</f>
        <v>1.7659680618315099</v>
      </c>
      <c r="R32" s="125">
        <f>HLOOKUP(INPUT!$Q$3,'Tracks Pull'!$BN$8:$BZ$138,T32,FALSE)</f>
        <v>1.0049422412654001</v>
      </c>
      <c r="S32" s="125">
        <f t="shared" si="12"/>
        <v>0.76102582056610979</v>
      </c>
      <c r="T32" s="109">
        <v>25</v>
      </c>
      <c r="U32" s="190" t="s">
        <v>11</v>
      </c>
      <c r="V32" s="191" t="s">
        <v>129</v>
      </c>
      <c r="W32" s="190" t="s">
        <v>394</v>
      </c>
      <c r="X32" s="102">
        <v>2.3600493266873999E-2</v>
      </c>
      <c r="Y32" s="102">
        <v>4.6235516032635003E-2</v>
      </c>
      <c r="Z32" s="102">
        <v>1.05480080542003</v>
      </c>
      <c r="AA32" s="102">
        <v>1.2330850238356601</v>
      </c>
      <c r="AB32" s="102">
        <v>1.7798494949829899</v>
      </c>
      <c r="AC32" s="102">
        <v>2.2348058822894799</v>
      </c>
      <c r="AD32" s="102">
        <v>2.86544726856705</v>
      </c>
      <c r="AE32" s="102">
        <v>4.5822600162561899</v>
      </c>
      <c r="AF32" s="102">
        <v>10.4422188186713</v>
      </c>
      <c r="AG32" s="102">
        <v>12.5249300079787</v>
      </c>
      <c r="AH32" s="102">
        <v>15.4298174877996</v>
      </c>
      <c r="AI32" s="102">
        <v>25.682884557309301</v>
      </c>
      <c r="AJ32" s="178">
        <v>49.114134001531298</v>
      </c>
      <c r="AK32" s="182"/>
      <c r="AL32" s="180">
        <v>5.4230238684980003E-2</v>
      </c>
      <c r="AM32" s="102">
        <v>9.0698878679815007E-2</v>
      </c>
      <c r="AN32" s="102">
        <v>0.40515283104333399</v>
      </c>
      <c r="AO32" s="102">
        <v>0.54511989804387995</v>
      </c>
      <c r="AP32" s="102">
        <v>0.81016352974512296</v>
      </c>
      <c r="AQ32" s="102">
        <v>1.0049422412654001</v>
      </c>
      <c r="AR32" s="102">
        <v>1.7659680618315099</v>
      </c>
      <c r="AS32" s="102">
        <v>2.18247672852271</v>
      </c>
      <c r="AT32" s="102">
        <v>4.35035634102901</v>
      </c>
      <c r="AU32" s="102">
        <v>6.2806351997979002</v>
      </c>
      <c r="AV32" s="102">
        <v>8.7946047056177097</v>
      </c>
      <c r="AW32" s="102">
        <v>17.168403703641701</v>
      </c>
      <c r="AX32" s="102">
        <v>28.293508497174301</v>
      </c>
      <c r="AY32" s="128"/>
      <c r="AZ32" s="102">
        <v>2.3600493266873999E-2</v>
      </c>
      <c r="BA32" s="102">
        <v>4.6235516032635003E-2</v>
      </c>
      <c r="BB32" s="102">
        <v>1.05480080542003</v>
      </c>
      <c r="BC32" s="102">
        <v>1.2330850238356601</v>
      </c>
      <c r="BD32" s="102">
        <v>1.7798494949829899</v>
      </c>
      <c r="BE32" s="102">
        <v>2.2348058822894799</v>
      </c>
      <c r="BF32" s="102">
        <v>2.86544726856705</v>
      </c>
      <c r="BG32" s="102">
        <v>4.5822600162561899</v>
      </c>
      <c r="BH32" s="102">
        <v>10.4422188186713</v>
      </c>
      <c r="BI32" s="102">
        <v>12.5249300079787</v>
      </c>
      <c r="BJ32" s="102">
        <v>15.4298174877996</v>
      </c>
      <c r="BK32" s="102">
        <v>25.682884557309301</v>
      </c>
      <c r="BL32" s="102">
        <v>49.114134001531298</v>
      </c>
      <c r="BM32" s="128"/>
      <c r="BN32" s="102">
        <v>5.4230238684980003E-2</v>
      </c>
      <c r="BO32" s="102">
        <v>9.0698878679815007E-2</v>
      </c>
      <c r="BP32" s="102">
        <v>0.40515283104333399</v>
      </c>
      <c r="BQ32" s="102">
        <v>0.54511989804387995</v>
      </c>
      <c r="BR32" s="102">
        <v>0.81016352974512296</v>
      </c>
      <c r="BS32" s="102">
        <v>1.0049422412654001</v>
      </c>
      <c r="BT32" s="102">
        <v>1.7659680618315099</v>
      </c>
      <c r="BU32" s="102">
        <v>2.18247672852271</v>
      </c>
      <c r="BV32" s="102">
        <v>4.35035634102901</v>
      </c>
      <c r="BW32" s="102">
        <v>6.2806351997979002</v>
      </c>
      <c r="BX32" s="102">
        <v>8.7946047056177097</v>
      </c>
      <c r="BY32" s="102">
        <v>17.168403703641701</v>
      </c>
      <c r="BZ32" s="102">
        <v>28.293508497174301</v>
      </c>
    </row>
    <row r="33" spans="1:78" outlineLevel="1">
      <c r="A33" s="237">
        <v>26</v>
      </c>
      <c r="B33" s="236" t="s">
        <v>163</v>
      </c>
      <c r="C33" s="190" t="s">
        <v>11</v>
      </c>
      <c r="D33" s="190" t="s">
        <v>132</v>
      </c>
      <c r="E33" s="125">
        <f>HLOOKUP(INPUT!$Q$2,'Tracks Pull'!$X$8:$AJ$138,T33,FALSE)</f>
        <v>3.98171354805286</v>
      </c>
      <c r="F33" s="125">
        <f>HLOOKUP(INPUT!$Q$3,'Tracks Pull'!$X$8:$AJ$138,T33,FALSE)</f>
        <v>3.1053989219735798</v>
      </c>
      <c r="G33" s="125">
        <f t="shared" si="9"/>
        <v>0.87631462607928023</v>
      </c>
      <c r="I33" s="125">
        <f>HLOOKUP(INPUT!$Q$2,'Tracks Pull'!$AL$8:$AX$138,T33,FALSE)</f>
        <v>1.34926644976528</v>
      </c>
      <c r="J33" s="125">
        <f>HLOOKUP(INPUT!$Q$3,'Tracks Pull'!$AL$8:$AX$138,T33,FALSE)</f>
        <v>0.76781391430435697</v>
      </c>
      <c r="K33" s="125">
        <f t="shared" si="10"/>
        <v>0.58145253546092301</v>
      </c>
      <c r="M33" s="125">
        <f>HLOOKUP(INPUT!$Q$2,'Tracks Pull'!$AZ$8:$BL$138,T33,FALSE)</f>
        <v>3.98171354805286</v>
      </c>
      <c r="N33" s="125">
        <f>HLOOKUP(INPUT!$Q$3,'Tracks Pull'!$AZ$8:$BL$138,T33,FALSE)</f>
        <v>3.1053989219735798</v>
      </c>
      <c r="O33" s="125">
        <f t="shared" si="11"/>
        <v>0.87631462607928023</v>
      </c>
      <c r="Q33" s="125">
        <f>HLOOKUP(INPUT!$Q$2,'Tracks Pull'!$BN$8:$BZ$138,T33,FALSE)</f>
        <v>1.34926644976528</v>
      </c>
      <c r="R33" s="125">
        <f>HLOOKUP(INPUT!$Q$3,'Tracks Pull'!$BN$8:$BZ$138,T33,FALSE)</f>
        <v>0.76781391430435697</v>
      </c>
      <c r="S33" s="125">
        <f t="shared" si="12"/>
        <v>0.58145253546092301</v>
      </c>
      <c r="T33" s="199">
        <v>26</v>
      </c>
      <c r="U33" s="190" t="s">
        <v>11</v>
      </c>
      <c r="V33" s="191" t="s">
        <v>129</v>
      </c>
      <c r="W33" s="190" t="s">
        <v>403</v>
      </c>
      <c r="X33" s="102">
        <v>3.2794323180281998E-2</v>
      </c>
      <c r="Y33" s="102">
        <v>6.4247066281008E-2</v>
      </c>
      <c r="Z33" s="102">
        <v>1.4657099795587201</v>
      </c>
      <c r="AA33" s="102">
        <v>1.7134467624535401</v>
      </c>
      <c r="AB33" s="102">
        <v>2.4732093050216202</v>
      </c>
      <c r="AC33" s="102">
        <v>3.1053989219735798</v>
      </c>
      <c r="AD33" s="102">
        <v>3.98171354805286</v>
      </c>
      <c r="AE33" s="102">
        <v>6.3673294523937498</v>
      </c>
      <c r="AF33" s="102">
        <v>14.5100992079426</v>
      </c>
      <c r="AG33" s="102">
        <v>17.404153288125901</v>
      </c>
      <c r="AH33" s="102">
        <v>21.440671412486999</v>
      </c>
      <c r="AI33" s="102">
        <v>35.6879327414931</v>
      </c>
      <c r="AJ33" s="178">
        <v>68.2470813195511</v>
      </c>
      <c r="AK33" s="182"/>
      <c r="AL33" s="180">
        <v>4.1433955235023003E-2</v>
      </c>
      <c r="AM33" s="102">
        <v>6.9297376707416994E-2</v>
      </c>
      <c r="AN33" s="102">
        <v>0.30955209993279398</v>
      </c>
      <c r="AO33" s="102">
        <v>0.41649223755907899</v>
      </c>
      <c r="AP33" s="102">
        <v>0.61899560537624299</v>
      </c>
      <c r="AQ33" s="102">
        <v>0.76781391430435697</v>
      </c>
      <c r="AR33" s="102">
        <v>1.34926644976528</v>
      </c>
      <c r="AS33" s="102">
        <v>1.6674948380069401</v>
      </c>
      <c r="AT33" s="102">
        <v>3.3238369268051402</v>
      </c>
      <c r="AU33" s="102">
        <v>4.7986430453976396</v>
      </c>
      <c r="AV33" s="102">
        <v>6.7194109138820597</v>
      </c>
      <c r="AW33" s="102">
        <v>13.117310337608901</v>
      </c>
      <c r="AX33" s="102">
        <v>21.617311539481499</v>
      </c>
      <c r="AY33" s="128"/>
      <c r="AZ33" s="102">
        <v>3.2794323180281998E-2</v>
      </c>
      <c r="BA33" s="102">
        <v>6.4247066281008E-2</v>
      </c>
      <c r="BB33" s="102">
        <v>1.4657099795587201</v>
      </c>
      <c r="BC33" s="102">
        <v>1.7134467624535401</v>
      </c>
      <c r="BD33" s="102">
        <v>2.4732093050216202</v>
      </c>
      <c r="BE33" s="102">
        <v>3.1053989219735798</v>
      </c>
      <c r="BF33" s="102">
        <v>3.98171354805286</v>
      </c>
      <c r="BG33" s="102">
        <v>6.3673294523937498</v>
      </c>
      <c r="BH33" s="102">
        <v>14.5100992079426</v>
      </c>
      <c r="BI33" s="102">
        <v>17.404153288125901</v>
      </c>
      <c r="BJ33" s="102">
        <v>21.440671412486999</v>
      </c>
      <c r="BK33" s="102">
        <v>35.6879327414931</v>
      </c>
      <c r="BL33" s="102">
        <v>68.2470813195511</v>
      </c>
      <c r="BM33" s="128"/>
      <c r="BN33" s="102">
        <v>4.1433955235023003E-2</v>
      </c>
      <c r="BO33" s="102">
        <v>6.9297376707416994E-2</v>
      </c>
      <c r="BP33" s="102">
        <v>0.30955209993279398</v>
      </c>
      <c r="BQ33" s="102">
        <v>0.41649223755907899</v>
      </c>
      <c r="BR33" s="102">
        <v>0.61899560537624299</v>
      </c>
      <c r="BS33" s="102">
        <v>0.76781391430435697</v>
      </c>
      <c r="BT33" s="102">
        <v>1.34926644976528</v>
      </c>
      <c r="BU33" s="102">
        <v>1.6674948380069401</v>
      </c>
      <c r="BV33" s="102">
        <v>3.3238369268051402</v>
      </c>
      <c r="BW33" s="102">
        <v>4.7986430453976396</v>
      </c>
      <c r="BX33" s="102">
        <v>6.7194109138820597</v>
      </c>
      <c r="BY33" s="102">
        <v>13.117310337608901</v>
      </c>
      <c r="BZ33" s="102">
        <v>21.617311539481499</v>
      </c>
    </row>
    <row r="34" spans="1:78" outlineLevel="1">
      <c r="B34" s="236"/>
      <c r="C34" s="190"/>
      <c r="D34" s="190"/>
      <c r="E34" s="125"/>
      <c r="F34" s="125"/>
      <c r="G34" s="125"/>
      <c r="I34" s="125"/>
      <c r="J34" s="125"/>
      <c r="K34" s="125"/>
      <c r="M34" s="125"/>
      <c r="N34" s="125"/>
      <c r="O34" s="125"/>
      <c r="Q34" s="125"/>
      <c r="R34" s="125"/>
      <c r="S34" s="125"/>
      <c r="T34" s="109">
        <v>27</v>
      </c>
      <c r="U34" s="190" t="s">
        <v>11</v>
      </c>
      <c r="V34" s="191" t="s">
        <v>129</v>
      </c>
      <c r="W34" s="190" t="s">
        <v>395</v>
      </c>
      <c r="X34" s="102">
        <v>0</v>
      </c>
      <c r="Y34" s="102">
        <v>0</v>
      </c>
      <c r="Z34" s="102">
        <v>0</v>
      </c>
      <c r="AA34" s="102">
        <v>0</v>
      </c>
      <c r="AB34" s="102">
        <v>0</v>
      </c>
      <c r="AC34" s="102">
        <v>0</v>
      </c>
      <c r="AD34" s="102">
        <v>0</v>
      </c>
      <c r="AE34" s="102">
        <v>0</v>
      </c>
      <c r="AF34" s="102">
        <v>0</v>
      </c>
      <c r="AG34" s="102">
        <v>0</v>
      </c>
      <c r="AH34" s="102">
        <v>0</v>
      </c>
      <c r="AI34" s="102">
        <v>0</v>
      </c>
      <c r="AJ34" s="178">
        <v>0</v>
      </c>
      <c r="AK34" s="182"/>
      <c r="AL34" s="180">
        <v>0</v>
      </c>
      <c r="AM34" s="102">
        <v>0</v>
      </c>
      <c r="AN34" s="102">
        <v>0</v>
      </c>
      <c r="AO34" s="102">
        <v>0</v>
      </c>
      <c r="AP34" s="102">
        <v>0</v>
      </c>
      <c r="AQ34" s="102">
        <v>0</v>
      </c>
      <c r="AR34" s="102">
        <v>0</v>
      </c>
      <c r="AS34" s="102">
        <v>0</v>
      </c>
      <c r="AT34" s="102">
        <v>0</v>
      </c>
      <c r="AU34" s="102">
        <v>0</v>
      </c>
      <c r="AV34" s="102">
        <v>0</v>
      </c>
      <c r="AW34" s="102">
        <v>0</v>
      </c>
      <c r="AX34" s="102">
        <v>0</v>
      </c>
      <c r="AY34" s="128"/>
      <c r="AZ34" s="102">
        <v>0</v>
      </c>
      <c r="BA34" s="102">
        <v>0</v>
      </c>
      <c r="BB34" s="102">
        <v>0</v>
      </c>
      <c r="BC34" s="102">
        <v>0</v>
      </c>
      <c r="BD34" s="102">
        <v>0</v>
      </c>
      <c r="BE34" s="102">
        <v>0</v>
      </c>
      <c r="BF34" s="102">
        <v>0</v>
      </c>
      <c r="BG34" s="102">
        <v>0</v>
      </c>
      <c r="BH34" s="102">
        <v>0</v>
      </c>
      <c r="BI34" s="102">
        <v>0</v>
      </c>
      <c r="BJ34" s="102">
        <v>0</v>
      </c>
      <c r="BK34" s="102">
        <v>0</v>
      </c>
      <c r="BL34" s="102">
        <v>0</v>
      </c>
      <c r="BM34" s="128"/>
      <c r="BN34" s="102">
        <v>0</v>
      </c>
      <c r="BO34" s="102">
        <v>0</v>
      </c>
      <c r="BP34" s="102">
        <v>0</v>
      </c>
      <c r="BQ34" s="102">
        <v>0</v>
      </c>
      <c r="BR34" s="102">
        <v>0</v>
      </c>
      <c r="BS34" s="102">
        <v>0</v>
      </c>
      <c r="BT34" s="102">
        <v>0</v>
      </c>
      <c r="BU34" s="102">
        <v>0</v>
      </c>
      <c r="BV34" s="102">
        <v>0</v>
      </c>
      <c r="BW34" s="102">
        <v>0</v>
      </c>
      <c r="BX34" s="102">
        <v>0</v>
      </c>
      <c r="BY34" s="102">
        <v>0</v>
      </c>
      <c r="BZ34" s="102">
        <v>0</v>
      </c>
    </row>
    <row r="35" spans="1:78">
      <c r="A35" s="237">
        <v>26</v>
      </c>
      <c r="B35" s="236" t="s">
        <v>59</v>
      </c>
      <c r="C35" s="190" t="s">
        <v>11</v>
      </c>
      <c r="D35" s="191" t="s">
        <v>33</v>
      </c>
      <c r="E35" s="124">
        <f>HLOOKUP(INPUT!$Q$2,'Tracks Pull'!$X$8:$AJ$138,T35,FALSE)</f>
        <v>12.182196644942101</v>
      </c>
      <c r="F35" s="124">
        <f>HLOOKUP(INPUT!$Q$3,'Tracks Pull'!$X$8:$AJ$138,T35,FALSE)</f>
        <v>10.938536381155901</v>
      </c>
      <c r="G35" s="124">
        <f t="shared" si="9"/>
        <v>1.2436602637862002</v>
      </c>
      <c r="I35" s="124">
        <f>HLOOKUP(INPUT!$Q$2,'Tracks Pull'!$AL$8:$AX$138,T35,FALSE)</f>
        <v>8.7899515953213605</v>
      </c>
      <c r="J35" s="124">
        <f>HLOOKUP(INPUT!$Q$3,'Tracks Pull'!$AL$8:$AX$138,T35,FALSE)</f>
        <v>8.5901141632992495</v>
      </c>
      <c r="K35" s="124">
        <f t="shared" si="10"/>
        <v>0.19983743202211102</v>
      </c>
      <c r="M35" s="124">
        <f>HLOOKUP(INPUT!$Q$2,'Tracks Pull'!$AZ$8:$BL$138,T35,FALSE)</f>
        <v>12.182196644942101</v>
      </c>
      <c r="N35" s="124">
        <f>HLOOKUP(INPUT!$Q$3,'Tracks Pull'!$AZ$8:$BL$138,T35,FALSE)</f>
        <v>10.938536381155901</v>
      </c>
      <c r="O35" s="124">
        <f t="shared" si="11"/>
        <v>1.2436602637862002</v>
      </c>
      <c r="Q35" s="124">
        <f>HLOOKUP(INPUT!$Q$2,'Tracks Pull'!$BN$8:$BZ$138,T35,FALSE)</f>
        <v>8.7899515953213605</v>
      </c>
      <c r="R35" s="124">
        <f>HLOOKUP(INPUT!$Q$3,'Tracks Pull'!$BN$8:$BZ$138,T35,FALSE)</f>
        <v>8.5901141632992495</v>
      </c>
      <c r="S35" s="124">
        <f t="shared" si="12"/>
        <v>0.19983743202211102</v>
      </c>
      <c r="T35" s="199">
        <v>28</v>
      </c>
      <c r="U35" s="190" t="s">
        <v>11</v>
      </c>
      <c r="V35" s="191" t="s">
        <v>129</v>
      </c>
      <c r="W35" s="191" t="s">
        <v>90</v>
      </c>
      <c r="X35" s="102">
        <v>1.0747207709769E-2</v>
      </c>
      <c r="Y35" s="102">
        <v>4.0992660202657802</v>
      </c>
      <c r="Z35" s="102">
        <v>4.1423658110685597</v>
      </c>
      <c r="AA35" s="102">
        <v>6.9868301452589101</v>
      </c>
      <c r="AB35" s="102">
        <v>9.6975309684357605</v>
      </c>
      <c r="AC35" s="102">
        <v>10.938536381155901</v>
      </c>
      <c r="AD35" s="102">
        <v>12.182196644942101</v>
      </c>
      <c r="AE35" s="102">
        <v>14.120302607889601</v>
      </c>
      <c r="AF35" s="102">
        <v>18.856790746969502</v>
      </c>
      <c r="AG35" s="102">
        <v>41.213490515554199</v>
      </c>
      <c r="AH35" s="102">
        <v>50.2009719603561</v>
      </c>
      <c r="AI35" s="102">
        <v>54.258792230478797</v>
      </c>
      <c r="AJ35" s="178">
        <v>78.851256815017507</v>
      </c>
      <c r="AK35" s="182"/>
      <c r="AL35" s="180">
        <v>0.18604554998068501</v>
      </c>
      <c r="AM35" s="102">
        <v>0.26276927877551298</v>
      </c>
      <c r="AN35" s="102">
        <v>0.31418729597116601</v>
      </c>
      <c r="AO35" s="102">
        <v>0.57729194134378004</v>
      </c>
      <c r="AP35" s="102">
        <v>0.65916305507764705</v>
      </c>
      <c r="AQ35" s="102">
        <v>8.5901141632992495</v>
      </c>
      <c r="AR35" s="102">
        <v>8.7899515953213605</v>
      </c>
      <c r="AS35" s="102">
        <v>8.9328195123843805</v>
      </c>
      <c r="AT35" s="102">
        <v>9.5796378743273891</v>
      </c>
      <c r="AU35" s="102">
        <v>27.1262833291131</v>
      </c>
      <c r="AV35" s="102">
        <v>33.075191507506297</v>
      </c>
      <c r="AW35" s="102">
        <v>35.199233586859599</v>
      </c>
      <c r="AX35" s="102">
        <v>53.415704673751897</v>
      </c>
      <c r="AY35" s="128"/>
      <c r="AZ35" s="102">
        <v>1.0747207709769E-2</v>
      </c>
      <c r="BA35" s="102">
        <v>4.0992660202657802</v>
      </c>
      <c r="BB35" s="102">
        <v>4.1423658110685597</v>
      </c>
      <c r="BC35" s="102">
        <v>6.9868301452589101</v>
      </c>
      <c r="BD35" s="102">
        <v>9.6975309684357605</v>
      </c>
      <c r="BE35" s="102">
        <v>10.938536381155901</v>
      </c>
      <c r="BF35" s="102">
        <v>12.182196644942101</v>
      </c>
      <c r="BG35" s="102">
        <v>14.120302607889601</v>
      </c>
      <c r="BH35" s="102">
        <v>18.856790746969502</v>
      </c>
      <c r="BI35" s="102">
        <v>41.213490515554199</v>
      </c>
      <c r="BJ35" s="102">
        <v>50.2009719603561</v>
      </c>
      <c r="BK35" s="102">
        <v>54.258792230478797</v>
      </c>
      <c r="BL35" s="102">
        <v>78.851256815017507</v>
      </c>
      <c r="BM35" s="128"/>
      <c r="BN35" s="102">
        <v>0.18604554998068501</v>
      </c>
      <c r="BO35" s="102">
        <v>0.26276927877551298</v>
      </c>
      <c r="BP35" s="102">
        <v>0.31418729597116601</v>
      </c>
      <c r="BQ35" s="102">
        <v>0.57729194134378004</v>
      </c>
      <c r="BR35" s="102">
        <v>0.65916305507764705</v>
      </c>
      <c r="BS35" s="102">
        <v>8.5901141632992495</v>
      </c>
      <c r="BT35" s="102">
        <v>8.7899515953213605</v>
      </c>
      <c r="BU35" s="102">
        <v>8.9328195123843805</v>
      </c>
      <c r="BV35" s="102">
        <v>9.5796378743273891</v>
      </c>
      <c r="BW35" s="102">
        <v>27.1262833291131</v>
      </c>
      <c r="BX35" s="102">
        <v>33.075191507506297</v>
      </c>
      <c r="BY35" s="102">
        <v>35.199233586859599</v>
      </c>
      <c r="BZ35" s="102">
        <v>53.415704673751897</v>
      </c>
    </row>
    <row r="36" spans="1:78">
      <c r="A36" s="237">
        <v>26</v>
      </c>
      <c r="B36" s="236" t="s">
        <v>34</v>
      </c>
      <c r="C36" s="190" t="s">
        <v>11</v>
      </c>
      <c r="D36" s="190" t="s">
        <v>34</v>
      </c>
      <c r="E36" s="124">
        <f>HLOOKUP(INPUT!$Q$2,'Tracks Pull'!$X$8:$AJ$138,T36,FALSE)</f>
        <v>7.5090014464437882</v>
      </c>
      <c r="F36" s="124">
        <f>HLOOKUP(INPUT!$Q$3,'Tracks Pull'!$X$8:$AJ$138,T36,FALSE)</f>
        <v>7.0919771950251391</v>
      </c>
      <c r="G36" s="124">
        <f t="shared" si="9"/>
        <v>0.41702425141864907</v>
      </c>
      <c r="I36" s="124">
        <f>HLOOKUP(INPUT!$Q$2,'Tracks Pull'!$AL$8:$AX$138,T36,FALSE)</f>
        <v>6.0306292925909952</v>
      </c>
      <c r="J36" s="124">
        <f>HLOOKUP(INPUT!$Q$3,'Tracks Pull'!$AL$8:$AX$138,T36,FALSE)</f>
        <v>3.8608363357669848</v>
      </c>
      <c r="K36" s="124">
        <f t="shared" si="10"/>
        <v>2.1697929568240104</v>
      </c>
      <c r="M36" s="124">
        <f>HLOOKUP(INPUT!$Q$2,'Tracks Pull'!$AZ$8:$BL$138,T36,FALSE)</f>
        <v>7.5090014464437882</v>
      </c>
      <c r="N36" s="124">
        <f>HLOOKUP(INPUT!$Q$3,'Tracks Pull'!$AZ$8:$BL$138,T36,FALSE)</f>
        <v>7.0919771950251391</v>
      </c>
      <c r="O36" s="124">
        <f t="shared" si="11"/>
        <v>0.41702425141864907</v>
      </c>
      <c r="Q36" s="124">
        <f>HLOOKUP(INPUT!$Q$2,'Tracks Pull'!$BN$8:$BZ$138,T36,FALSE)</f>
        <v>6.0306292925909952</v>
      </c>
      <c r="R36" s="124">
        <f>HLOOKUP(INPUT!$Q$3,'Tracks Pull'!$BN$8:$BZ$138,T36,FALSE)</f>
        <v>3.8608363357669848</v>
      </c>
      <c r="S36" s="124">
        <f t="shared" si="12"/>
        <v>2.1697929568240104</v>
      </c>
      <c r="T36" s="109">
        <v>29</v>
      </c>
      <c r="U36" s="190" t="s">
        <v>11</v>
      </c>
      <c r="V36" s="191" t="s">
        <v>129</v>
      </c>
      <c r="W36" s="191" t="s">
        <v>34</v>
      </c>
      <c r="X36" s="102">
        <v>1.293107236561482</v>
      </c>
      <c r="Y36" s="102">
        <v>1.2670958541290502</v>
      </c>
      <c r="Z36" s="102">
        <v>2.4596379454610848</v>
      </c>
      <c r="AA36" s="102">
        <v>5.2592172492113853</v>
      </c>
      <c r="AB36" s="102">
        <v>5.5482929854847924</v>
      </c>
      <c r="AC36" s="102">
        <v>7.0919771950251391</v>
      </c>
      <c r="AD36" s="102">
        <v>7.5090014464437882</v>
      </c>
      <c r="AE36" s="102">
        <v>12.087336938214172</v>
      </c>
      <c r="AF36" s="102">
        <v>16.890164454967277</v>
      </c>
      <c r="AG36" s="102">
        <v>17.870717801784821</v>
      </c>
      <c r="AH36" s="102">
        <v>31.995537411475187</v>
      </c>
      <c r="AI36" s="102">
        <v>50.876814832726204</v>
      </c>
      <c r="AJ36" s="178">
        <v>99.597371597822004</v>
      </c>
      <c r="AK36" s="182"/>
      <c r="AL36" s="180">
        <v>0.60500885962657902</v>
      </c>
      <c r="AM36" s="102">
        <v>0.62120966966440305</v>
      </c>
      <c r="AN36" s="102">
        <v>1.2062127971923351</v>
      </c>
      <c r="AO36" s="102">
        <v>2.0586884479802969</v>
      </c>
      <c r="AP36" s="102">
        <v>3.2694480584892358</v>
      </c>
      <c r="AQ36" s="102">
        <v>3.8608363357669848</v>
      </c>
      <c r="AR36" s="102">
        <v>6.0306292925909952</v>
      </c>
      <c r="AS36" s="102">
        <v>8.0701066012867599</v>
      </c>
      <c r="AT36" s="102">
        <v>12.004306744715171</v>
      </c>
      <c r="AU36" s="102">
        <v>12.999086875237197</v>
      </c>
      <c r="AV36" s="102">
        <v>16.16506334193955</v>
      </c>
      <c r="AW36" s="102">
        <v>31.552089482000412</v>
      </c>
      <c r="AX36" s="102">
        <v>67.52868756966744</v>
      </c>
      <c r="AY36" s="128"/>
      <c r="AZ36" s="102">
        <v>1.293107236561482</v>
      </c>
      <c r="BA36" s="102">
        <v>1.2670958541290502</v>
      </c>
      <c r="BB36" s="102">
        <v>2.4596379454610848</v>
      </c>
      <c r="BC36" s="102">
        <v>5.2592172492113853</v>
      </c>
      <c r="BD36" s="102">
        <v>5.5482929854847924</v>
      </c>
      <c r="BE36" s="102">
        <v>7.0919771950251391</v>
      </c>
      <c r="BF36" s="102">
        <v>7.5090014464437882</v>
      </c>
      <c r="BG36" s="102">
        <v>12.087336938214172</v>
      </c>
      <c r="BH36" s="102">
        <v>16.890164454967277</v>
      </c>
      <c r="BI36" s="102">
        <v>17.870717801784821</v>
      </c>
      <c r="BJ36" s="102">
        <v>31.995537411475187</v>
      </c>
      <c r="BK36" s="102">
        <v>50.876814832726204</v>
      </c>
      <c r="BL36" s="102">
        <v>99.597371597822004</v>
      </c>
      <c r="BM36" s="128"/>
      <c r="BN36" s="102">
        <v>0.60500885962657902</v>
      </c>
      <c r="BO36" s="102">
        <v>0.62120966966440305</v>
      </c>
      <c r="BP36" s="102">
        <v>1.2062127971923351</v>
      </c>
      <c r="BQ36" s="102">
        <v>2.0586884479802969</v>
      </c>
      <c r="BR36" s="102">
        <v>3.2694480584892358</v>
      </c>
      <c r="BS36" s="102">
        <v>3.8608363357669848</v>
      </c>
      <c r="BT36" s="102">
        <v>6.0306292925909952</v>
      </c>
      <c r="BU36" s="102">
        <v>8.0701066012867599</v>
      </c>
      <c r="BV36" s="102">
        <v>12.004306744715171</v>
      </c>
      <c r="BW36" s="102">
        <v>12.999086875237197</v>
      </c>
      <c r="BX36" s="102">
        <v>16.16506334193955</v>
      </c>
      <c r="BY36" s="102">
        <v>31.552089482000412</v>
      </c>
      <c r="BZ36" s="102">
        <v>67.52868756966744</v>
      </c>
    </row>
    <row r="37" spans="1:78" outlineLevel="1">
      <c r="A37" s="237">
        <v>26</v>
      </c>
      <c r="B37" s="236" t="s">
        <v>414</v>
      </c>
      <c r="C37" s="190" t="s">
        <v>11</v>
      </c>
      <c r="D37" s="190" t="s">
        <v>296</v>
      </c>
      <c r="E37" s="125">
        <f>HLOOKUP(INPUT!$Q$2,'Tracks Pull'!$X$8:$AJ$138,T37,FALSE)</f>
        <v>2.69121360920066</v>
      </c>
      <c r="F37" s="125">
        <f>HLOOKUP(INPUT!$Q$3,'Tracks Pull'!$X$8:$AJ$138,T37,FALSE)</f>
        <v>2.5417528122106501</v>
      </c>
      <c r="G37" s="125">
        <f>E37-F37</f>
        <v>0.14946079699000991</v>
      </c>
      <c r="I37" s="125">
        <f>HLOOKUP(INPUT!$Q$2,'Tracks Pull'!$AL$8:$AX$138,T37,FALSE)</f>
        <v>1.3839180160814499</v>
      </c>
      <c r="J37" s="125">
        <f>HLOOKUP(INPUT!$Q$3,'Tracks Pull'!$AL$8:$AX$138,T37,FALSE)</f>
        <v>0.88599061606624296</v>
      </c>
      <c r="K37" s="125">
        <f>I37-J37</f>
        <v>0.49792740001520697</v>
      </c>
      <c r="M37" s="125">
        <f>HLOOKUP(INPUT!$Q$2,'Tracks Pull'!$AZ$8:$BL$138,T37,FALSE)</f>
        <v>2.69121360920066</v>
      </c>
      <c r="N37" s="125">
        <f>HLOOKUP(INPUT!$Q$3,'Tracks Pull'!$AZ$8:$BL$138,T37,FALSE)</f>
        <v>2.5417528122106501</v>
      </c>
      <c r="O37" s="125">
        <f>M37-N37</f>
        <v>0.14946079699000991</v>
      </c>
      <c r="Q37" s="125">
        <f>HLOOKUP(INPUT!$Q$2,'Tracks Pull'!$BN$8:$BZ$138,T37,FALSE)</f>
        <v>1.3839180160814499</v>
      </c>
      <c r="R37" s="125">
        <f>HLOOKUP(INPUT!$Q$3,'Tracks Pull'!$BN$8:$BZ$138,T37,FALSE)</f>
        <v>0.88599061606624296</v>
      </c>
      <c r="S37" s="125">
        <f>Q37-R37</f>
        <v>0.49792740001520697</v>
      </c>
      <c r="T37" s="199">
        <v>30</v>
      </c>
      <c r="U37" s="500" t="s">
        <v>11</v>
      </c>
      <c r="V37" s="427" t="s">
        <v>129</v>
      </c>
      <c r="W37" s="500" t="s">
        <v>296</v>
      </c>
      <c r="X37" s="102">
        <v>0.463447479403301</v>
      </c>
      <c r="Y37" s="102">
        <v>0.45412504327173803</v>
      </c>
      <c r="Z37" s="102">
        <v>0.881530142155736</v>
      </c>
      <c r="AA37" s="102">
        <v>1.8848947008158601</v>
      </c>
      <c r="AB37" s="102">
        <v>1.9884989631265499</v>
      </c>
      <c r="AC37" s="102">
        <v>2.5417528122106501</v>
      </c>
      <c r="AD37" s="102">
        <v>2.69121360920066</v>
      </c>
      <c r="AE37" s="102">
        <v>4.3320814224268904</v>
      </c>
      <c r="AF37" s="102">
        <v>6.0534068034268902</v>
      </c>
      <c r="AG37" s="102">
        <v>6.4048354894277901</v>
      </c>
      <c r="AH37" s="102">
        <v>11.467147307080401</v>
      </c>
      <c r="AI37" s="102">
        <v>18.234165680639101</v>
      </c>
      <c r="AJ37" s="178">
        <v>35.695532061938103</v>
      </c>
      <c r="AK37" s="182"/>
      <c r="AL37" s="180">
        <v>0.13883835667942199</v>
      </c>
      <c r="AM37" s="102">
        <v>0.14255614329814201</v>
      </c>
      <c r="AN37" s="102">
        <v>0.27680355403594697</v>
      </c>
      <c r="AO37" s="102">
        <v>0.47243096771989301</v>
      </c>
      <c r="AP37" s="102">
        <v>0.75027793141664301</v>
      </c>
      <c r="AQ37" s="102">
        <v>0.88599061606624296</v>
      </c>
      <c r="AR37" s="102">
        <v>1.3839180160814499</v>
      </c>
      <c r="AS37" s="102">
        <v>1.85194038223169</v>
      </c>
      <c r="AT37" s="102">
        <v>2.7547666368731201</v>
      </c>
      <c r="AU37" s="102">
        <v>2.9830502998004098</v>
      </c>
      <c r="AV37" s="102">
        <v>3.7095834123799198</v>
      </c>
      <c r="AW37" s="102">
        <v>7.2406216599651199</v>
      </c>
      <c r="AX37" s="102">
        <v>15.4965863089633</v>
      </c>
      <c r="AY37" s="128"/>
      <c r="AZ37" s="102">
        <v>0.463447479403301</v>
      </c>
      <c r="BA37" s="102">
        <v>0.45412504327173803</v>
      </c>
      <c r="BB37" s="102">
        <v>0.881530142155736</v>
      </c>
      <c r="BC37" s="102">
        <v>1.8848947008158601</v>
      </c>
      <c r="BD37" s="102">
        <v>1.9884989631265499</v>
      </c>
      <c r="BE37" s="102">
        <v>2.5417528122106501</v>
      </c>
      <c r="BF37" s="102">
        <v>2.69121360920066</v>
      </c>
      <c r="BG37" s="102">
        <v>4.3320814224268904</v>
      </c>
      <c r="BH37" s="102">
        <v>6.0534068034268902</v>
      </c>
      <c r="BI37" s="102">
        <v>6.4048354894277901</v>
      </c>
      <c r="BJ37" s="102">
        <v>11.467147307080401</v>
      </c>
      <c r="BK37" s="102">
        <v>18.234165680639101</v>
      </c>
      <c r="BL37" s="102">
        <v>35.695532061938103</v>
      </c>
      <c r="BM37" s="128"/>
      <c r="BN37" s="102">
        <v>0.13883835667942199</v>
      </c>
      <c r="BO37" s="102">
        <v>0.14255614329814201</v>
      </c>
      <c r="BP37" s="102">
        <v>0.27680355403594697</v>
      </c>
      <c r="BQ37" s="102">
        <v>0.47243096771989301</v>
      </c>
      <c r="BR37" s="102">
        <v>0.75027793141664301</v>
      </c>
      <c r="BS37" s="102">
        <v>0.88599061606624296</v>
      </c>
      <c r="BT37" s="102">
        <v>1.3839180160814499</v>
      </c>
      <c r="BU37" s="102">
        <v>1.85194038223169</v>
      </c>
      <c r="BV37" s="102">
        <v>2.7547666368731201</v>
      </c>
      <c r="BW37" s="102">
        <v>2.9830502998004098</v>
      </c>
      <c r="BX37" s="102">
        <v>3.7095834123799198</v>
      </c>
      <c r="BY37" s="102">
        <v>7.2406216599651199</v>
      </c>
      <c r="BZ37" s="102">
        <v>15.4965863089633</v>
      </c>
    </row>
    <row r="38" spans="1:78" outlineLevel="1">
      <c r="A38" s="237">
        <v>26</v>
      </c>
      <c r="B38" s="236" t="s">
        <v>401</v>
      </c>
      <c r="C38" s="190" t="s">
        <v>11</v>
      </c>
      <c r="D38" s="190" t="s">
        <v>397</v>
      </c>
      <c r="E38" s="125">
        <f>HLOOKUP(INPUT!$Q$2,'Tracks Pull'!$X$8:$AJ$138,T38,FALSE)</f>
        <v>0.19604867351792901</v>
      </c>
      <c r="F38" s="125">
        <f>HLOOKUP(INPUT!$Q$3,'Tracks Pull'!$X$8:$AJ$138,T38,FALSE)</f>
        <v>0.185160800889518</v>
      </c>
      <c r="G38" s="125">
        <f>E38-F38</f>
        <v>1.0887872628411011E-2</v>
      </c>
      <c r="I38" s="125">
        <f>HLOOKUP(INPUT!$Q$2,'Tracks Pull'!$AL$8:$AX$138,T38,FALSE)</f>
        <v>0.39700428956052503</v>
      </c>
      <c r="J38" s="125">
        <f>HLOOKUP(INPUT!$Q$3,'Tracks Pull'!$AL$8:$AX$138,T38,FALSE)</f>
        <v>0.25416395407917602</v>
      </c>
      <c r="K38" s="125">
        <f>I38-J38</f>
        <v>0.142840335481349</v>
      </c>
      <c r="M38" s="125">
        <f>HLOOKUP(INPUT!$Q$2,'Tracks Pull'!$AZ$8:$BL$138,T38,FALSE)</f>
        <v>0.19604867351792901</v>
      </c>
      <c r="N38" s="125">
        <f>HLOOKUP(INPUT!$Q$3,'Tracks Pull'!$AZ$8:$BL$138,T38,FALSE)</f>
        <v>0.185160800889518</v>
      </c>
      <c r="O38" s="125">
        <f>M38-N38</f>
        <v>1.0887872628411011E-2</v>
      </c>
      <c r="Q38" s="125">
        <f>HLOOKUP(INPUT!$Q$2,'Tracks Pull'!$BN$8:$BZ$138,T38,FALSE)</f>
        <v>0.39700428956052503</v>
      </c>
      <c r="R38" s="125">
        <f>HLOOKUP(INPUT!$Q$3,'Tracks Pull'!$BN$8:$BZ$138,T38,FALSE)</f>
        <v>0.25416395407917602</v>
      </c>
      <c r="S38" s="125">
        <f>Q38-R38</f>
        <v>0.142840335481349</v>
      </c>
      <c r="T38" s="109">
        <v>31</v>
      </c>
      <c r="U38" s="500" t="s">
        <v>11</v>
      </c>
      <c r="V38" s="427" t="s">
        <v>129</v>
      </c>
      <c r="W38" s="500" t="s">
        <v>397</v>
      </c>
      <c r="X38" s="102">
        <v>3.3761074658518998E-2</v>
      </c>
      <c r="Y38" s="102">
        <v>3.3081956794630003E-2</v>
      </c>
      <c r="Z38" s="102">
        <v>6.4217427574258995E-2</v>
      </c>
      <c r="AA38" s="102">
        <v>0.137310209993209</v>
      </c>
      <c r="AB38" s="102">
        <v>0.14485754036021201</v>
      </c>
      <c r="AC38" s="102">
        <v>0.185160800889518</v>
      </c>
      <c r="AD38" s="102">
        <v>0.19604867351792901</v>
      </c>
      <c r="AE38" s="102">
        <v>0.31558209037546903</v>
      </c>
      <c r="AF38" s="102">
        <v>0.44097665455427698</v>
      </c>
      <c r="AG38" s="102">
        <v>0.46657741975964101</v>
      </c>
      <c r="AH38" s="102">
        <v>0.83535510184029604</v>
      </c>
      <c r="AI38" s="102">
        <v>1.3283167052121201</v>
      </c>
      <c r="AJ38" s="178">
        <v>2.6003367727239701</v>
      </c>
      <c r="AK38" s="182"/>
      <c r="AL38" s="180">
        <v>3.9828532121675003E-2</v>
      </c>
      <c r="AM38" s="102">
        <v>4.0895052839052003E-2</v>
      </c>
      <c r="AN38" s="102">
        <v>7.9406581199822995E-2</v>
      </c>
      <c r="AO38" s="102">
        <v>0.13552617895465599</v>
      </c>
      <c r="AP38" s="102">
        <v>0.21523208287901399</v>
      </c>
      <c r="AQ38" s="102">
        <v>0.25416395407917602</v>
      </c>
      <c r="AR38" s="102">
        <v>0.39700428956052503</v>
      </c>
      <c r="AS38" s="102">
        <v>0.53126577384846096</v>
      </c>
      <c r="AT38" s="102">
        <v>0.790259364260259</v>
      </c>
      <c r="AU38" s="102">
        <v>0.85574705382393801</v>
      </c>
      <c r="AV38" s="102">
        <v>1.0641674651851001</v>
      </c>
      <c r="AW38" s="102">
        <v>2.07711571400037</v>
      </c>
      <c r="AX38" s="102">
        <v>4.4455026719163797</v>
      </c>
      <c r="AY38" s="128"/>
      <c r="AZ38" s="102">
        <v>3.3761074658518998E-2</v>
      </c>
      <c r="BA38" s="102">
        <v>3.3081956794630003E-2</v>
      </c>
      <c r="BB38" s="102">
        <v>6.4217427574258995E-2</v>
      </c>
      <c r="BC38" s="102">
        <v>0.137310209993209</v>
      </c>
      <c r="BD38" s="102">
        <v>0.14485754036021201</v>
      </c>
      <c r="BE38" s="102">
        <v>0.185160800889518</v>
      </c>
      <c r="BF38" s="102">
        <v>0.19604867351792901</v>
      </c>
      <c r="BG38" s="102">
        <v>0.31558209037546903</v>
      </c>
      <c r="BH38" s="102">
        <v>0.44097665455427698</v>
      </c>
      <c r="BI38" s="102">
        <v>0.46657741975964101</v>
      </c>
      <c r="BJ38" s="102">
        <v>0.83535510184029604</v>
      </c>
      <c r="BK38" s="102">
        <v>1.3283167052121201</v>
      </c>
      <c r="BL38" s="102">
        <v>2.6003367727239701</v>
      </c>
      <c r="BM38" s="128"/>
      <c r="BN38" s="102">
        <v>3.9828532121675003E-2</v>
      </c>
      <c r="BO38" s="102">
        <v>4.0895052839052003E-2</v>
      </c>
      <c r="BP38" s="102">
        <v>7.9406581199822995E-2</v>
      </c>
      <c r="BQ38" s="102">
        <v>0.13552617895465599</v>
      </c>
      <c r="BR38" s="102">
        <v>0.21523208287901399</v>
      </c>
      <c r="BS38" s="102">
        <v>0.25416395407917602</v>
      </c>
      <c r="BT38" s="102">
        <v>0.39700428956052503</v>
      </c>
      <c r="BU38" s="102">
        <v>0.53126577384846096</v>
      </c>
      <c r="BV38" s="102">
        <v>0.790259364260259</v>
      </c>
      <c r="BW38" s="102">
        <v>0.85574705382393801</v>
      </c>
      <c r="BX38" s="102">
        <v>1.0641674651851001</v>
      </c>
      <c r="BY38" s="102">
        <v>2.07711571400037</v>
      </c>
      <c r="BZ38" s="102">
        <v>4.4455026719163797</v>
      </c>
    </row>
    <row r="39" spans="1:78" outlineLevel="1">
      <c r="A39" s="237">
        <v>26</v>
      </c>
      <c r="B39" s="236" t="s">
        <v>409</v>
      </c>
      <c r="C39" s="190" t="s">
        <v>11</v>
      </c>
      <c r="D39" s="190" t="s">
        <v>396</v>
      </c>
      <c r="E39" s="125">
        <f>HLOOKUP(INPUT!$Q$2,'Tracks Pull'!$X$8:$AJ$138,T39,FALSE)</f>
        <v>2.3582681149272902</v>
      </c>
      <c r="F39" s="125">
        <f>HLOOKUP(INPUT!$Q$3,'Tracks Pull'!$X$8:$AJ$138,T39,FALSE)</f>
        <v>2.22729797165508</v>
      </c>
      <c r="G39" s="125">
        <f>E39-F39</f>
        <v>0.13097014327221013</v>
      </c>
      <c r="I39" s="125">
        <f>HLOOKUP(INPUT!$Q$2,'Tracks Pull'!$AL$8:$AX$138,T39,FALSE)</f>
        <v>1.2088523988153299</v>
      </c>
      <c r="J39" s="125">
        <f>HLOOKUP(INPUT!$Q$3,'Tracks Pull'!$AL$8:$AX$138,T39,FALSE)</f>
        <v>0.77391281066790596</v>
      </c>
      <c r="K39" s="125">
        <f>I39-J39</f>
        <v>0.43493958814742395</v>
      </c>
      <c r="M39" s="125">
        <f>HLOOKUP(INPUT!$Q$2,'Tracks Pull'!$AZ$8:$BL$138,T39,FALSE)</f>
        <v>2.3582681149272902</v>
      </c>
      <c r="N39" s="125">
        <f>HLOOKUP(INPUT!$Q$3,'Tracks Pull'!$AZ$8:$BL$138,T39,FALSE)</f>
        <v>2.22729797165508</v>
      </c>
      <c r="O39" s="125">
        <f>M39-N39</f>
        <v>0.13097014327221013</v>
      </c>
      <c r="Q39" s="125">
        <f>HLOOKUP(INPUT!$Q$2,'Tracks Pull'!$BN$8:$BZ$138,T39,FALSE)</f>
        <v>1.2088523988153299</v>
      </c>
      <c r="R39" s="125">
        <f>HLOOKUP(INPUT!$Q$3,'Tracks Pull'!$BN$8:$BZ$138,T39,FALSE)</f>
        <v>0.77391281066790596</v>
      </c>
      <c r="S39" s="125">
        <f>Q39-R39</f>
        <v>0.43493958814742395</v>
      </c>
      <c r="T39" s="199">
        <v>32</v>
      </c>
      <c r="U39" s="500" t="s">
        <v>11</v>
      </c>
      <c r="V39" s="427" t="s">
        <v>129</v>
      </c>
      <c r="W39" s="500" t="s">
        <v>396</v>
      </c>
      <c r="X39" s="102">
        <v>0.40611172962403802</v>
      </c>
      <c r="Y39" s="102">
        <v>0.39794262561559002</v>
      </c>
      <c r="Z39" s="102">
        <v>0.77247098464646402</v>
      </c>
      <c r="AA39" s="102">
        <v>1.6517035502989099</v>
      </c>
      <c r="AB39" s="102">
        <v>1.7424903342028499</v>
      </c>
      <c r="AC39" s="102">
        <v>2.22729797165508</v>
      </c>
      <c r="AD39" s="102">
        <v>2.3582681149272902</v>
      </c>
      <c r="AE39" s="102">
        <v>3.7961347456222998</v>
      </c>
      <c r="AF39" s="102">
        <v>5.3045050762230996</v>
      </c>
      <c r="AG39" s="102">
        <v>5.6124565008269904</v>
      </c>
      <c r="AH39" s="102">
        <v>10.048480644943799</v>
      </c>
      <c r="AI39" s="102">
        <v>15.9783123048805</v>
      </c>
      <c r="AJ39" s="178">
        <v>31.279432750801401</v>
      </c>
      <c r="AK39" s="182"/>
      <c r="AL39" s="180">
        <v>0.12127530574009</v>
      </c>
      <c r="AM39" s="102">
        <v>0.124522792383157</v>
      </c>
      <c r="AN39" s="102">
        <v>0.24178790680420501</v>
      </c>
      <c r="AO39" s="102">
        <v>0.41266845432065402</v>
      </c>
      <c r="AP39" s="102">
        <v>0.65536777947244396</v>
      </c>
      <c r="AQ39" s="102">
        <v>0.77391281066790596</v>
      </c>
      <c r="AR39" s="102">
        <v>1.2088523988153299</v>
      </c>
      <c r="AS39" s="102">
        <v>1.6176699396273999</v>
      </c>
      <c r="AT39" s="102">
        <v>2.4062886807338901</v>
      </c>
      <c r="AU39" s="102">
        <v>2.6056944622420999</v>
      </c>
      <c r="AV39" s="102">
        <v>3.2403211422583902</v>
      </c>
      <c r="AW39" s="102">
        <v>6.3246830815503303</v>
      </c>
      <c r="AX39" s="102">
        <v>13.536268272655001</v>
      </c>
      <c r="AY39" s="128"/>
      <c r="AZ39" s="102">
        <v>0.40611172962403802</v>
      </c>
      <c r="BA39" s="102">
        <v>0.39794262561559002</v>
      </c>
      <c r="BB39" s="102">
        <v>0.77247098464646402</v>
      </c>
      <c r="BC39" s="102">
        <v>1.6517035502989099</v>
      </c>
      <c r="BD39" s="102">
        <v>1.7424903342028499</v>
      </c>
      <c r="BE39" s="102">
        <v>2.22729797165508</v>
      </c>
      <c r="BF39" s="102">
        <v>2.3582681149272902</v>
      </c>
      <c r="BG39" s="102">
        <v>3.7961347456222998</v>
      </c>
      <c r="BH39" s="102">
        <v>5.3045050762230996</v>
      </c>
      <c r="BI39" s="102">
        <v>5.6124565008269904</v>
      </c>
      <c r="BJ39" s="102">
        <v>10.048480644943799</v>
      </c>
      <c r="BK39" s="102">
        <v>15.9783123048805</v>
      </c>
      <c r="BL39" s="102">
        <v>31.279432750801401</v>
      </c>
      <c r="BM39" s="128"/>
      <c r="BN39" s="102">
        <v>0.12127530574009</v>
      </c>
      <c r="BO39" s="102">
        <v>0.124522792383157</v>
      </c>
      <c r="BP39" s="102">
        <v>0.24178790680420501</v>
      </c>
      <c r="BQ39" s="102">
        <v>0.41266845432065402</v>
      </c>
      <c r="BR39" s="102">
        <v>0.65536777947244396</v>
      </c>
      <c r="BS39" s="102">
        <v>0.77391281066790596</v>
      </c>
      <c r="BT39" s="102">
        <v>1.2088523988153299</v>
      </c>
      <c r="BU39" s="102">
        <v>1.6176699396273999</v>
      </c>
      <c r="BV39" s="102">
        <v>2.4062886807338901</v>
      </c>
      <c r="BW39" s="102">
        <v>2.6056944622420999</v>
      </c>
      <c r="BX39" s="102">
        <v>3.2403211422583902</v>
      </c>
      <c r="BY39" s="102">
        <v>6.3246830815503303</v>
      </c>
      <c r="BZ39" s="102">
        <v>13.536268272655001</v>
      </c>
    </row>
    <row r="40" spans="1:78" outlineLevel="1">
      <c r="A40" s="237">
        <v>26</v>
      </c>
      <c r="B40" s="236" t="s">
        <v>93</v>
      </c>
      <c r="C40" s="190" t="s">
        <v>11</v>
      </c>
      <c r="D40" s="190" t="s">
        <v>133</v>
      </c>
      <c r="E40" s="125">
        <f>HLOOKUP(INPUT!$Q$2,'Tracks Pull'!$X$8:$AJ$138,T40,FALSE)</f>
        <v>0.74854948070481897</v>
      </c>
      <c r="F40" s="125">
        <f>HLOOKUP(INPUT!$Q$3,'Tracks Pull'!$X$8:$AJ$138,T40,FALSE)</f>
        <v>0.70697760339634097</v>
      </c>
      <c r="G40" s="125">
        <f t="shared" si="9"/>
        <v>4.1571877308478E-2</v>
      </c>
      <c r="I40" s="125">
        <f>HLOOKUP(INPUT!$Q$2,'Tracks Pull'!$AL$8:$AX$138,T40,FALSE)</f>
        <v>0.561392555170521</v>
      </c>
      <c r="J40" s="125">
        <f>HLOOKUP(INPUT!$Q$3,'Tracks Pull'!$AL$8:$AX$138,T40,FALSE)</f>
        <v>0.35940607032408001</v>
      </c>
      <c r="K40" s="125">
        <f t="shared" si="10"/>
        <v>0.20198648484644099</v>
      </c>
      <c r="M40" s="125">
        <f>HLOOKUP(INPUT!$Q$2,'Tracks Pull'!$AZ$8:$BL$138,T40,FALSE)</f>
        <v>0.74854948070481897</v>
      </c>
      <c r="N40" s="125">
        <f>HLOOKUP(INPUT!$Q$3,'Tracks Pull'!$AZ$8:$BL$138,T40,FALSE)</f>
        <v>0.70697760339634097</v>
      </c>
      <c r="O40" s="125">
        <f t="shared" si="11"/>
        <v>4.1571877308478E-2</v>
      </c>
      <c r="Q40" s="125">
        <f>HLOOKUP(INPUT!$Q$2,'Tracks Pull'!$BN$8:$BZ$138,T40,FALSE)</f>
        <v>0.561392555170521</v>
      </c>
      <c r="R40" s="125">
        <f>HLOOKUP(INPUT!$Q$3,'Tracks Pull'!$BN$8:$BZ$138,T40,FALSE)</f>
        <v>0.35940607032408001</v>
      </c>
      <c r="S40" s="125">
        <f t="shared" si="12"/>
        <v>0.20198648484644099</v>
      </c>
      <c r="T40" s="109">
        <v>33</v>
      </c>
      <c r="U40" s="190" t="s">
        <v>11</v>
      </c>
      <c r="V40" s="191" t="s">
        <v>129</v>
      </c>
      <c r="W40" s="190" t="s">
        <v>297</v>
      </c>
      <c r="X40" s="102">
        <v>0.12890592142343499</v>
      </c>
      <c r="Y40" s="102">
        <v>0.12631292594313301</v>
      </c>
      <c r="Z40" s="102">
        <v>0.24519381437444299</v>
      </c>
      <c r="AA40" s="102">
        <v>0.52427534724679603</v>
      </c>
      <c r="AB40" s="102">
        <v>0.55309242682990101</v>
      </c>
      <c r="AC40" s="102">
        <v>0.70697760339634097</v>
      </c>
      <c r="AD40" s="102">
        <v>0.74854948070481897</v>
      </c>
      <c r="AE40" s="102">
        <v>1.2049497996154299</v>
      </c>
      <c r="AF40" s="102">
        <v>1.6837290446617801</v>
      </c>
      <c r="AG40" s="102">
        <v>1.78147742090045</v>
      </c>
      <c r="AH40" s="102">
        <v>3.1895376615720399</v>
      </c>
      <c r="AI40" s="102">
        <v>5.0717546926280903</v>
      </c>
      <c r="AJ40" s="178">
        <v>9.9285585867642396</v>
      </c>
      <c r="AK40" s="182"/>
      <c r="AL40" s="180">
        <v>5.6320402586152001E-2</v>
      </c>
      <c r="AM40" s="102">
        <v>5.7828539415942001E-2</v>
      </c>
      <c r="AN40" s="102">
        <v>0.11228660417365</v>
      </c>
      <c r="AO40" s="102">
        <v>0.19164374264085199</v>
      </c>
      <c r="AP40" s="102">
        <v>0.30435361062692501</v>
      </c>
      <c r="AQ40" s="102">
        <v>0.35940607032408001</v>
      </c>
      <c r="AR40" s="102">
        <v>0.561392555170521</v>
      </c>
      <c r="AS40" s="102">
        <v>0.75124792879589797</v>
      </c>
      <c r="AT40" s="102">
        <v>1.11748345147758</v>
      </c>
      <c r="AU40" s="102">
        <v>1.2100877440333699</v>
      </c>
      <c r="AV40" s="102">
        <v>1.5048091623164299</v>
      </c>
      <c r="AW40" s="102">
        <v>2.9371906771040899</v>
      </c>
      <c r="AX40" s="102">
        <v>6.28625979524596</v>
      </c>
      <c r="AY40" s="128"/>
      <c r="AZ40" s="102">
        <v>0.12890592142343499</v>
      </c>
      <c r="BA40" s="102">
        <v>0.12631292594313301</v>
      </c>
      <c r="BB40" s="102">
        <v>0.24519381437444299</v>
      </c>
      <c r="BC40" s="102">
        <v>0.52427534724679603</v>
      </c>
      <c r="BD40" s="102">
        <v>0.55309242682990101</v>
      </c>
      <c r="BE40" s="102">
        <v>0.70697760339634097</v>
      </c>
      <c r="BF40" s="102">
        <v>0.74854948070481897</v>
      </c>
      <c r="BG40" s="102">
        <v>1.2049497996154299</v>
      </c>
      <c r="BH40" s="102">
        <v>1.6837290446617801</v>
      </c>
      <c r="BI40" s="102">
        <v>1.78147742090045</v>
      </c>
      <c r="BJ40" s="102">
        <v>3.1895376615720399</v>
      </c>
      <c r="BK40" s="102">
        <v>5.0717546926280903</v>
      </c>
      <c r="BL40" s="102">
        <v>9.9285585867642396</v>
      </c>
      <c r="BM40" s="128"/>
      <c r="BN40" s="102">
        <v>5.6320402586152001E-2</v>
      </c>
      <c r="BO40" s="102">
        <v>5.7828539415942001E-2</v>
      </c>
      <c r="BP40" s="102">
        <v>0.11228660417365</v>
      </c>
      <c r="BQ40" s="102">
        <v>0.19164374264085199</v>
      </c>
      <c r="BR40" s="102">
        <v>0.30435361062692501</v>
      </c>
      <c r="BS40" s="102">
        <v>0.35940607032408001</v>
      </c>
      <c r="BT40" s="102">
        <v>0.561392555170521</v>
      </c>
      <c r="BU40" s="102">
        <v>0.75124792879589797</v>
      </c>
      <c r="BV40" s="102">
        <v>1.11748345147758</v>
      </c>
      <c r="BW40" s="102">
        <v>1.2100877440333699</v>
      </c>
      <c r="BX40" s="102">
        <v>1.5048091623164299</v>
      </c>
      <c r="BY40" s="102">
        <v>2.9371906771040899</v>
      </c>
      <c r="BZ40" s="102">
        <v>6.28625979524596</v>
      </c>
    </row>
    <row r="41" spans="1:78" outlineLevel="1">
      <c r="A41" s="237">
        <v>26</v>
      </c>
      <c r="B41" s="236" t="s">
        <v>238</v>
      </c>
      <c r="C41" s="190" t="s">
        <v>11</v>
      </c>
      <c r="D41" s="190" t="s">
        <v>134</v>
      </c>
      <c r="E41" s="125">
        <f>HLOOKUP(INPUT!$Q$2,'Tracks Pull'!$X$8:$AJ$138,T41,FALSE)</f>
        <v>1.5149215680930901</v>
      </c>
      <c r="F41" s="125">
        <f>HLOOKUP(INPUT!$Q$3,'Tracks Pull'!$X$8:$AJ$138,T41,FALSE)</f>
        <v>1.4307880068735499</v>
      </c>
      <c r="G41" s="125">
        <f t="shared" si="9"/>
        <v>8.4133561219540187E-2</v>
      </c>
      <c r="I41" s="125">
        <f>HLOOKUP(INPUT!$Q$2,'Tracks Pull'!$AL$8:$AX$138,T41,FALSE)</f>
        <v>2.4794620329631698</v>
      </c>
      <c r="J41" s="125">
        <f>HLOOKUP(INPUT!$Q$3,'Tracks Pull'!$AL$8:$AX$138,T41,FALSE)</f>
        <v>1.58736288462958</v>
      </c>
      <c r="K41" s="125">
        <f t="shared" si="10"/>
        <v>0.89209914833358983</v>
      </c>
      <c r="M41" s="125">
        <f>HLOOKUP(INPUT!$Q$2,'Tracks Pull'!$AZ$8:$BL$138,T41,FALSE)</f>
        <v>1.5149215680930901</v>
      </c>
      <c r="N41" s="125">
        <f>HLOOKUP(INPUT!$Q$3,'Tracks Pull'!$AZ$8:$BL$138,T41,FALSE)</f>
        <v>1.4307880068735499</v>
      </c>
      <c r="O41" s="125">
        <f t="shared" si="11"/>
        <v>8.4133561219540187E-2</v>
      </c>
      <c r="Q41" s="125">
        <f>HLOOKUP(INPUT!$Q$2,'Tracks Pull'!$BN$8:$BZ$138,T41,FALSE)</f>
        <v>2.4794620329631698</v>
      </c>
      <c r="R41" s="125">
        <f>HLOOKUP(INPUT!$Q$3,'Tracks Pull'!$BN$8:$BZ$138,T41,FALSE)</f>
        <v>1.58736288462958</v>
      </c>
      <c r="S41" s="125">
        <f t="shared" si="12"/>
        <v>0.89209914833358983</v>
      </c>
      <c r="T41" s="199">
        <v>34</v>
      </c>
      <c r="U41" s="190" t="s">
        <v>11</v>
      </c>
      <c r="V41" s="191" t="s">
        <v>129</v>
      </c>
      <c r="W41" s="190" t="s">
        <v>298</v>
      </c>
      <c r="X41" s="102">
        <v>0.26088103145218899</v>
      </c>
      <c r="Y41" s="102">
        <v>0.25563330250395899</v>
      </c>
      <c r="Z41" s="102">
        <v>0.49622557671018303</v>
      </c>
      <c r="AA41" s="102">
        <v>1.06103344085661</v>
      </c>
      <c r="AB41" s="102">
        <v>1.11935372096528</v>
      </c>
      <c r="AC41" s="102">
        <v>1.4307880068735499</v>
      </c>
      <c r="AD41" s="102">
        <v>1.5149215680930901</v>
      </c>
      <c r="AE41" s="102">
        <v>2.43858888017408</v>
      </c>
      <c r="AF41" s="102">
        <v>3.4075468761012302</v>
      </c>
      <c r="AG41" s="102">
        <v>3.60537097086995</v>
      </c>
      <c r="AH41" s="102">
        <v>6.4550166960386504</v>
      </c>
      <c r="AI41" s="102">
        <v>10.2642654493664</v>
      </c>
      <c r="AJ41" s="178">
        <v>20.093511425594301</v>
      </c>
      <c r="AK41" s="182"/>
      <c r="AL41" s="180">
        <v>0.24874626249924001</v>
      </c>
      <c r="AM41" s="102">
        <v>0.25540714172811002</v>
      </c>
      <c r="AN41" s="102">
        <v>0.49592815097871001</v>
      </c>
      <c r="AO41" s="102">
        <v>0.84641910434424195</v>
      </c>
      <c r="AP41" s="102">
        <v>1.34421665409421</v>
      </c>
      <c r="AQ41" s="102">
        <v>1.58736288462958</v>
      </c>
      <c r="AR41" s="102">
        <v>2.4794620329631698</v>
      </c>
      <c r="AS41" s="102">
        <v>3.3179825767833102</v>
      </c>
      <c r="AT41" s="102">
        <v>4.9355086113703202</v>
      </c>
      <c r="AU41" s="102">
        <v>5.3445073153373803</v>
      </c>
      <c r="AV41" s="102">
        <v>6.6461821597997099</v>
      </c>
      <c r="AW41" s="102">
        <v>12.9724783493805</v>
      </c>
      <c r="AX41" s="102">
        <v>27.764070520886801</v>
      </c>
      <c r="AY41" s="128"/>
      <c r="AZ41" s="102">
        <v>0.26088103145218899</v>
      </c>
      <c r="BA41" s="102">
        <v>0.25563330250395899</v>
      </c>
      <c r="BB41" s="102">
        <v>0.49622557671018303</v>
      </c>
      <c r="BC41" s="102">
        <v>1.06103344085661</v>
      </c>
      <c r="BD41" s="102">
        <v>1.11935372096528</v>
      </c>
      <c r="BE41" s="102">
        <v>1.4307880068735499</v>
      </c>
      <c r="BF41" s="102">
        <v>1.5149215680930901</v>
      </c>
      <c r="BG41" s="102">
        <v>2.43858888017408</v>
      </c>
      <c r="BH41" s="102">
        <v>3.4075468761012302</v>
      </c>
      <c r="BI41" s="102">
        <v>3.60537097086995</v>
      </c>
      <c r="BJ41" s="102">
        <v>6.4550166960386504</v>
      </c>
      <c r="BK41" s="102">
        <v>10.2642654493664</v>
      </c>
      <c r="BL41" s="102">
        <v>20.093511425594301</v>
      </c>
      <c r="BM41" s="128"/>
      <c r="BN41" s="102">
        <v>0.24874626249924001</v>
      </c>
      <c r="BO41" s="102">
        <v>0.25540714172811002</v>
      </c>
      <c r="BP41" s="102">
        <v>0.49592815097871001</v>
      </c>
      <c r="BQ41" s="102">
        <v>0.84641910434424195</v>
      </c>
      <c r="BR41" s="102">
        <v>1.34421665409421</v>
      </c>
      <c r="BS41" s="102">
        <v>1.58736288462958</v>
      </c>
      <c r="BT41" s="102">
        <v>2.4794620329631698</v>
      </c>
      <c r="BU41" s="102">
        <v>3.3179825767833102</v>
      </c>
      <c r="BV41" s="102">
        <v>4.9355086113703202</v>
      </c>
      <c r="BW41" s="102">
        <v>5.3445073153373803</v>
      </c>
      <c r="BX41" s="102">
        <v>6.6461821597997099</v>
      </c>
      <c r="BY41" s="102">
        <v>12.9724783493805</v>
      </c>
      <c r="BZ41" s="102">
        <v>27.764070520886801</v>
      </c>
    </row>
    <row r="42" spans="1:78">
      <c r="B42" s="236"/>
      <c r="C42" s="190"/>
      <c r="D42" s="190"/>
      <c r="E42" s="125"/>
      <c r="F42" s="125"/>
      <c r="G42" s="125"/>
      <c r="I42" s="125"/>
      <c r="J42" s="125"/>
      <c r="K42" s="125"/>
      <c r="M42" s="125"/>
      <c r="N42" s="125"/>
      <c r="O42" s="125"/>
      <c r="Q42" s="125"/>
      <c r="R42" s="125"/>
      <c r="S42" s="125"/>
      <c r="T42" s="109">
        <v>35</v>
      </c>
      <c r="U42" s="583"/>
      <c r="V42" s="583"/>
      <c r="W42" s="583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78"/>
      <c r="AK42" s="182"/>
      <c r="AL42" s="180"/>
      <c r="AM42" s="102"/>
      <c r="AN42" s="102"/>
      <c r="AO42" s="102"/>
      <c r="AP42" s="102"/>
      <c r="AQ42" s="102"/>
      <c r="AR42" s="102"/>
      <c r="AS42" s="102"/>
      <c r="AT42" s="102"/>
      <c r="AU42" s="102"/>
      <c r="AV42" s="102"/>
      <c r="AW42" s="102"/>
      <c r="AX42" s="102"/>
      <c r="AY42" s="128"/>
      <c r="AZ42" s="102"/>
      <c r="BA42" s="102"/>
      <c r="BB42" s="102"/>
      <c r="BC42" s="102"/>
      <c r="BD42" s="102"/>
      <c r="BE42" s="102"/>
      <c r="BF42" s="102"/>
      <c r="BG42" s="102"/>
      <c r="BH42" s="102"/>
      <c r="BI42" s="102"/>
      <c r="BJ42" s="102"/>
      <c r="BK42" s="102"/>
      <c r="BL42" s="102"/>
      <c r="BM42" s="128"/>
      <c r="BN42" s="102"/>
      <c r="BO42" s="102"/>
      <c r="BP42" s="102"/>
      <c r="BQ42" s="102"/>
      <c r="BR42" s="102"/>
      <c r="BS42" s="102"/>
      <c r="BT42" s="102"/>
      <c r="BU42" s="102"/>
      <c r="BV42" s="102"/>
      <c r="BW42" s="102"/>
      <c r="BX42" s="102"/>
      <c r="BY42" s="102"/>
      <c r="BZ42" s="102"/>
    </row>
    <row r="43" spans="1:78">
      <c r="A43" s="237" t="s">
        <v>191</v>
      </c>
      <c r="B43" s="236" t="s">
        <v>13</v>
      </c>
      <c r="C43" s="190" t="s">
        <v>37</v>
      </c>
      <c r="D43" s="202" t="s">
        <v>231</v>
      </c>
      <c r="E43" s="123">
        <f>HLOOKUP(INPUT!$Q$2,'Tracks Pull'!$X$8:$AJ$138,T43,FALSE)</f>
        <v>174.74552223544717</v>
      </c>
      <c r="F43" s="123">
        <f>HLOOKUP(INPUT!$Q$3,'Tracks Pull'!$X$8:$AJ$138,T43,FALSE)</f>
        <v>135.03136405509184</v>
      </c>
      <c r="G43" s="123">
        <f t="shared" si="9"/>
        <v>39.714158180355327</v>
      </c>
      <c r="I43" s="123">
        <f>HLOOKUP(INPUT!$Q$2,'Tracks Pull'!$AL$8:$AX$138,T43,FALSE)</f>
        <v>97.705107323793925</v>
      </c>
      <c r="J43" s="123">
        <f>HLOOKUP(INPUT!$Q$3,'Tracks Pull'!$AL$8:$AX$138,T43,FALSE)</f>
        <v>73.904337318823039</v>
      </c>
      <c r="K43" s="123">
        <f t="shared" si="10"/>
        <v>23.800770004970886</v>
      </c>
      <c r="M43" s="123">
        <f>HLOOKUP(INPUT!$Q$2,'Tracks Pull'!$AZ$8:$BL$138,T43,FALSE)</f>
        <v>174.74552223544717</v>
      </c>
      <c r="N43" s="123">
        <f>HLOOKUP(INPUT!$Q$3,'Tracks Pull'!$AZ$8:$BL$138,T43,FALSE)</f>
        <v>135.03136405509184</v>
      </c>
      <c r="O43" s="123">
        <f t="shared" si="11"/>
        <v>39.714158180355327</v>
      </c>
      <c r="Q43" s="123">
        <f>HLOOKUP(INPUT!$Q$2,'Tracks Pull'!$BN$8:$BZ$138,T43,FALSE)</f>
        <v>97.705107323793925</v>
      </c>
      <c r="R43" s="123">
        <f>HLOOKUP(INPUT!$Q$3,'Tracks Pull'!$BN$8:$BZ$138,T43,FALSE)</f>
        <v>73.904337318823039</v>
      </c>
      <c r="S43" s="123">
        <f t="shared" si="12"/>
        <v>23.800770004970886</v>
      </c>
      <c r="T43" s="199">
        <v>36</v>
      </c>
      <c r="U43" s="190" t="s">
        <v>37</v>
      </c>
      <c r="V43" s="191" t="s">
        <v>129</v>
      </c>
      <c r="W43" s="194" t="s">
        <v>13</v>
      </c>
      <c r="X43" s="102">
        <v>28.364032154930424</v>
      </c>
      <c r="Y43" s="102">
        <v>47.701184386797962</v>
      </c>
      <c r="Z43" s="102">
        <v>74.340957261335163</v>
      </c>
      <c r="AA43" s="102">
        <v>93.99340714826775</v>
      </c>
      <c r="AB43" s="102">
        <v>116.87375826937003</v>
      </c>
      <c r="AC43" s="102">
        <v>135.03136405509184</v>
      </c>
      <c r="AD43" s="102">
        <v>174.74552223544717</v>
      </c>
      <c r="AE43" s="102">
        <v>236.92686376363292</v>
      </c>
      <c r="AF43" s="102">
        <v>298.48534955588951</v>
      </c>
      <c r="AG43" s="102">
        <v>398.86349291008855</v>
      </c>
      <c r="AH43" s="102">
        <v>487.89248934290634</v>
      </c>
      <c r="AI43" s="102">
        <v>487.89248934290634</v>
      </c>
      <c r="AJ43" s="178">
        <v>487.89248934290634</v>
      </c>
      <c r="AK43" s="182"/>
      <c r="AL43" s="180">
        <v>23.374944971003139</v>
      </c>
      <c r="AM43" s="102">
        <v>26.04514961278133</v>
      </c>
      <c r="AN43" s="102">
        <v>40.709999418173155</v>
      </c>
      <c r="AO43" s="102">
        <v>59.105945752039268</v>
      </c>
      <c r="AP43" s="102">
        <v>68.046602679043886</v>
      </c>
      <c r="AQ43" s="102">
        <v>73.904337318823039</v>
      </c>
      <c r="AR43" s="102">
        <v>97.705107323793925</v>
      </c>
      <c r="AS43" s="102">
        <v>137.38894056295572</v>
      </c>
      <c r="AT43" s="102">
        <v>179.78673531966342</v>
      </c>
      <c r="AU43" s="102">
        <v>208.0042766123301</v>
      </c>
      <c r="AV43" s="102">
        <v>281.49486604899403</v>
      </c>
      <c r="AW43" s="102">
        <v>359.0273447459823</v>
      </c>
      <c r="AX43" s="102">
        <v>437.7343002383808</v>
      </c>
      <c r="AY43" s="128"/>
      <c r="AZ43" s="102">
        <v>28.364032154930424</v>
      </c>
      <c r="BA43" s="102">
        <v>47.701184386797962</v>
      </c>
      <c r="BB43" s="102">
        <v>74.340957261335163</v>
      </c>
      <c r="BC43" s="102">
        <v>93.99340714826775</v>
      </c>
      <c r="BD43" s="102">
        <v>116.87375826937003</v>
      </c>
      <c r="BE43" s="102">
        <v>135.03136405509184</v>
      </c>
      <c r="BF43" s="102">
        <v>174.74552223544717</v>
      </c>
      <c r="BG43" s="102">
        <v>236.92686376363292</v>
      </c>
      <c r="BH43" s="102">
        <v>298.48534955588951</v>
      </c>
      <c r="BI43" s="102">
        <v>398.86349291008855</v>
      </c>
      <c r="BJ43" s="102">
        <v>487.89248934290634</v>
      </c>
      <c r="BK43" s="102">
        <v>487.89248934290634</v>
      </c>
      <c r="BL43" s="102">
        <v>487.89248934290634</v>
      </c>
      <c r="BM43" s="128"/>
      <c r="BN43" s="102">
        <v>23.374944971003139</v>
      </c>
      <c r="BO43" s="102">
        <v>26.04514961278133</v>
      </c>
      <c r="BP43" s="102">
        <v>40.709999418173155</v>
      </c>
      <c r="BQ43" s="102">
        <v>59.105945752039268</v>
      </c>
      <c r="BR43" s="102">
        <v>68.046602679043886</v>
      </c>
      <c r="BS43" s="102">
        <v>73.904337318823039</v>
      </c>
      <c r="BT43" s="102">
        <v>97.705107323793925</v>
      </c>
      <c r="BU43" s="102">
        <v>137.38894056295572</v>
      </c>
      <c r="BV43" s="102">
        <v>179.78673531966342</v>
      </c>
      <c r="BW43" s="102">
        <v>208.0042766123301</v>
      </c>
      <c r="BX43" s="102">
        <v>281.49486604899403</v>
      </c>
      <c r="BY43" s="102">
        <v>359.0273447459823</v>
      </c>
      <c r="BZ43" s="102">
        <v>437.7343002383808</v>
      </c>
    </row>
    <row r="44" spans="1:78">
      <c r="A44" s="237" t="s">
        <v>191</v>
      </c>
      <c r="B44" s="236" t="s">
        <v>243</v>
      </c>
      <c r="C44" s="190"/>
      <c r="D44" s="202"/>
      <c r="E44" s="125">
        <f>HLOOKUP(INPUT!$Q$2,'Tracks Pull'!$X$8:$AJ$138,T44,FALSE)</f>
        <v>0</v>
      </c>
      <c r="F44" s="125">
        <f>HLOOKUP(INPUT!$Q$3,'Tracks Pull'!$X$8:$AJ$138,T44,FALSE)</f>
        <v>0</v>
      </c>
      <c r="G44" s="125">
        <f t="shared" si="9"/>
        <v>0</v>
      </c>
      <c r="I44" s="125">
        <f>HLOOKUP(INPUT!$Q$2,'Tracks Pull'!$AL$8:$AX$138,T44,FALSE)</f>
        <v>0</v>
      </c>
      <c r="J44" s="125">
        <f>HLOOKUP(INPUT!$Q$3,'Tracks Pull'!$AL$8:$AX$138,T44,FALSE)</f>
        <v>0</v>
      </c>
      <c r="K44" s="125">
        <f t="shared" si="10"/>
        <v>0</v>
      </c>
      <c r="M44" s="125">
        <f>HLOOKUP(INPUT!$Q$2,'Tracks Pull'!$AZ$8:$BL$138,T44,FALSE)</f>
        <v>0</v>
      </c>
      <c r="N44" s="125">
        <f>HLOOKUP(INPUT!$Q$3,'Tracks Pull'!$AZ$8:$BL$138,T44,FALSE)</f>
        <v>0</v>
      </c>
      <c r="O44" s="125">
        <f t="shared" si="11"/>
        <v>0</v>
      </c>
      <c r="Q44" s="125">
        <f>HLOOKUP(INPUT!$Q$2,'Tracks Pull'!$BN$8:$BZ$138,T44,FALSE)</f>
        <v>0</v>
      </c>
      <c r="R44" s="125">
        <f>HLOOKUP(INPUT!$Q$3,'Tracks Pull'!$BN$8:$BZ$138,T44,FALSE)</f>
        <v>0</v>
      </c>
      <c r="S44" s="125">
        <f t="shared" si="12"/>
        <v>0</v>
      </c>
      <c r="T44" s="109">
        <v>37</v>
      </c>
      <c r="U44" s="583"/>
      <c r="V44" s="583"/>
      <c r="W44" s="583"/>
      <c r="X44" s="287"/>
      <c r="Y44" s="287"/>
      <c r="Z44" s="287"/>
      <c r="AA44" s="287"/>
      <c r="AB44" s="287"/>
      <c r="AC44" s="287"/>
      <c r="AD44" s="287"/>
      <c r="AE44" s="287"/>
      <c r="AF44" s="287"/>
      <c r="AG44" s="287"/>
      <c r="AH44" s="287"/>
      <c r="AI44" s="287"/>
      <c r="AJ44" s="287"/>
      <c r="AK44" s="182"/>
      <c r="AL44" s="287"/>
      <c r="AM44" s="287"/>
      <c r="AN44" s="287"/>
      <c r="AO44" s="287"/>
      <c r="AP44" s="287"/>
      <c r="AQ44" s="287"/>
      <c r="AR44" s="287"/>
      <c r="AS44" s="287"/>
      <c r="AT44" s="287"/>
      <c r="AU44" s="287"/>
      <c r="AV44" s="287"/>
      <c r="AW44" s="287"/>
      <c r="AX44" s="287"/>
      <c r="AY44" s="128"/>
      <c r="AZ44" s="287"/>
      <c r="BA44" s="287"/>
      <c r="BB44" s="287"/>
      <c r="BC44" s="287"/>
      <c r="BD44" s="287"/>
      <c r="BE44" s="287"/>
      <c r="BF44" s="287"/>
      <c r="BG44" s="287"/>
      <c r="BH44" s="287"/>
      <c r="BI44" s="287"/>
      <c r="BJ44" s="287"/>
      <c r="BK44" s="287"/>
      <c r="BL44" s="287"/>
      <c r="BM44" s="128"/>
      <c r="BN44" s="287"/>
      <c r="BO44" s="287"/>
      <c r="BP44" s="287"/>
      <c r="BQ44" s="287"/>
      <c r="BR44" s="287"/>
      <c r="BS44" s="287"/>
      <c r="BT44" s="287"/>
      <c r="BU44" s="287"/>
      <c r="BV44" s="287"/>
      <c r="BW44" s="287"/>
      <c r="BX44" s="287"/>
      <c r="BY44" s="287"/>
      <c r="BZ44" s="287"/>
    </row>
    <row r="45" spans="1:78">
      <c r="A45" s="237" t="s">
        <v>191</v>
      </c>
      <c r="B45" s="236" t="s">
        <v>234</v>
      </c>
      <c r="C45" s="190" t="s">
        <v>37</v>
      </c>
      <c r="D45" s="194" t="s">
        <v>141</v>
      </c>
      <c r="E45" s="124">
        <f>HLOOKUP(INPUT!$Q$2,'Tracks Pull'!$X$8:$AJ$138,T45,FALSE)</f>
        <v>0</v>
      </c>
      <c r="F45" s="124">
        <f>HLOOKUP(INPUT!$Q$3,'Tracks Pull'!$X$8:$AJ$138,T45,FALSE)</f>
        <v>0</v>
      </c>
      <c r="G45" s="124">
        <f t="shared" si="9"/>
        <v>0</v>
      </c>
      <c r="I45" s="124">
        <f>HLOOKUP(INPUT!$Q$2,'Tracks Pull'!$AL$8:$AX$138,T45,FALSE)</f>
        <v>8.1647390888011998E-2</v>
      </c>
      <c r="J45" s="124">
        <f>HLOOKUP(INPUT!$Q$3,'Tracks Pull'!$AL$8:$AX$138,T45,FALSE)</f>
        <v>6.2118339666037997E-2</v>
      </c>
      <c r="K45" s="124">
        <f t="shared" si="10"/>
        <v>1.9529051221974E-2</v>
      </c>
      <c r="M45" s="124">
        <f>HLOOKUP(INPUT!$Q$2,'Tracks Pull'!$AZ$8:$BL$138,T45,FALSE)</f>
        <v>0</v>
      </c>
      <c r="N45" s="124">
        <f>HLOOKUP(INPUT!$Q$3,'Tracks Pull'!$AZ$8:$BL$138,T45,FALSE)</f>
        <v>0</v>
      </c>
      <c r="O45" s="124">
        <f t="shared" si="11"/>
        <v>0</v>
      </c>
      <c r="Q45" s="124">
        <f>HLOOKUP(INPUT!$Q$2,'Tracks Pull'!$BN$8:$BZ$138,T45,FALSE)</f>
        <v>8.1647390888011998E-2</v>
      </c>
      <c r="R45" s="124">
        <f>HLOOKUP(INPUT!$Q$3,'Tracks Pull'!$BN$8:$BZ$138,T45,FALSE)</f>
        <v>6.2118339666037997E-2</v>
      </c>
      <c r="S45" s="124">
        <f t="shared" si="12"/>
        <v>1.9529051221974E-2</v>
      </c>
      <c r="T45" s="199">
        <v>38</v>
      </c>
      <c r="U45" s="190" t="s">
        <v>37</v>
      </c>
      <c r="V45" s="191" t="s">
        <v>129</v>
      </c>
      <c r="W45" s="192" t="s">
        <v>75</v>
      </c>
      <c r="X45" s="102">
        <v>0</v>
      </c>
      <c r="Y45" s="102">
        <v>0</v>
      </c>
      <c r="Z45" s="102">
        <v>0</v>
      </c>
      <c r="AA45" s="102">
        <v>0</v>
      </c>
      <c r="AB45" s="102">
        <v>0</v>
      </c>
      <c r="AC45" s="102">
        <v>0</v>
      </c>
      <c r="AD45" s="102">
        <v>0</v>
      </c>
      <c r="AE45" s="102">
        <v>0</v>
      </c>
      <c r="AF45" s="102">
        <v>0</v>
      </c>
      <c r="AG45" s="102">
        <v>0</v>
      </c>
      <c r="AH45" s="102">
        <v>0</v>
      </c>
      <c r="AI45" s="102">
        <v>0</v>
      </c>
      <c r="AJ45" s="178">
        <v>0</v>
      </c>
      <c r="AK45" s="182"/>
      <c r="AL45" s="180">
        <v>1.9476465463748E-2</v>
      </c>
      <c r="AM45" s="102">
        <v>2.1934322613045999E-2</v>
      </c>
      <c r="AN45" s="102">
        <v>3.4278057492473001E-2</v>
      </c>
      <c r="AO45" s="102">
        <v>4.9900414326315999E-2</v>
      </c>
      <c r="AP45" s="102">
        <v>5.7183732560941003E-2</v>
      </c>
      <c r="AQ45" s="102">
        <v>6.2118339666037997E-2</v>
      </c>
      <c r="AR45" s="102">
        <v>8.1647390888011998E-2</v>
      </c>
      <c r="AS45" s="102">
        <v>0.114505767811628</v>
      </c>
      <c r="AT45" s="102">
        <v>0.149590969333212</v>
      </c>
      <c r="AU45" s="102">
        <v>0.172717441461025</v>
      </c>
      <c r="AV45" s="102">
        <v>0.233457916154618</v>
      </c>
      <c r="AW45" s="102">
        <v>0.29823774745514098</v>
      </c>
      <c r="AX45" s="102">
        <v>0.35028434161267802</v>
      </c>
      <c r="AY45" s="128"/>
      <c r="AZ45" s="102">
        <v>0</v>
      </c>
      <c r="BA45" s="102">
        <v>0</v>
      </c>
      <c r="BB45" s="102">
        <v>0</v>
      </c>
      <c r="BC45" s="102">
        <v>0</v>
      </c>
      <c r="BD45" s="102">
        <v>0</v>
      </c>
      <c r="BE45" s="102">
        <v>0</v>
      </c>
      <c r="BF45" s="102">
        <v>0</v>
      </c>
      <c r="BG45" s="102">
        <v>0</v>
      </c>
      <c r="BH45" s="102">
        <v>0</v>
      </c>
      <c r="BI45" s="102">
        <v>0</v>
      </c>
      <c r="BJ45" s="102">
        <v>0</v>
      </c>
      <c r="BK45" s="102">
        <v>0</v>
      </c>
      <c r="BL45" s="102">
        <v>0</v>
      </c>
      <c r="BM45" s="128"/>
      <c r="BN45" s="102">
        <v>1.9476465463748E-2</v>
      </c>
      <c r="BO45" s="102">
        <v>2.1934322613045999E-2</v>
      </c>
      <c r="BP45" s="102">
        <v>3.4278057492473001E-2</v>
      </c>
      <c r="BQ45" s="102">
        <v>4.9900414326315999E-2</v>
      </c>
      <c r="BR45" s="102">
        <v>5.7183732560941003E-2</v>
      </c>
      <c r="BS45" s="102">
        <v>6.2118339666037997E-2</v>
      </c>
      <c r="BT45" s="102">
        <v>8.1647390888011998E-2</v>
      </c>
      <c r="BU45" s="102">
        <v>0.114505767811628</v>
      </c>
      <c r="BV45" s="102">
        <v>0.149590969333212</v>
      </c>
      <c r="BW45" s="102">
        <v>0.172717441461025</v>
      </c>
      <c r="BX45" s="102">
        <v>0.233457916154618</v>
      </c>
      <c r="BY45" s="102">
        <v>0.29823774745514098</v>
      </c>
      <c r="BZ45" s="102">
        <v>0.35028434161267802</v>
      </c>
    </row>
    <row r="46" spans="1:78">
      <c r="A46" s="237" t="s">
        <v>191</v>
      </c>
      <c r="B46" s="236" t="s">
        <v>58</v>
      </c>
      <c r="C46" s="190" t="s">
        <v>37</v>
      </c>
      <c r="D46" s="191" t="s">
        <v>15</v>
      </c>
      <c r="E46" s="123">
        <f>HLOOKUP(INPUT!$Q$2,'Tracks Pull'!$X$8:$AJ$138,T46,FALSE)</f>
        <v>59.210039597093136</v>
      </c>
      <c r="F46" s="123">
        <f>HLOOKUP(INPUT!$Q$3,'Tracks Pull'!$X$8:$AJ$138,T46,FALSE)</f>
        <v>42.444923979288333</v>
      </c>
      <c r="G46" s="123">
        <f t="shared" si="9"/>
        <v>16.765115617804803</v>
      </c>
      <c r="I46" s="123">
        <f>HLOOKUP(INPUT!$Q$2,'Tracks Pull'!$AL$8:$AX$138,T46,FALSE)</f>
        <v>32.842904120851557</v>
      </c>
      <c r="J46" s="123">
        <f>HLOOKUP(INPUT!$Q$3,'Tracks Pull'!$AL$8:$AX$138,T46,FALSE)</f>
        <v>23.777194726924023</v>
      </c>
      <c r="K46" s="123">
        <f t="shared" si="10"/>
        <v>9.0657093939275342</v>
      </c>
      <c r="M46" s="123">
        <f>HLOOKUP(INPUT!$Q$2,'Tracks Pull'!$AZ$8:$BL$138,T46,FALSE)</f>
        <v>59.210039597093136</v>
      </c>
      <c r="N46" s="123">
        <f>HLOOKUP(INPUT!$Q$3,'Tracks Pull'!$AZ$8:$BL$138,T46,FALSE)</f>
        <v>42.444923979288333</v>
      </c>
      <c r="O46" s="123">
        <f t="shared" si="11"/>
        <v>16.765115617804803</v>
      </c>
      <c r="Q46" s="123">
        <f>HLOOKUP(INPUT!$Q$2,'Tracks Pull'!$BN$8:$BZ$138,T46,FALSE)</f>
        <v>32.842904120851557</v>
      </c>
      <c r="R46" s="123">
        <f>HLOOKUP(INPUT!$Q$3,'Tracks Pull'!$BN$8:$BZ$138,T46,FALSE)</f>
        <v>23.777194726924023</v>
      </c>
      <c r="S46" s="123">
        <f t="shared" si="12"/>
        <v>9.0657093939275342</v>
      </c>
      <c r="T46" s="109">
        <v>39</v>
      </c>
      <c r="U46" s="190" t="s">
        <v>37</v>
      </c>
      <c r="V46" s="191" t="s">
        <v>129</v>
      </c>
      <c r="W46" s="191" t="s">
        <v>15</v>
      </c>
      <c r="X46" s="102">
        <v>7.3701522065963321</v>
      </c>
      <c r="Y46" s="102">
        <v>13.260630420629608</v>
      </c>
      <c r="Z46" s="102">
        <v>22.682015475635602</v>
      </c>
      <c r="AA46" s="102">
        <v>26.84481054707415</v>
      </c>
      <c r="AB46" s="102">
        <v>35.503990757498954</v>
      </c>
      <c r="AC46" s="102">
        <v>42.444923979288333</v>
      </c>
      <c r="AD46" s="102">
        <v>59.210039597093136</v>
      </c>
      <c r="AE46" s="102">
        <v>87.764249926829123</v>
      </c>
      <c r="AF46" s="102">
        <v>115.55045276904806</v>
      </c>
      <c r="AG46" s="102">
        <v>161.20164480670431</v>
      </c>
      <c r="AH46" s="102">
        <v>207.70298619492246</v>
      </c>
      <c r="AI46" s="102">
        <v>207.70298619492246</v>
      </c>
      <c r="AJ46" s="178">
        <v>207.70298619492246</v>
      </c>
      <c r="AK46" s="182"/>
      <c r="AL46" s="180">
        <v>7.1313892320361472</v>
      </c>
      <c r="AM46" s="102">
        <v>4.0840929918003699</v>
      </c>
      <c r="AN46" s="102">
        <v>12.064252860627846</v>
      </c>
      <c r="AO46" s="102">
        <v>19.735585316851299</v>
      </c>
      <c r="AP46" s="102">
        <v>21.81496816331644</v>
      </c>
      <c r="AQ46" s="102">
        <v>23.777194726924023</v>
      </c>
      <c r="AR46" s="102">
        <v>32.842904120851557</v>
      </c>
      <c r="AS46" s="102">
        <v>54.13568356168399</v>
      </c>
      <c r="AT46" s="102">
        <v>73.329242134123717</v>
      </c>
      <c r="AU46" s="102">
        <v>82.562746158301266</v>
      </c>
      <c r="AV46" s="102">
        <v>111.53275142787282</v>
      </c>
      <c r="AW46" s="102">
        <v>152.59836126508387</v>
      </c>
      <c r="AX46" s="102">
        <v>186.01066252320317</v>
      </c>
      <c r="AY46" s="128"/>
      <c r="AZ46" s="102">
        <v>7.3701522065963321</v>
      </c>
      <c r="BA46" s="102">
        <v>13.260630420629608</v>
      </c>
      <c r="BB46" s="102">
        <v>22.682015475635602</v>
      </c>
      <c r="BC46" s="102">
        <v>26.84481054707415</v>
      </c>
      <c r="BD46" s="102">
        <v>35.503990757498954</v>
      </c>
      <c r="BE46" s="102">
        <v>42.444923979288333</v>
      </c>
      <c r="BF46" s="102">
        <v>59.210039597093136</v>
      </c>
      <c r="BG46" s="102">
        <v>87.764249926829123</v>
      </c>
      <c r="BH46" s="102">
        <v>115.55045276904806</v>
      </c>
      <c r="BI46" s="102">
        <v>161.20164480670431</v>
      </c>
      <c r="BJ46" s="102">
        <v>207.70298619492246</v>
      </c>
      <c r="BK46" s="102">
        <v>207.70298619492246</v>
      </c>
      <c r="BL46" s="102">
        <v>207.70298619492246</v>
      </c>
      <c r="BM46" s="128"/>
      <c r="BN46" s="102">
        <v>7.1313892320361472</v>
      </c>
      <c r="BO46" s="102">
        <v>4.0840929918003699</v>
      </c>
      <c r="BP46" s="102">
        <v>12.064252860627846</v>
      </c>
      <c r="BQ46" s="102">
        <v>19.735585316851299</v>
      </c>
      <c r="BR46" s="102">
        <v>21.81496816331644</v>
      </c>
      <c r="BS46" s="102">
        <v>23.777194726924023</v>
      </c>
      <c r="BT46" s="102">
        <v>32.842904120851557</v>
      </c>
      <c r="BU46" s="102">
        <v>54.13568356168399</v>
      </c>
      <c r="BV46" s="102">
        <v>73.329242134123717</v>
      </c>
      <c r="BW46" s="102">
        <v>82.562746158301266</v>
      </c>
      <c r="BX46" s="102">
        <v>111.53275142787282</v>
      </c>
      <c r="BY46" s="102">
        <v>152.59836126508387</v>
      </c>
      <c r="BZ46" s="102">
        <v>186.01066252320317</v>
      </c>
    </row>
    <row r="47" spans="1:78" outlineLevel="1">
      <c r="A47" s="237" t="s">
        <v>191</v>
      </c>
      <c r="B47" s="236" t="s">
        <v>17</v>
      </c>
      <c r="C47" s="190" t="s">
        <v>37</v>
      </c>
      <c r="D47" s="192" t="s">
        <v>101</v>
      </c>
      <c r="E47" s="125">
        <f>HLOOKUP(INPUT!$Q$2,'Tracks Pull'!$X$8:$AJ$138,T47,FALSE)</f>
        <v>10.57566980733953</v>
      </c>
      <c r="F47" s="125">
        <f>HLOOKUP(INPUT!$Q$3,'Tracks Pull'!$X$8:$AJ$138,T47,FALSE)</f>
        <v>7.5812058910465501</v>
      </c>
      <c r="G47" s="125">
        <f t="shared" si="9"/>
        <v>2.9944639162929798</v>
      </c>
      <c r="I47" s="125">
        <f>HLOOKUP(INPUT!$Q$2,'Tracks Pull'!$AL$8:$AX$138,T47,FALSE)</f>
        <v>4.43459506237292</v>
      </c>
      <c r="J47" s="125">
        <f>HLOOKUP(INPUT!$Q$3,'Tracks Pull'!$AL$8:$AX$138,T47,FALSE)</f>
        <v>3.2105026384117101</v>
      </c>
      <c r="K47" s="125">
        <f t="shared" si="10"/>
        <v>1.2240924239612099</v>
      </c>
      <c r="M47" s="125">
        <f>HLOOKUP(INPUT!$Q$2,'Tracks Pull'!$AZ$8:$BL$138,T47,FALSE)</f>
        <v>10.57566980733953</v>
      </c>
      <c r="N47" s="125">
        <f>HLOOKUP(INPUT!$Q$3,'Tracks Pull'!$AZ$8:$BL$138,T47,FALSE)</f>
        <v>7.5812058910465501</v>
      </c>
      <c r="O47" s="125">
        <f t="shared" si="11"/>
        <v>2.9944639162929798</v>
      </c>
      <c r="Q47" s="125">
        <f>HLOOKUP(INPUT!$Q$2,'Tracks Pull'!$BN$8:$BZ$138,T47,FALSE)</f>
        <v>4.43459506237292</v>
      </c>
      <c r="R47" s="125">
        <f>HLOOKUP(INPUT!$Q$3,'Tracks Pull'!$BN$8:$BZ$138,T47,FALSE)</f>
        <v>3.2105026384117101</v>
      </c>
      <c r="S47" s="125">
        <f t="shared" si="12"/>
        <v>1.2240924239612099</v>
      </c>
      <c r="T47" s="199">
        <v>40</v>
      </c>
      <c r="U47" s="190" t="s">
        <v>37</v>
      </c>
      <c r="V47" s="191" t="s">
        <v>129</v>
      </c>
      <c r="W47" s="193" t="s">
        <v>17</v>
      </c>
      <c r="X47" s="102">
        <v>1.3164033785011049</v>
      </c>
      <c r="Y47" s="102">
        <v>2.3685180709223128</v>
      </c>
      <c r="Z47" s="102">
        <v>4.0512978519788785</v>
      </c>
      <c r="AA47" s="102">
        <v>4.7948262544377727</v>
      </c>
      <c r="AB47" s="102">
        <v>6.34146650887525</v>
      </c>
      <c r="AC47" s="102">
        <v>7.5812058910465501</v>
      </c>
      <c r="AD47" s="102">
        <v>10.57566980733953</v>
      </c>
      <c r="AE47" s="102">
        <v>15.675816709984689</v>
      </c>
      <c r="AF47" s="102">
        <v>20.638787659821631</v>
      </c>
      <c r="AG47" s="102">
        <v>28.792674003876698</v>
      </c>
      <c r="AH47" s="102">
        <v>37.098407887295899</v>
      </c>
      <c r="AI47" s="102">
        <v>37.098407887295899</v>
      </c>
      <c r="AJ47" s="178">
        <v>37.098407887295899</v>
      </c>
      <c r="AK47" s="182"/>
      <c r="AL47" s="180">
        <v>0.96291190815152905</v>
      </c>
      <c r="AM47" s="102">
        <v>0.55145240960013497</v>
      </c>
      <c r="AN47" s="102">
        <v>1.6289691060843801</v>
      </c>
      <c r="AO47" s="102">
        <v>2.6647865510645699</v>
      </c>
      <c r="AP47" s="102">
        <v>2.9455540760613199</v>
      </c>
      <c r="AQ47" s="102">
        <v>3.2105026384117101</v>
      </c>
      <c r="AR47" s="102">
        <v>4.43459506237292</v>
      </c>
      <c r="AS47" s="102">
        <v>7.30964089343151</v>
      </c>
      <c r="AT47" s="102">
        <v>9.9012405814952604</v>
      </c>
      <c r="AU47" s="102">
        <v>11.1479893831039</v>
      </c>
      <c r="AV47" s="102">
        <v>15.0596484085247</v>
      </c>
      <c r="AW47" s="102">
        <v>20.604509787022899</v>
      </c>
      <c r="AX47" s="102">
        <v>25.115987384635901</v>
      </c>
      <c r="AY47" s="128"/>
      <c r="AZ47" s="102">
        <v>1.3164033785011049</v>
      </c>
      <c r="BA47" s="102">
        <v>2.3685180709223128</v>
      </c>
      <c r="BB47" s="102">
        <v>4.0512978519788785</v>
      </c>
      <c r="BC47" s="102">
        <v>4.7948262544377727</v>
      </c>
      <c r="BD47" s="102">
        <v>6.34146650887525</v>
      </c>
      <c r="BE47" s="102">
        <v>7.5812058910465501</v>
      </c>
      <c r="BF47" s="102">
        <v>10.57566980733953</v>
      </c>
      <c r="BG47" s="102">
        <v>15.675816709984689</v>
      </c>
      <c r="BH47" s="102">
        <v>20.638787659821631</v>
      </c>
      <c r="BI47" s="102">
        <v>28.792674003876698</v>
      </c>
      <c r="BJ47" s="102">
        <v>37.098407887295899</v>
      </c>
      <c r="BK47" s="102">
        <v>37.098407887295899</v>
      </c>
      <c r="BL47" s="102">
        <v>37.098407887295899</v>
      </c>
      <c r="BM47" s="128"/>
      <c r="BN47" s="102">
        <v>0.96291190815152905</v>
      </c>
      <c r="BO47" s="102">
        <v>0.55145240960013497</v>
      </c>
      <c r="BP47" s="102">
        <v>1.6289691060843801</v>
      </c>
      <c r="BQ47" s="102">
        <v>2.6647865510645699</v>
      </c>
      <c r="BR47" s="102">
        <v>2.9455540760613199</v>
      </c>
      <c r="BS47" s="102">
        <v>3.2105026384117101</v>
      </c>
      <c r="BT47" s="102">
        <v>4.43459506237292</v>
      </c>
      <c r="BU47" s="102">
        <v>7.30964089343151</v>
      </c>
      <c r="BV47" s="102">
        <v>9.9012405814952604</v>
      </c>
      <c r="BW47" s="102">
        <v>11.1479893831039</v>
      </c>
      <c r="BX47" s="102">
        <v>15.0596484085247</v>
      </c>
      <c r="BY47" s="102">
        <v>20.604509787022899</v>
      </c>
      <c r="BZ47" s="102">
        <v>25.115987384635901</v>
      </c>
    </row>
    <row r="48" spans="1:78" outlineLevel="1">
      <c r="A48" s="237" t="s">
        <v>191</v>
      </c>
      <c r="B48" s="236" t="s">
        <v>18</v>
      </c>
      <c r="C48" s="190" t="s">
        <v>37</v>
      </c>
      <c r="D48" s="192" t="s">
        <v>102</v>
      </c>
      <c r="E48" s="125">
        <f>HLOOKUP(INPUT!$Q$2,'Tracks Pull'!$X$8:$AJ$138,T48,FALSE)</f>
        <v>0.114271804013615</v>
      </c>
      <c r="F48" s="125">
        <f>HLOOKUP(INPUT!$Q$3,'Tracks Pull'!$X$8:$AJ$138,T48,FALSE)</f>
        <v>8.1916142386301002E-2</v>
      </c>
      <c r="G48" s="125">
        <f t="shared" si="9"/>
        <v>3.2355661627314E-2</v>
      </c>
      <c r="I48" s="125">
        <f>HLOOKUP(INPUT!$Q$2,'Tracks Pull'!$AL$8:$AX$138,T48,FALSE)</f>
        <v>3.57144297233893</v>
      </c>
      <c r="J48" s="125">
        <f>HLOOKUP(INPUT!$Q$3,'Tracks Pull'!$AL$8:$AX$138,T48,FALSE)</f>
        <v>2.5856085898169101</v>
      </c>
      <c r="K48" s="125">
        <f t="shared" si="10"/>
        <v>0.98583438252201994</v>
      </c>
      <c r="M48" s="125">
        <f>HLOOKUP(INPUT!$Q$2,'Tracks Pull'!$AZ$8:$BL$138,T48,FALSE)</f>
        <v>0.114271804013615</v>
      </c>
      <c r="N48" s="125">
        <f>HLOOKUP(INPUT!$Q$3,'Tracks Pull'!$AZ$8:$BL$138,T48,FALSE)</f>
        <v>8.1916142386301002E-2</v>
      </c>
      <c r="O48" s="125">
        <f t="shared" si="11"/>
        <v>3.2355661627314E-2</v>
      </c>
      <c r="Q48" s="125">
        <f>HLOOKUP(INPUT!$Q$2,'Tracks Pull'!$BN$8:$BZ$138,T48,FALSE)</f>
        <v>3.57144297233893</v>
      </c>
      <c r="R48" s="125">
        <f>HLOOKUP(INPUT!$Q$3,'Tracks Pull'!$BN$8:$BZ$138,T48,FALSE)</f>
        <v>2.5856085898169101</v>
      </c>
      <c r="S48" s="125">
        <f t="shared" si="12"/>
        <v>0.98583438252201994</v>
      </c>
      <c r="T48" s="109">
        <v>41</v>
      </c>
      <c r="U48" s="190" t="s">
        <v>37</v>
      </c>
      <c r="V48" s="191" t="s">
        <v>129</v>
      </c>
      <c r="W48" s="193" t="s">
        <v>18</v>
      </c>
      <c r="X48" s="102">
        <v>1.4223949084203E-2</v>
      </c>
      <c r="Y48" s="102">
        <v>2.5592216638166E-2</v>
      </c>
      <c r="Z48" s="102">
        <v>4.3774921359667998E-2</v>
      </c>
      <c r="AA48" s="102">
        <v>5.180886468734E-2</v>
      </c>
      <c r="AB48" s="102">
        <v>6.8520560046058998E-2</v>
      </c>
      <c r="AC48" s="102">
        <v>8.1916142386301002E-2</v>
      </c>
      <c r="AD48" s="102">
        <v>0.114271804013615</v>
      </c>
      <c r="AE48" s="102">
        <v>0.169379707145693</v>
      </c>
      <c r="AF48" s="102">
        <v>0.22300540216421899</v>
      </c>
      <c r="AG48" s="102">
        <v>0.31110944845455601</v>
      </c>
      <c r="AH48" s="102">
        <v>0.400854231698131</v>
      </c>
      <c r="AI48" s="102">
        <v>0.400854231698131</v>
      </c>
      <c r="AJ48" s="178">
        <v>0.400854231698131</v>
      </c>
      <c r="AK48" s="182"/>
      <c r="AL48" s="180">
        <v>0.77549018996766494</v>
      </c>
      <c r="AM48" s="102">
        <v>0.444117400832515</v>
      </c>
      <c r="AN48" s="102">
        <v>1.31190563834012</v>
      </c>
      <c r="AO48" s="102">
        <v>2.14611099023104</v>
      </c>
      <c r="AP48" s="102">
        <v>2.3722297654308</v>
      </c>
      <c r="AQ48" s="102">
        <v>2.5856085898169101</v>
      </c>
      <c r="AR48" s="102">
        <v>3.57144297233893</v>
      </c>
      <c r="AS48" s="102">
        <v>5.8868882574360901</v>
      </c>
      <c r="AT48" s="102">
        <v>7.9740575170568997</v>
      </c>
      <c r="AU48" s="102">
        <v>8.9781384270722704</v>
      </c>
      <c r="AV48" s="102">
        <v>12.1284299283328</v>
      </c>
      <c r="AW48" s="102">
        <v>16.594036353338499</v>
      </c>
      <c r="AX48" s="102">
        <v>20.227397400792899</v>
      </c>
      <c r="AY48" s="128"/>
      <c r="AZ48" s="102">
        <v>1.4223949084203E-2</v>
      </c>
      <c r="BA48" s="102">
        <v>2.5592216638166E-2</v>
      </c>
      <c r="BB48" s="102">
        <v>4.3774921359667998E-2</v>
      </c>
      <c r="BC48" s="102">
        <v>5.180886468734E-2</v>
      </c>
      <c r="BD48" s="102">
        <v>6.8520560046058998E-2</v>
      </c>
      <c r="BE48" s="102">
        <v>8.1916142386301002E-2</v>
      </c>
      <c r="BF48" s="102">
        <v>0.114271804013615</v>
      </c>
      <c r="BG48" s="102">
        <v>0.169379707145693</v>
      </c>
      <c r="BH48" s="102">
        <v>0.22300540216421899</v>
      </c>
      <c r="BI48" s="102">
        <v>0.31110944845455601</v>
      </c>
      <c r="BJ48" s="102">
        <v>0.400854231698131</v>
      </c>
      <c r="BK48" s="102">
        <v>0.400854231698131</v>
      </c>
      <c r="BL48" s="102">
        <v>0.400854231698131</v>
      </c>
      <c r="BM48" s="128"/>
      <c r="BN48" s="102">
        <v>0.77549018996766494</v>
      </c>
      <c r="BO48" s="102">
        <v>0.444117400832515</v>
      </c>
      <c r="BP48" s="102">
        <v>1.31190563834012</v>
      </c>
      <c r="BQ48" s="102">
        <v>2.14611099023104</v>
      </c>
      <c r="BR48" s="102">
        <v>2.3722297654308</v>
      </c>
      <c r="BS48" s="102">
        <v>2.5856085898169101</v>
      </c>
      <c r="BT48" s="102">
        <v>3.57144297233893</v>
      </c>
      <c r="BU48" s="102">
        <v>5.8868882574360901</v>
      </c>
      <c r="BV48" s="102">
        <v>7.9740575170568997</v>
      </c>
      <c r="BW48" s="102">
        <v>8.9781384270722704</v>
      </c>
      <c r="BX48" s="102">
        <v>12.1284299283328</v>
      </c>
      <c r="BY48" s="102">
        <v>16.594036353338499</v>
      </c>
      <c r="BZ48" s="102">
        <v>20.227397400792899</v>
      </c>
    </row>
    <row r="49" spans="1:78" outlineLevel="1">
      <c r="A49" s="237" t="s">
        <v>191</v>
      </c>
      <c r="B49" s="236" t="s">
        <v>19</v>
      </c>
      <c r="C49" s="190" t="s">
        <v>37</v>
      </c>
      <c r="D49" s="192" t="s">
        <v>103</v>
      </c>
      <c r="E49" s="125">
        <f>HLOOKUP(INPUT!$Q$2,'Tracks Pull'!$X$8:$AJ$138,T49,FALSE)</f>
        <v>21.280767988944262</v>
      </c>
      <c r="F49" s="125">
        <f>HLOOKUP(INPUT!$Q$3,'Tracks Pull'!$X$8:$AJ$138,T49,FALSE)</f>
        <v>15.231343021969069</v>
      </c>
      <c r="G49" s="125">
        <f t="shared" si="9"/>
        <v>6.0494249669751934</v>
      </c>
      <c r="I49" s="125">
        <f>HLOOKUP(INPUT!$Q$2,'Tracks Pull'!$AL$8:$AX$138,T49,FALSE)</f>
        <v>12.371550154167201</v>
      </c>
      <c r="J49" s="125">
        <f>HLOOKUP(INPUT!$Q$3,'Tracks Pull'!$AL$8:$AX$138,T49,FALSE)</f>
        <v>8.9566000621358501</v>
      </c>
      <c r="K49" s="125">
        <f t="shared" si="10"/>
        <v>3.4149500920313507</v>
      </c>
      <c r="M49" s="125">
        <f>HLOOKUP(INPUT!$Q$2,'Tracks Pull'!$AZ$8:$BL$138,T49,FALSE)</f>
        <v>21.280767988944262</v>
      </c>
      <c r="N49" s="125">
        <f>HLOOKUP(INPUT!$Q$3,'Tracks Pull'!$AZ$8:$BL$138,T49,FALSE)</f>
        <v>15.231343021969069</v>
      </c>
      <c r="O49" s="125">
        <f t="shared" si="11"/>
        <v>6.0494249669751934</v>
      </c>
      <c r="Q49" s="125">
        <f>HLOOKUP(INPUT!$Q$2,'Tracks Pull'!$BN$8:$BZ$138,T49,FALSE)</f>
        <v>12.371550154167201</v>
      </c>
      <c r="R49" s="125">
        <f>HLOOKUP(INPUT!$Q$3,'Tracks Pull'!$BN$8:$BZ$138,T49,FALSE)</f>
        <v>8.9566000621358501</v>
      </c>
      <c r="S49" s="125">
        <f t="shared" si="12"/>
        <v>3.4149500920313507</v>
      </c>
      <c r="T49" s="199">
        <v>42</v>
      </c>
      <c r="U49" s="190" t="s">
        <v>37</v>
      </c>
      <c r="V49" s="191" t="s">
        <v>129</v>
      </c>
      <c r="W49" s="193" t="s">
        <v>19</v>
      </c>
      <c r="X49" s="102">
        <v>2.640421830954601</v>
      </c>
      <c r="Y49" s="102">
        <v>4.755917365420288</v>
      </c>
      <c r="Z49" s="102">
        <v>8.1424425568717194</v>
      </c>
      <c r="AA49" s="102">
        <v>9.6290120541800999</v>
      </c>
      <c r="AB49" s="102">
        <v>12.74599246068032</v>
      </c>
      <c r="AC49" s="102">
        <v>15.231343021969069</v>
      </c>
      <c r="AD49" s="102">
        <v>21.280767988944262</v>
      </c>
      <c r="AE49" s="102">
        <v>31.604724274818601</v>
      </c>
      <c r="AF49" s="102">
        <v>41.633143027385401</v>
      </c>
      <c r="AG49" s="102">
        <v>58.1529489437834</v>
      </c>
      <c r="AH49" s="102">
        <v>74.798863019902001</v>
      </c>
      <c r="AI49" s="102">
        <v>74.798863019902001</v>
      </c>
      <c r="AJ49" s="178">
        <v>74.798863019902001</v>
      </c>
      <c r="AK49" s="182"/>
      <c r="AL49" s="180">
        <v>2.6863135862887799</v>
      </c>
      <c r="AM49" s="102">
        <v>1.5384315922982701</v>
      </c>
      <c r="AN49" s="102">
        <v>4.5444674681814599</v>
      </c>
      <c r="AO49" s="102">
        <v>7.4341715541001099</v>
      </c>
      <c r="AP49" s="102">
        <v>8.2174515308067306</v>
      </c>
      <c r="AQ49" s="102">
        <v>8.9566000621358501</v>
      </c>
      <c r="AR49" s="102">
        <v>12.371550154167201</v>
      </c>
      <c r="AS49" s="102">
        <v>20.392299105129599</v>
      </c>
      <c r="AT49" s="102">
        <v>27.6222953211198</v>
      </c>
      <c r="AU49" s="102">
        <v>31.100451750693601</v>
      </c>
      <c r="AV49" s="102">
        <v>42.01312475428</v>
      </c>
      <c r="AW49" s="102">
        <v>57.4820750591334</v>
      </c>
      <c r="AX49" s="102">
        <v>70.068110668527893</v>
      </c>
      <c r="AY49" s="128"/>
      <c r="AZ49" s="102">
        <v>2.640421830954601</v>
      </c>
      <c r="BA49" s="102">
        <v>4.755917365420288</v>
      </c>
      <c r="BB49" s="102">
        <v>8.1424425568717194</v>
      </c>
      <c r="BC49" s="102">
        <v>9.6290120541800999</v>
      </c>
      <c r="BD49" s="102">
        <v>12.74599246068032</v>
      </c>
      <c r="BE49" s="102">
        <v>15.231343021969069</v>
      </c>
      <c r="BF49" s="102">
        <v>21.280767988944262</v>
      </c>
      <c r="BG49" s="102">
        <v>31.604724274818601</v>
      </c>
      <c r="BH49" s="102">
        <v>41.633143027385401</v>
      </c>
      <c r="BI49" s="102">
        <v>58.1529489437834</v>
      </c>
      <c r="BJ49" s="102">
        <v>74.798863019902001</v>
      </c>
      <c r="BK49" s="102">
        <v>74.798863019902001</v>
      </c>
      <c r="BL49" s="102">
        <v>74.798863019902001</v>
      </c>
      <c r="BM49" s="128"/>
      <c r="BN49" s="102">
        <v>2.6863135862887799</v>
      </c>
      <c r="BO49" s="102">
        <v>1.5384315922982701</v>
      </c>
      <c r="BP49" s="102">
        <v>4.5444674681814599</v>
      </c>
      <c r="BQ49" s="102">
        <v>7.4341715541001099</v>
      </c>
      <c r="BR49" s="102">
        <v>8.2174515308067306</v>
      </c>
      <c r="BS49" s="102">
        <v>8.9566000621358501</v>
      </c>
      <c r="BT49" s="102">
        <v>12.371550154167201</v>
      </c>
      <c r="BU49" s="102">
        <v>20.392299105129599</v>
      </c>
      <c r="BV49" s="102">
        <v>27.6222953211198</v>
      </c>
      <c r="BW49" s="102">
        <v>31.100451750693601</v>
      </c>
      <c r="BX49" s="102">
        <v>42.01312475428</v>
      </c>
      <c r="BY49" s="102">
        <v>57.4820750591334</v>
      </c>
      <c r="BZ49" s="102">
        <v>70.068110668527893</v>
      </c>
    </row>
    <row r="50" spans="1:78" outlineLevel="1">
      <c r="A50" s="237" t="s">
        <v>191</v>
      </c>
      <c r="B50" s="236" t="s">
        <v>77</v>
      </c>
      <c r="C50" s="190" t="s">
        <v>37</v>
      </c>
      <c r="D50" s="192" t="s">
        <v>20</v>
      </c>
      <c r="E50" s="125">
        <f>HLOOKUP(INPUT!$Q$2,'Tracks Pull'!$X$8:$AJ$138,T50,FALSE)</f>
        <v>7.5228037346989396</v>
      </c>
      <c r="F50" s="125">
        <f>HLOOKUP(INPUT!$Q$3,'Tracks Pull'!$X$8:$AJ$138,T50,FALSE)</f>
        <v>5.3927481691141939</v>
      </c>
      <c r="G50" s="125">
        <f t="shared" si="9"/>
        <v>2.1300555655847457</v>
      </c>
      <c r="I50" s="125">
        <f>HLOOKUP(INPUT!$Q$2,'Tracks Pull'!$AL$8:$AX$138,T50,FALSE)</f>
        <v>3.5179982638412</v>
      </c>
      <c r="J50" s="125">
        <f>HLOOKUP(INPUT!$Q$3,'Tracks Pull'!$AL$8:$AX$138,T50,FALSE)</f>
        <v>2.5469163585696899</v>
      </c>
      <c r="K50" s="125">
        <f t="shared" si="10"/>
        <v>0.97108190527151006</v>
      </c>
      <c r="M50" s="125">
        <f>HLOOKUP(INPUT!$Q$2,'Tracks Pull'!$AZ$8:$BL$138,T50,FALSE)</f>
        <v>7.5228037346989396</v>
      </c>
      <c r="N50" s="125">
        <f>HLOOKUP(INPUT!$Q$3,'Tracks Pull'!$AZ$8:$BL$138,T50,FALSE)</f>
        <v>5.3927481691141939</v>
      </c>
      <c r="O50" s="125">
        <f t="shared" si="11"/>
        <v>2.1300555655847457</v>
      </c>
      <c r="Q50" s="125">
        <f>HLOOKUP(INPUT!$Q$2,'Tracks Pull'!$BN$8:$BZ$138,T50,FALSE)</f>
        <v>3.5179982638412</v>
      </c>
      <c r="R50" s="125">
        <f>HLOOKUP(INPUT!$Q$3,'Tracks Pull'!$BN$8:$BZ$138,T50,FALSE)</f>
        <v>2.5469163585696899</v>
      </c>
      <c r="S50" s="125">
        <f t="shared" si="12"/>
        <v>0.97108190527151006</v>
      </c>
      <c r="T50" s="109">
        <v>43</v>
      </c>
      <c r="U50" s="190" t="s">
        <v>37</v>
      </c>
      <c r="V50" s="191" t="s">
        <v>129</v>
      </c>
      <c r="W50" s="193" t="s">
        <v>77</v>
      </c>
      <c r="X50" s="102">
        <v>0.93639877497742097</v>
      </c>
      <c r="Y50" s="102">
        <v>1.6848007657416271</v>
      </c>
      <c r="Z50" s="102">
        <v>2.8818145012520411</v>
      </c>
      <c r="AA50" s="102">
        <v>3.4107094407470959</v>
      </c>
      <c r="AB50" s="102">
        <v>4.5108828854818439</v>
      </c>
      <c r="AC50" s="102">
        <v>5.3927481691141939</v>
      </c>
      <c r="AD50" s="102">
        <v>7.5228037346989396</v>
      </c>
      <c r="AE50" s="102">
        <v>11.150697273896341</v>
      </c>
      <c r="AF50" s="102">
        <v>14.68101328004893</v>
      </c>
      <c r="AG50" s="102">
        <v>20.481126914345491</v>
      </c>
      <c r="AH50" s="102">
        <v>26.3892544387353</v>
      </c>
      <c r="AI50" s="102">
        <v>26.3892544387353</v>
      </c>
      <c r="AJ50" s="178">
        <v>26.3892544387353</v>
      </c>
      <c r="AK50" s="182"/>
      <c r="AL50" s="180">
        <v>0.76388539956034995</v>
      </c>
      <c r="AM50" s="102">
        <v>0.43747142462343203</v>
      </c>
      <c r="AN50" s="102">
        <v>1.2922736814642399</v>
      </c>
      <c r="AO50" s="102">
        <v>2.1139956023709998</v>
      </c>
      <c r="AP50" s="102">
        <v>2.3367306326474901</v>
      </c>
      <c r="AQ50" s="102">
        <v>2.5469163585696899</v>
      </c>
      <c r="AR50" s="102">
        <v>3.5179982638412</v>
      </c>
      <c r="AS50" s="102">
        <v>5.7987941651282604</v>
      </c>
      <c r="AT50" s="102">
        <v>7.8547300679434899</v>
      </c>
      <c r="AU50" s="102">
        <v>8.8437854513133107</v>
      </c>
      <c r="AV50" s="102">
        <v>11.9469345475931</v>
      </c>
      <c r="AW50" s="102">
        <v>16.345715592633699</v>
      </c>
      <c r="AX50" s="102">
        <v>19.9247053611534</v>
      </c>
      <c r="AY50" s="128"/>
      <c r="AZ50" s="102">
        <v>0.93639877497742097</v>
      </c>
      <c r="BA50" s="102">
        <v>1.6848007657416271</v>
      </c>
      <c r="BB50" s="102">
        <v>2.8818145012520411</v>
      </c>
      <c r="BC50" s="102">
        <v>3.4107094407470959</v>
      </c>
      <c r="BD50" s="102">
        <v>4.5108828854818439</v>
      </c>
      <c r="BE50" s="102">
        <v>5.3927481691141939</v>
      </c>
      <c r="BF50" s="102">
        <v>7.5228037346989396</v>
      </c>
      <c r="BG50" s="102">
        <v>11.150697273896341</v>
      </c>
      <c r="BH50" s="102">
        <v>14.68101328004893</v>
      </c>
      <c r="BI50" s="102">
        <v>20.481126914345491</v>
      </c>
      <c r="BJ50" s="102">
        <v>26.3892544387353</v>
      </c>
      <c r="BK50" s="102">
        <v>26.3892544387353</v>
      </c>
      <c r="BL50" s="102">
        <v>26.3892544387353</v>
      </c>
      <c r="BM50" s="128"/>
      <c r="BN50" s="102">
        <v>0.76388539956034995</v>
      </c>
      <c r="BO50" s="102">
        <v>0.43747142462343203</v>
      </c>
      <c r="BP50" s="102">
        <v>1.2922736814642399</v>
      </c>
      <c r="BQ50" s="102">
        <v>2.1139956023709998</v>
      </c>
      <c r="BR50" s="102">
        <v>2.3367306326474901</v>
      </c>
      <c r="BS50" s="102">
        <v>2.5469163585696899</v>
      </c>
      <c r="BT50" s="102">
        <v>3.5179982638412</v>
      </c>
      <c r="BU50" s="102">
        <v>5.7987941651282604</v>
      </c>
      <c r="BV50" s="102">
        <v>7.8547300679434899</v>
      </c>
      <c r="BW50" s="102">
        <v>8.8437854513133107</v>
      </c>
      <c r="BX50" s="102">
        <v>11.9469345475931</v>
      </c>
      <c r="BY50" s="102">
        <v>16.345715592633699</v>
      </c>
      <c r="BZ50" s="102">
        <v>19.9247053611534</v>
      </c>
    </row>
    <row r="51" spans="1:78" outlineLevel="1">
      <c r="A51" s="237" t="s">
        <v>191</v>
      </c>
      <c r="B51" s="236" t="s">
        <v>78</v>
      </c>
      <c r="C51" s="190" t="s">
        <v>37</v>
      </c>
      <c r="D51" s="192" t="s">
        <v>78</v>
      </c>
      <c r="E51" s="125">
        <f>HLOOKUP(INPUT!$Q$2,'Tracks Pull'!$X$8:$AJ$138,T51,FALSE)</f>
        <v>3.3728514361239781</v>
      </c>
      <c r="F51" s="125">
        <f>HLOOKUP(INPUT!$Q$3,'Tracks Pull'!$X$8:$AJ$138,T51,FALSE)</f>
        <v>2.417840348932041</v>
      </c>
      <c r="G51" s="125">
        <f>E51-F51</f>
        <v>0.95501108719193706</v>
      </c>
      <c r="I51" s="125">
        <f>HLOOKUP(INPUT!$Q$2,'Tracks Pull'!$AL$8:$AX$138,T51,FALSE)</f>
        <v>3.7872756062034298</v>
      </c>
      <c r="J51" s="125">
        <f>HLOOKUP(INPUT!$Q$3,'Tracks Pull'!$AL$8:$AX$138,T51,FALSE)</f>
        <v>2.7418643991368601</v>
      </c>
      <c r="K51" s="125">
        <f>I51-J51</f>
        <v>1.0454112070665698</v>
      </c>
      <c r="M51" s="125">
        <f>HLOOKUP(INPUT!$Q$2,'Tracks Pull'!$AZ$8:$BL$138,T51,FALSE)</f>
        <v>3.3728514361239781</v>
      </c>
      <c r="N51" s="125">
        <f>HLOOKUP(INPUT!$Q$3,'Tracks Pull'!$AZ$8:$BL$138,T51,FALSE)</f>
        <v>2.417840348932041</v>
      </c>
      <c r="O51" s="125">
        <f>M51-N51</f>
        <v>0.95501108719193706</v>
      </c>
      <c r="Q51" s="125">
        <f>HLOOKUP(INPUT!$Q$2,'Tracks Pull'!$BN$8:$BZ$138,T51,FALSE)</f>
        <v>3.7872756062034298</v>
      </c>
      <c r="R51" s="125">
        <f>HLOOKUP(INPUT!$Q$3,'Tracks Pull'!$BN$8:$BZ$138,T51,FALSE)</f>
        <v>2.7418643991368601</v>
      </c>
      <c r="S51" s="125">
        <f>Q51-R51</f>
        <v>1.0454112070665698</v>
      </c>
      <c r="T51" s="199">
        <v>44</v>
      </c>
      <c r="U51" s="500" t="s">
        <v>37</v>
      </c>
      <c r="V51" s="427" t="s">
        <v>129</v>
      </c>
      <c r="W51" s="502" t="s">
        <v>78</v>
      </c>
      <c r="X51" s="102">
        <v>0.41983468721900896</v>
      </c>
      <c r="Y51" s="102">
        <v>0.75538095671744299</v>
      </c>
      <c r="Z51" s="102">
        <v>1.2920624440004502</v>
      </c>
      <c r="AA51" s="102">
        <v>1.529192657567831</v>
      </c>
      <c r="AB51" s="102">
        <v>2.0224557698225523</v>
      </c>
      <c r="AC51" s="102">
        <v>2.417840348932041</v>
      </c>
      <c r="AD51" s="102">
        <v>3.3728514361239781</v>
      </c>
      <c r="AE51" s="102">
        <v>4.9994186529910998</v>
      </c>
      <c r="AF51" s="102">
        <v>6.58223695202516</v>
      </c>
      <c r="AG51" s="102">
        <v>9.18271973624101</v>
      </c>
      <c r="AH51" s="102">
        <v>11.831630582276699</v>
      </c>
      <c r="AI51" s="102">
        <v>11.831630582276699</v>
      </c>
      <c r="AJ51" s="178">
        <v>11.831630582276699</v>
      </c>
      <c r="AK51" s="182"/>
      <c r="AL51" s="180">
        <v>0.82235530626187403</v>
      </c>
      <c r="AM51" s="102">
        <v>0.47095670055230399</v>
      </c>
      <c r="AN51" s="102">
        <v>1.3911878924591601</v>
      </c>
      <c r="AO51" s="102">
        <v>2.2758066877893199</v>
      </c>
      <c r="AP51" s="102">
        <v>2.51559047491719</v>
      </c>
      <c r="AQ51" s="102">
        <v>2.7418643991368601</v>
      </c>
      <c r="AR51" s="102">
        <v>3.7872756062034298</v>
      </c>
      <c r="AS51" s="102">
        <v>6.2426499503174204</v>
      </c>
      <c r="AT51" s="102">
        <v>8.4559528881500796</v>
      </c>
      <c r="AU51" s="102">
        <v>9.5207133131682493</v>
      </c>
      <c r="AV51" s="102">
        <v>12.8613860461674</v>
      </c>
      <c r="AW51" s="102">
        <v>17.596861990013501</v>
      </c>
      <c r="AX51" s="102">
        <v>21.449797559790198</v>
      </c>
      <c r="AY51" s="128"/>
      <c r="AZ51" s="102">
        <v>0.41983468721900896</v>
      </c>
      <c r="BA51" s="102">
        <v>0.75538095671744299</v>
      </c>
      <c r="BB51" s="102">
        <v>1.2920624440004502</v>
      </c>
      <c r="BC51" s="102">
        <v>1.529192657567831</v>
      </c>
      <c r="BD51" s="102">
        <v>2.0224557698225523</v>
      </c>
      <c r="BE51" s="102">
        <v>2.417840348932041</v>
      </c>
      <c r="BF51" s="102">
        <v>3.3728514361239781</v>
      </c>
      <c r="BG51" s="102">
        <v>4.9994186529910998</v>
      </c>
      <c r="BH51" s="102">
        <v>6.58223695202516</v>
      </c>
      <c r="BI51" s="102">
        <v>9.18271973624101</v>
      </c>
      <c r="BJ51" s="102">
        <v>11.831630582276699</v>
      </c>
      <c r="BK51" s="102">
        <v>11.831630582276699</v>
      </c>
      <c r="BL51" s="102">
        <v>11.831630582276699</v>
      </c>
      <c r="BM51" s="128"/>
      <c r="BN51" s="102">
        <v>0.82235530626187403</v>
      </c>
      <c r="BO51" s="102">
        <v>0.47095670055230399</v>
      </c>
      <c r="BP51" s="102">
        <v>1.3911878924591601</v>
      </c>
      <c r="BQ51" s="102">
        <v>2.2758066877893199</v>
      </c>
      <c r="BR51" s="102">
        <v>2.51559047491719</v>
      </c>
      <c r="BS51" s="102">
        <v>2.7418643991368601</v>
      </c>
      <c r="BT51" s="102">
        <v>3.7872756062034298</v>
      </c>
      <c r="BU51" s="102">
        <v>6.2426499503174204</v>
      </c>
      <c r="BV51" s="102">
        <v>8.4559528881500796</v>
      </c>
      <c r="BW51" s="102">
        <v>9.5207133131682493</v>
      </c>
      <c r="BX51" s="102">
        <v>12.8613860461674</v>
      </c>
      <c r="BY51" s="102">
        <v>17.596861990013501</v>
      </c>
      <c r="BZ51" s="102">
        <v>21.449797559790198</v>
      </c>
    </row>
    <row r="52" spans="1:78" outlineLevel="1">
      <c r="A52" s="237" t="s">
        <v>191</v>
      </c>
      <c r="B52" s="236" t="s">
        <v>393</v>
      </c>
      <c r="C52" s="190" t="s">
        <v>37</v>
      </c>
      <c r="D52" s="192" t="s">
        <v>393</v>
      </c>
      <c r="E52" s="125">
        <f>HLOOKUP(INPUT!$Q$2,'Tracks Pull'!$X$8:$AJ$138,T52,FALSE)</f>
        <v>1.9202763504936549</v>
      </c>
      <c r="F52" s="125">
        <f>HLOOKUP(INPUT!$Q$3,'Tracks Pull'!$X$8:$AJ$138,T52,FALSE)</f>
        <v>1.3765568182448871</v>
      </c>
      <c r="G52" s="125">
        <f>E52-F52</f>
        <v>0.54371953224876779</v>
      </c>
      <c r="I52" s="125">
        <f>HLOOKUP(INPUT!$Q$2,'Tracks Pull'!$AL$8:$AX$138,T52,FALSE)</f>
        <v>1.2665198665869399</v>
      </c>
      <c r="J52" s="125">
        <f>HLOOKUP(INPUT!$Q$3,'Tracks Pull'!$AL$8:$AX$138,T52,FALSE)</f>
        <v>0.91691920368991497</v>
      </c>
      <c r="K52" s="125">
        <f>I52-J52</f>
        <v>0.34960066289702496</v>
      </c>
      <c r="M52" s="125">
        <f>HLOOKUP(INPUT!$Q$2,'Tracks Pull'!$AZ$8:$BL$138,T52,FALSE)</f>
        <v>1.9202763504936549</v>
      </c>
      <c r="N52" s="125">
        <f>HLOOKUP(INPUT!$Q$3,'Tracks Pull'!$AZ$8:$BL$138,T52,FALSE)</f>
        <v>1.3765568182448871</v>
      </c>
      <c r="O52" s="125">
        <f>M52-N52</f>
        <v>0.54371953224876779</v>
      </c>
      <c r="Q52" s="125">
        <f>HLOOKUP(INPUT!$Q$2,'Tracks Pull'!$BN$8:$BZ$138,T52,FALSE)</f>
        <v>1.2665198665869399</v>
      </c>
      <c r="R52" s="125">
        <f>HLOOKUP(INPUT!$Q$3,'Tracks Pull'!$BN$8:$BZ$138,T52,FALSE)</f>
        <v>0.91691920368991497</v>
      </c>
      <c r="S52" s="125">
        <f>Q52-R52</f>
        <v>0.34960066289702496</v>
      </c>
      <c r="T52" s="109">
        <v>45</v>
      </c>
      <c r="U52" s="500" t="s">
        <v>37</v>
      </c>
      <c r="V52" s="427" t="s">
        <v>129</v>
      </c>
      <c r="W52" s="502" t="s">
        <v>393</v>
      </c>
      <c r="X52" s="102">
        <v>0.23902583207460701</v>
      </c>
      <c r="Y52" s="102">
        <v>0.43006346833488501</v>
      </c>
      <c r="Z52" s="102">
        <v>0.73561406470554802</v>
      </c>
      <c r="AA52" s="102">
        <v>0.87062017147443194</v>
      </c>
      <c r="AB52" s="102">
        <v>1.15145124481757</v>
      </c>
      <c r="AC52" s="102">
        <v>1.3765568182448871</v>
      </c>
      <c r="AD52" s="102">
        <v>1.9202763504936549</v>
      </c>
      <c r="AE52" s="102">
        <v>2.8463350928341198</v>
      </c>
      <c r="AF52" s="102">
        <v>3.7474861231494705</v>
      </c>
      <c r="AG52" s="102">
        <v>5.2280273461967006</v>
      </c>
      <c r="AH52" s="102">
        <v>6.7361402733566198</v>
      </c>
      <c r="AI52" s="102">
        <v>6.7361402733566198</v>
      </c>
      <c r="AJ52" s="178">
        <v>6.7361402733566198</v>
      </c>
      <c r="AK52" s="182"/>
      <c r="AL52" s="180">
        <v>0.27500753604196598</v>
      </c>
      <c r="AM52" s="102">
        <v>0.15749474809140401</v>
      </c>
      <c r="AN52" s="102">
        <v>0.465233399192997</v>
      </c>
      <c r="AO52" s="102">
        <v>0.761062748608892</v>
      </c>
      <c r="AP52" s="102">
        <v>0.84124992315342895</v>
      </c>
      <c r="AQ52" s="102">
        <v>0.91691920368991497</v>
      </c>
      <c r="AR52" s="102">
        <v>1.2665198665869399</v>
      </c>
      <c r="AS52" s="102">
        <v>2.0876326426506902</v>
      </c>
      <c r="AT52" s="102">
        <v>2.8277932311615399</v>
      </c>
      <c r="AU52" s="102">
        <v>3.1838645530458498</v>
      </c>
      <c r="AV52" s="102">
        <v>4.3010339444622998</v>
      </c>
      <c r="AW52" s="102">
        <v>5.8846457499516598</v>
      </c>
      <c r="AX52" s="102">
        <v>7.1731232602254602</v>
      </c>
      <c r="AY52" s="128"/>
      <c r="AZ52" s="102">
        <v>0.23902583207460701</v>
      </c>
      <c r="BA52" s="102">
        <v>0.43006346833488501</v>
      </c>
      <c r="BB52" s="102">
        <v>0.73561406470554802</v>
      </c>
      <c r="BC52" s="102">
        <v>0.87062017147443194</v>
      </c>
      <c r="BD52" s="102">
        <v>1.15145124481757</v>
      </c>
      <c r="BE52" s="102">
        <v>1.3765568182448871</v>
      </c>
      <c r="BF52" s="102">
        <v>1.9202763504936549</v>
      </c>
      <c r="BG52" s="102">
        <v>2.8463350928341198</v>
      </c>
      <c r="BH52" s="102">
        <v>3.7474861231494705</v>
      </c>
      <c r="BI52" s="102">
        <v>5.2280273461967006</v>
      </c>
      <c r="BJ52" s="102">
        <v>6.7361402733566198</v>
      </c>
      <c r="BK52" s="102">
        <v>6.7361402733566198</v>
      </c>
      <c r="BL52" s="102">
        <v>6.7361402733566198</v>
      </c>
      <c r="BM52" s="128"/>
      <c r="BN52" s="102">
        <v>0.27500753604196598</v>
      </c>
      <c r="BO52" s="102">
        <v>0.15749474809140401</v>
      </c>
      <c r="BP52" s="102">
        <v>0.465233399192997</v>
      </c>
      <c r="BQ52" s="102">
        <v>0.761062748608892</v>
      </c>
      <c r="BR52" s="102">
        <v>0.84124992315342895</v>
      </c>
      <c r="BS52" s="102">
        <v>0.91691920368991497</v>
      </c>
      <c r="BT52" s="102">
        <v>1.2665198665869399</v>
      </c>
      <c r="BU52" s="102">
        <v>2.0876326426506902</v>
      </c>
      <c r="BV52" s="102">
        <v>2.8277932311615399</v>
      </c>
      <c r="BW52" s="102">
        <v>3.1838645530458498</v>
      </c>
      <c r="BX52" s="102">
        <v>4.3010339444622998</v>
      </c>
      <c r="BY52" s="102">
        <v>5.8846457499516598</v>
      </c>
      <c r="BZ52" s="102">
        <v>7.1731232602254602</v>
      </c>
    </row>
    <row r="53" spans="1:78" outlineLevel="1">
      <c r="A53" s="237" t="s">
        <v>191</v>
      </c>
      <c r="B53" s="236" t="s">
        <v>80</v>
      </c>
      <c r="C53" s="190" t="s">
        <v>37</v>
      </c>
      <c r="D53" s="193" t="s">
        <v>80</v>
      </c>
      <c r="E53" s="125">
        <f>HLOOKUP(INPUT!$Q$2,'Tracks Pull'!$X$8:$AJ$138,T53,FALSE)</f>
        <v>0.955318408223648</v>
      </c>
      <c r="F53" s="125">
        <f>HLOOKUP(INPUT!$Q$3,'Tracks Pull'!$X$8:$AJ$138,T53,FALSE)</f>
        <v>0.70867328518120098</v>
      </c>
      <c r="G53" s="125">
        <f t="shared" ref="G53:G124" si="13">E53-F53</f>
        <v>0.24664512304244701</v>
      </c>
      <c r="I53" s="125">
        <f>HLOOKUP(INPUT!$Q$2,'Tracks Pull'!$AL$8:$AX$138,T53,FALSE)</f>
        <v>-2.5413396923737999</v>
      </c>
      <c r="J53" s="125">
        <f>HLOOKUP(INPUT!$Q$3,'Tracks Pull'!$AL$8:$AX$138,T53,FALSE)</f>
        <v>-1.8398473079751001</v>
      </c>
      <c r="K53" s="125">
        <f t="shared" ref="K53:K124" si="14">I53-J53</f>
        <v>-0.70149238439869976</v>
      </c>
      <c r="M53" s="125">
        <f>HLOOKUP(INPUT!$Q$2,'Tracks Pull'!$AZ$8:$BL$138,T53,FALSE)</f>
        <v>0.955318408223648</v>
      </c>
      <c r="N53" s="125">
        <f>HLOOKUP(INPUT!$Q$3,'Tracks Pull'!$AZ$8:$BL$138,T53,FALSE)</f>
        <v>0.70867328518120098</v>
      </c>
      <c r="O53" s="125">
        <f t="shared" ref="O53:O124" si="15">M53-N53</f>
        <v>0.24664512304244701</v>
      </c>
      <c r="Q53" s="125">
        <f>HLOOKUP(INPUT!$Q$2,'Tracks Pull'!$BN$8:$BZ$138,T53,FALSE)</f>
        <v>-2.5413396923737999</v>
      </c>
      <c r="R53" s="125">
        <f>HLOOKUP(INPUT!$Q$3,'Tracks Pull'!$BN$8:$BZ$138,T53,FALSE)</f>
        <v>-1.8398473079751001</v>
      </c>
      <c r="S53" s="125">
        <f t="shared" ref="S53:S124" si="16">Q53-R53</f>
        <v>-0.70149238439869976</v>
      </c>
      <c r="T53" s="199">
        <v>46</v>
      </c>
      <c r="U53" s="190" t="s">
        <v>37</v>
      </c>
      <c r="V53" s="191" t="s">
        <v>129</v>
      </c>
      <c r="W53" s="193" t="s">
        <v>80</v>
      </c>
      <c r="X53" s="102">
        <v>0.12740846170068901</v>
      </c>
      <c r="Y53" s="102">
        <v>0.224057748943744</v>
      </c>
      <c r="Z53" s="102">
        <v>0.37569489431306002</v>
      </c>
      <c r="AA53" s="102">
        <v>0.45244593338810801</v>
      </c>
      <c r="AB53" s="102">
        <v>0.587384974972605</v>
      </c>
      <c r="AC53" s="102">
        <v>0.70867328518120098</v>
      </c>
      <c r="AD53" s="102">
        <v>0.955318408223648</v>
      </c>
      <c r="AE53" s="102">
        <v>1.3547781547561719</v>
      </c>
      <c r="AF53" s="102">
        <v>1.7613533872152809</v>
      </c>
      <c r="AG53" s="102">
        <v>2.3856645359385098</v>
      </c>
      <c r="AH53" s="102">
        <v>3.20313761052505</v>
      </c>
      <c r="AI53" s="102">
        <v>3.20313761052505</v>
      </c>
      <c r="AJ53" s="178">
        <v>3.20313761052505</v>
      </c>
      <c r="AK53" s="182"/>
      <c r="AL53" s="180">
        <v>-0.55181729515917799</v>
      </c>
      <c r="AM53" s="102">
        <v>-0.31602161578696703</v>
      </c>
      <c r="AN53" s="102">
        <v>-0.93351563980855301</v>
      </c>
      <c r="AO53" s="102">
        <v>-1.52711301453092</v>
      </c>
      <c r="AP53" s="102">
        <v>-1.68801285895144</v>
      </c>
      <c r="AQ53" s="102">
        <v>-1.8398473079751001</v>
      </c>
      <c r="AR53" s="102">
        <v>-2.5413396923737999</v>
      </c>
      <c r="AS53" s="102">
        <v>-4.18894629119443</v>
      </c>
      <c r="AT53" s="102">
        <v>-5.6741180061730097</v>
      </c>
      <c r="AU53" s="102">
        <v>-6.3885941130967501</v>
      </c>
      <c r="AV53" s="102">
        <v>-8.6302541078685806</v>
      </c>
      <c r="AW53" s="102">
        <v>-11.807855695317199</v>
      </c>
      <c r="AX53" s="102">
        <v>-14.3932545713837</v>
      </c>
      <c r="AY53" s="128"/>
      <c r="AZ53" s="102">
        <v>0.12740846170068901</v>
      </c>
      <c r="BA53" s="102">
        <v>0.224057748943744</v>
      </c>
      <c r="BB53" s="102">
        <v>0.37569489431306002</v>
      </c>
      <c r="BC53" s="102">
        <v>0.45244593338810801</v>
      </c>
      <c r="BD53" s="102">
        <v>0.587384974972605</v>
      </c>
      <c r="BE53" s="102">
        <v>0.70867328518120098</v>
      </c>
      <c r="BF53" s="102">
        <v>0.955318408223648</v>
      </c>
      <c r="BG53" s="102">
        <v>1.3547781547561719</v>
      </c>
      <c r="BH53" s="102">
        <v>1.7613533872152809</v>
      </c>
      <c r="BI53" s="102">
        <v>2.3856645359385098</v>
      </c>
      <c r="BJ53" s="102">
        <v>3.20313761052505</v>
      </c>
      <c r="BK53" s="102">
        <v>3.20313761052505</v>
      </c>
      <c r="BL53" s="102">
        <v>3.20313761052505</v>
      </c>
      <c r="BM53" s="128"/>
      <c r="BN53" s="102">
        <v>-0.55181729515917799</v>
      </c>
      <c r="BO53" s="102">
        <v>-0.31602161578696703</v>
      </c>
      <c r="BP53" s="102">
        <v>-0.93351563980855301</v>
      </c>
      <c r="BQ53" s="102">
        <v>-1.52711301453092</v>
      </c>
      <c r="BR53" s="102">
        <v>-1.68801285895144</v>
      </c>
      <c r="BS53" s="102">
        <v>-1.8398473079751001</v>
      </c>
      <c r="BT53" s="102">
        <v>-2.5413396923737999</v>
      </c>
      <c r="BU53" s="102">
        <v>-4.18894629119443</v>
      </c>
      <c r="BV53" s="102">
        <v>-5.6741180061730097</v>
      </c>
      <c r="BW53" s="102">
        <v>-6.3885941130967501</v>
      </c>
      <c r="BX53" s="102">
        <v>-8.6302541078685806</v>
      </c>
      <c r="BY53" s="102">
        <v>-11.807855695317199</v>
      </c>
      <c r="BZ53" s="102">
        <v>-14.3932545713837</v>
      </c>
    </row>
    <row r="54" spans="1:78" outlineLevel="1">
      <c r="A54" s="237" t="s">
        <v>191</v>
      </c>
      <c r="B54" s="236" t="s">
        <v>104</v>
      </c>
      <c r="C54" s="190" t="s">
        <v>37</v>
      </c>
      <c r="D54" s="190" t="s">
        <v>24</v>
      </c>
      <c r="E54" s="436">
        <f>HLOOKUP(INPUT!$Q$2,'Tracks Pull'!$X$8:$AJ$138,T54,FALSE)</f>
        <v>4.8389941650438901</v>
      </c>
      <c r="F54" s="436">
        <f>HLOOKUP(INPUT!$Q$3,'Tracks Pull'!$X$8:$AJ$138,T54,FALSE)</f>
        <v>3.8367487133901852</v>
      </c>
      <c r="G54" s="125">
        <f t="shared" si="13"/>
        <v>1.0022454516537049</v>
      </c>
      <c r="I54" s="125">
        <f>HLOOKUP(INPUT!$Q$2,'Tracks Pull'!$AL$8:$AX$138,T54,FALSE)</f>
        <v>2.3825988565400902</v>
      </c>
      <c r="J54" s="125">
        <f>HLOOKUP(INPUT!$Q$3,'Tracks Pull'!$AL$8:$AX$138,T54,FALSE)</f>
        <v>1.72492410414257</v>
      </c>
      <c r="K54" s="125">
        <f t="shared" si="14"/>
        <v>0.65767475239752016</v>
      </c>
      <c r="M54" s="125">
        <f>HLOOKUP(INPUT!$Q$2,'Tracks Pull'!$AZ$8:$BL$138,T54,FALSE)</f>
        <v>4.8389941650438901</v>
      </c>
      <c r="N54" s="125">
        <f>HLOOKUP(INPUT!$Q$3,'Tracks Pull'!$AZ$8:$BL$138,T54,FALSE)</f>
        <v>3.8367487133901852</v>
      </c>
      <c r="O54" s="125">
        <f t="shared" si="15"/>
        <v>1.0022454516537049</v>
      </c>
      <c r="Q54" s="125">
        <f>HLOOKUP(INPUT!$Q$2,'Tracks Pull'!$BN$8:$BZ$138,T54,FALSE)</f>
        <v>2.3825988565400902</v>
      </c>
      <c r="R54" s="125">
        <f>HLOOKUP(INPUT!$Q$3,'Tracks Pull'!$BN$8:$BZ$138,T54,FALSE)</f>
        <v>1.72492410414257</v>
      </c>
      <c r="S54" s="125">
        <f t="shared" si="16"/>
        <v>0.65767475239752016</v>
      </c>
      <c r="T54" s="109">
        <v>47</v>
      </c>
      <c r="U54" s="190" t="s">
        <v>37</v>
      </c>
      <c r="V54" s="191" t="s">
        <v>129</v>
      </c>
      <c r="W54" s="192" t="s">
        <v>405</v>
      </c>
      <c r="X54" s="102">
        <v>0.73338001453039292</v>
      </c>
      <c r="Y54" s="102">
        <v>1.239619243019273</v>
      </c>
      <c r="Z54" s="102">
        <v>2.003863876641943</v>
      </c>
      <c r="AA54" s="102">
        <v>2.491954524622559</v>
      </c>
      <c r="AB54" s="102">
        <v>3.126028830421959</v>
      </c>
      <c r="AC54" s="102">
        <v>3.8367487133901852</v>
      </c>
      <c r="AD54" s="102">
        <v>4.8389941650438901</v>
      </c>
      <c r="AE54" s="102">
        <v>6.2278699303241094</v>
      </c>
      <c r="AF54" s="102">
        <v>7.8548833687784594</v>
      </c>
      <c r="AG54" s="102">
        <v>9.8543506419487006</v>
      </c>
      <c r="AH54" s="102">
        <v>14.691341749748391</v>
      </c>
      <c r="AI54" s="102">
        <v>14.691341749748391</v>
      </c>
      <c r="AJ54" s="178">
        <v>14.691341749748391</v>
      </c>
      <c r="AK54" s="182"/>
      <c r="AL54" s="180">
        <v>0.51734888508242605</v>
      </c>
      <c r="AM54" s="102">
        <v>0.29628181650626301</v>
      </c>
      <c r="AN54" s="102">
        <v>0.87520503561355301</v>
      </c>
      <c r="AO54" s="102">
        <v>1.4317242724959101</v>
      </c>
      <c r="AP54" s="102">
        <v>1.58257375809763</v>
      </c>
      <c r="AQ54" s="102">
        <v>1.72492410414257</v>
      </c>
      <c r="AR54" s="102">
        <v>2.3825988565400902</v>
      </c>
      <c r="AS54" s="102">
        <v>3.9272902687735902</v>
      </c>
      <c r="AT54" s="102">
        <v>5.3196930398365803</v>
      </c>
      <c r="AU54" s="102">
        <v>5.9895405067022196</v>
      </c>
      <c r="AV54" s="102">
        <v>8.0911786923893008</v>
      </c>
      <c r="AW54" s="102">
        <v>11.070296333181</v>
      </c>
      <c r="AX54" s="102">
        <v>13.4942022849518</v>
      </c>
      <c r="AY54" s="128"/>
      <c r="AZ54" s="102">
        <v>0.73338001453039292</v>
      </c>
      <c r="BA54" s="102">
        <v>1.239619243019273</v>
      </c>
      <c r="BB54" s="102">
        <v>2.003863876641943</v>
      </c>
      <c r="BC54" s="102">
        <v>2.491954524622559</v>
      </c>
      <c r="BD54" s="102">
        <v>3.126028830421959</v>
      </c>
      <c r="BE54" s="102">
        <v>3.8367487133901852</v>
      </c>
      <c r="BF54" s="102">
        <v>4.8389941650438901</v>
      </c>
      <c r="BG54" s="102">
        <v>6.2278699303241094</v>
      </c>
      <c r="BH54" s="102">
        <v>7.8548833687784594</v>
      </c>
      <c r="BI54" s="102">
        <v>9.8543506419487006</v>
      </c>
      <c r="BJ54" s="102">
        <v>14.691341749748391</v>
      </c>
      <c r="BK54" s="102">
        <v>14.691341749748391</v>
      </c>
      <c r="BL54" s="102">
        <v>14.691341749748391</v>
      </c>
      <c r="BM54" s="128"/>
      <c r="BN54" s="102">
        <v>0.51734888508242605</v>
      </c>
      <c r="BO54" s="102">
        <v>0.29628181650626301</v>
      </c>
      <c r="BP54" s="102">
        <v>0.87520503561355301</v>
      </c>
      <c r="BQ54" s="102">
        <v>1.4317242724959101</v>
      </c>
      <c r="BR54" s="102">
        <v>1.58257375809763</v>
      </c>
      <c r="BS54" s="102">
        <v>1.72492410414257</v>
      </c>
      <c r="BT54" s="102">
        <v>2.3825988565400902</v>
      </c>
      <c r="BU54" s="102">
        <v>3.9272902687735902</v>
      </c>
      <c r="BV54" s="102">
        <v>5.3196930398365803</v>
      </c>
      <c r="BW54" s="102">
        <v>5.9895405067022196</v>
      </c>
      <c r="BX54" s="102">
        <v>8.0911786923893008</v>
      </c>
      <c r="BY54" s="102">
        <v>11.070296333181</v>
      </c>
      <c r="BZ54" s="102">
        <v>13.4942022849518</v>
      </c>
    </row>
    <row r="55" spans="1:78" outlineLevel="1">
      <c r="A55" s="237" t="s">
        <v>191</v>
      </c>
      <c r="B55" s="236" t="s">
        <v>105</v>
      </c>
      <c r="C55" s="190" t="s">
        <v>37</v>
      </c>
      <c r="D55" s="190" t="s">
        <v>130</v>
      </c>
      <c r="E55" s="125">
        <f>HLOOKUP(INPUT!$Q$2,'Tracks Pull'!$X$8:$AJ$138,T55,FALSE)</f>
        <v>8.6290859022116209</v>
      </c>
      <c r="F55" s="125">
        <f>HLOOKUP(INPUT!$Q$3,'Tracks Pull'!$X$8:$AJ$138,T55,FALSE)</f>
        <v>5.8178915890239002</v>
      </c>
      <c r="G55" s="125">
        <f t="shared" si="13"/>
        <v>2.8111943131877206</v>
      </c>
      <c r="I55" s="125">
        <f>HLOOKUP(INPUT!$Q$2,'Tracks Pull'!$AL$8:$AX$138,T55,FALSE)</f>
        <v>4.0522630311746504</v>
      </c>
      <c r="J55" s="125">
        <f>HLOOKUP(INPUT!$Q$3,'Tracks Pull'!$AL$8:$AX$138,T55,FALSE)</f>
        <v>2.9337066789956201</v>
      </c>
      <c r="K55" s="125">
        <f t="shared" si="14"/>
        <v>1.1185563521790303</v>
      </c>
      <c r="M55" s="125">
        <f>HLOOKUP(INPUT!$Q$2,'Tracks Pull'!$AZ$8:$BL$138,T55,FALSE)</f>
        <v>8.6290859022116209</v>
      </c>
      <c r="N55" s="125">
        <f>HLOOKUP(INPUT!$Q$3,'Tracks Pull'!$AZ$8:$BL$138,T55,FALSE)</f>
        <v>5.8178915890239002</v>
      </c>
      <c r="O55" s="125">
        <f t="shared" si="15"/>
        <v>2.8111943131877206</v>
      </c>
      <c r="Q55" s="125">
        <f>HLOOKUP(INPUT!$Q$2,'Tracks Pull'!$BN$8:$BZ$138,T55,FALSE)</f>
        <v>4.0522630311746504</v>
      </c>
      <c r="R55" s="125">
        <f>HLOOKUP(INPUT!$Q$3,'Tracks Pull'!$BN$8:$BZ$138,T55,FALSE)</f>
        <v>2.9337066789956201</v>
      </c>
      <c r="S55" s="125">
        <f t="shared" si="16"/>
        <v>1.1185563521790303</v>
      </c>
      <c r="T55" s="199">
        <v>48</v>
      </c>
      <c r="U55" s="190" t="s">
        <v>37</v>
      </c>
      <c r="V55" s="191" t="s">
        <v>129</v>
      </c>
      <c r="W55" s="190" t="s">
        <v>105</v>
      </c>
      <c r="X55" s="102">
        <v>0.94305527755430407</v>
      </c>
      <c r="Y55" s="102">
        <v>1.7766805848918679</v>
      </c>
      <c r="Z55" s="102">
        <v>3.1554503645122991</v>
      </c>
      <c r="AA55" s="102">
        <v>3.61424064596891</v>
      </c>
      <c r="AB55" s="102">
        <v>4.94980752238079</v>
      </c>
      <c r="AC55" s="102">
        <v>5.8178915890239002</v>
      </c>
      <c r="AD55" s="102">
        <v>8.6290859022116209</v>
      </c>
      <c r="AE55" s="102">
        <v>13.73523013007831</v>
      </c>
      <c r="AF55" s="102">
        <v>18.42854356845951</v>
      </c>
      <c r="AG55" s="102">
        <v>26.81302323591926</v>
      </c>
      <c r="AH55" s="102">
        <v>32.553356401384399</v>
      </c>
      <c r="AI55" s="102">
        <v>32.553356401384399</v>
      </c>
      <c r="AJ55" s="178">
        <v>32.553356401384399</v>
      </c>
      <c r="AK55" s="182"/>
      <c r="AL55" s="180">
        <v>0.87989371584073395</v>
      </c>
      <c r="AM55" s="102">
        <v>0.50390851508301404</v>
      </c>
      <c r="AN55" s="102">
        <v>1.4885262791004901</v>
      </c>
      <c r="AO55" s="102">
        <v>2.4350399247213801</v>
      </c>
      <c r="AP55" s="102">
        <v>2.6916008611532898</v>
      </c>
      <c r="AQ55" s="102">
        <v>2.9337066789956201</v>
      </c>
      <c r="AR55" s="102">
        <v>4.0522630311746504</v>
      </c>
      <c r="AS55" s="102">
        <v>6.6794345700112698</v>
      </c>
      <c r="AT55" s="102">
        <v>9.0475974935330807</v>
      </c>
      <c r="AU55" s="102">
        <v>10.1868568862986</v>
      </c>
      <c r="AV55" s="102">
        <v>13.761269213991801</v>
      </c>
      <c r="AW55" s="102">
        <v>18.828076095126399</v>
      </c>
      <c r="AX55" s="102">
        <v>22.950593174509301</v>
      </c>
      <c r="AY55" s="128"/>
      <c r="AZ55" s="102">
        <v>0.94305527755430407</v>
      </c>
      <c r="BA55" s="102">
        <v>1.7766805848918679</v>
      </c>
      <c r="BB55" s="102">
        <v>3.1554503645122991</v>
      </c>
      <c r="BC55" s="102">
        <v>3.61424064596891</v>
      </c>
      <c r="BD55" s="102">
        <v>4.94980752238079</v>
      </c>
      <c r="BE55" s="102">
        <v>5.8178915890239002</v>
      </c>
      <c r="BF55" s="102">
        <v>8.6290859022116209</v>
      </c>
      <c r="BG55" s="102">
        <v>13.73523013007831</v>
      </c>
      <c r="BH55" s="102">
        <v>18.42854356845951</v>
      </c>
      <c r="BI55" s="102">
        <v>26.81302323591926</v>
      </c>
      <c r="BJ55" s="102">
        <v>32.553356401384399</v>
      </c>
      <c r="BK55" s="102">
        <v>32.553356401384399</v>
      </c>
      <c r="BL55" s="102">
        <v>32.553356401384399</v>
      </c>
      <c r="BM55" s="128"/>
      <c r="BN55" s="102">
        <v>0.87989371584073395</v>
      </c>
      <c r="BO55" s="102">
        <v>0.50390851508301404</v>
      </c>
      <c r="BP55" s="102">
        <v>1.4885262791004901</v>
      </c>
      <c r="BQ55" s="102">
        <v>2.4350399247213801</v>
      </c>
      <c r="BR55" s="102">
        <v>2.6916008611532898</v>
      </c>
      <c r="BS55" s="102">
        <v>2.9337066789956201</v>
      </c>
      <c r="BT55" s="102">
        <v>4.0522630311746504</v>
      </c>
      <c r="BU55" s="102">
        <v>6.6794345700112698</v>
      </c>
      <c r="BV55" s="102">
        <v>9.0475974935330807</v>
      </c>
      <c r="BW55" s="102">
        <v>10.1868568862986</v>
      </c>
      <c r="BX55" s="102">
        <v>13.761269213991801</v>
      </c>
      <c r="BY55" s="102">
        <v>18.828076095126399</v>
      </c>
      <c r="BZ55" s="102">
        <v>22.950593174509301</v>
      </c>
    </row>
    <row r="56" spans="1:78">
      <c r="A56" s="237" t="s">
        <v>191</v>
      </c>
      <c r="B56" s="236" t="s">
        <v>26</v>
      </c>
      <c r="C56" s="190" t="s">
        <v>37</v>
      </c>
      <c r="D56" s="191" t="s">
        <v>26</v>
      </c>
      <c r="E56" s="123">
        <f>HLOOKUP(INPUT!$Q$2,'Tracks Pull'!$X$8:$AJ$138,T56,FALSE)</f>
        <v>59.350013192529332</v>
      </c>
      <c r="F56" s="123">
        <f>HLOOKUP(INPUT!$Q$3,'Tracks Pull'!$X$8:$AJ$138,T56,FALSE)</f>
        <v>45.015659908778829</v>
      </c>
      <c r="G56" s="123">
        <f t="shared" si="13"/>
        <v>14.334353283750502</v>
      </c>
      <c r="I56" s="123">
        <f>HLOOKUP(INPUT!$Q$2,'Tracks Pull'!$AL$8:$AX$138,T56,FALSE)</f>
        <v>36.941672815656709</v>
      </c>
      <c r="J56" s="123">
        <f>HLOOKUP(INPUT!$Q$3,'Tracks Pull'!$AL$8:$AX$138,T56,FALSE)</f>
        <v>25.771315074634852</v>
      </c>
      <c r="K56" s="123">
        <f t="shared" si="14"/>
        <v>11.170357741021856</v>
      </c>
      <c r="M56" s="123">
        <f>HLOOKUP(INPUT!$Q$2,'Tracks Pull'!$AZ$8:$BL$138,T56,FALSE)</f>
        <v>59.350013192529332</v>
      </c>
      <c r="N56" s="123">
        <f>HLOOKUP(INPUT!$Q$3,'Tracks Pull'!$AZ$8:$BL$138,T56,FALSE)</f>
        <v>45.015659908778829</v>
      </c>
      <c r="O56" s="123">
        <f t="shared" si="15"/>
        <v>14.334353283750502</v>
      </c>
      <c r="Q56" s="123">
        <f>HLOOKUP(INPUT!$Q$2,'Tracks Pull'!$BN$8:$BZ$138,T56,FALSE)</f>
        <v>36.941672815656709</v>
      </c>
      <c r="R56" s="123">
        <f>HLOOKUP(INPUT!$Q$3,'Tracks Pull'!$BN$8:$BZ$138,T56,FALSE)</f>
        <v>25.771315074634852</v>
      </c>
      <c r="S56" s="123">
        <f t="shared" si="16"/>
        <v>11.170357741021856</v>
      </c>
      <c r="T56" s="109">
        <v>49</v>
      </c>
      <c r="U56" s="190" t="s">
        <v>37</v>
      </c>
      <c r="V56" s="191" t="s">
        <v>129</v>
      </c>
      <c r="W56" s="191" t="s">
        <v>26</v>
      </c>
      <c r="X56" s="102">
        <v>6.6850109660238939</v>
      </c>
      <c r="Y56" s="102">
        <v>12.682575208551528</v>
      </c>
      <c r="Z56" s="102">
        <v>19.712506169118889</v>
      </c>
      <c r="AA56" s="102">
        <v>28.443353053085957</v>
      </c>
      <c r="AB56" s="102">
        <v>37.875636979518276</v>
      </c>
      <c r="AC56" s="102">
        <v>45.015659908778829</v>
      </c>
      <c r="AD56" s="102">
        <v>59.350013192529332</v>
      </c>
      <c r="AE56" s="102">
        <v>81.988408333009488</v>
      </c>
      <c r="AF56" s="102">
        <v>102.56558003402792</v>
      </c>
      <c r="AG56" s="102">
        <v>135.84868036279391</v>
      </c>
      <c r="AH56" s="102">
        <v>164.6558717490571</v>
      </c>
      <c r="AI56" s="102">
        <v>164.6558717490571</v>
      </c>
      <c r="AJ56" s="178">
        <v>164.6558717490571</v>
      </c>
      <c r="AK56" s="182"/>
      <c r="AL56" s="180">
        <v>9.0287452060009237</v>
      </c>
      <c r="AM56" s="102">
        <v>10.515289112420342</v>
      </c>
      <c r="AN56" s="102">
        <v>13.928001146652598</v>
      </c>
      <c r="AO56" s="102">
        <v>18.544940869375854</v>
      </c>
      <c r="AP56" s="102">
        <v>23.719517094777924</v>
      </c>
      <c r="AQ56" s="102">
        <v>25.771315074634852</v>
      </c>
      <c r="AR56" s="102">
        <v>36.941672815656709</v>
      </c>
      <c r="AS56" s="102">
        <v>50.48141275528932</v>
      </c>
      <c r="AT56" s="102">
        <v>66.910085335177371</v>
      </c>
      <c r="AU56" s="102">
        <v>80.582809182559657</v>
      </c>
      <c r="AV56" s="102">
        <v>110.7141554080786</v>
      </c>
      <c r="AW56" s="102">
        <v>131.42461389172468</v>
      </c>
      <c r="AX56" s="102">
        <v>158.69070931448044</v>
      </c>
      <c r="AY56" s="128"/>
      <c r="AZ56" s="102">
        <v>6.6850109660238939</v>
      </c>
      <c r="BA56" s="102">
        <v>12.682575208551528</v>
      </c>
      <c r="BB56" s="102">
        <v>19.712506169118889</v>
      </c>
      <c r="BC56" s="102">
        <v>28.443353053085957</v>
      </c>
      <c r="BD56" s="102">
        <v>37.875636979518276</v>
      </c>
      <c r="BE56" s="102">
        <v>45.015659908778829</v>
      </c>
      <c r="BF56" s="102">
        <v>59.350013192529332</v>
      </c>
      <c r="BG56" s="102">
        <v>81.988408333009488</v>
      </c>
      <c r="BH56" s="102">
        <v>102.56558003402792</v>
      </c>
      <c r="BI56" s="102">
        <v>135.84868036279391</v>
      </c>
      <c r="BJ56" s="102">
        <v>164.6558717490571</v>
      </c>
      <c r="BK56" s="102">
        <v>164.6558717490571</v>
      </c>
      <c r="BL56" s="102">
        <v>164.6558717490571</v>
      </c>
      <c r="BM56" s="128"/>
      <c r="BN56" s="102">
        <v>9.0287452060009237</v>
      </c>
      <c r="BO56" s="102">
        <v>10.515289112420342</v>
      </c>
      <c r="BP56" s="102">
        <v>13.928001146652598</v>
      </c>
      <c r="BQ56" s="102">
        <v>18.544940869375854</v>
      </c>
      <c r="BR56" s="102">
        <v>23.719517094777924</v>
      </c>
      <c r="BS56" s="102">
        <v>25.771315074634852</v>
      </c>
      <c r="BT56" s="102">
        <v>36.941672815656709</v>
      </c>
      <c r="BU56" s="102">
        <v>50.48141275528932</v>
      </c>
      <c r="BV56" s="102">
        <v>66.910085335177371</v>
      </c>
      <c r="BW56" s="102">
        <v>80.582809182559657</v>
      </c>
      <c r="BX56" s="102">
        <v>110.7141554080786</v>
      </c>
      <c r="BY56" s="102">
        <v>131.42461389172468</v>
      </c>
      <c r="BZ56" s="102">
        <v>158.69070931448044</v>
      </c>
    </row>
    <row r="57" spans="1:78" outlineLevel="1">
      <c r="A57" s="237" t="s">
        <v>191</v>
      </c>
      <c r="B57" s="236" t="s">
        <v>235</v>
      </c>
      <c r="C57" s="190" t="s">
        <v>37</v>
      </c>
      <c r="D57" s="190" t="s">
        <v>139</v>
      </c>
      <c r="E57" s="125">
        <f>HLOOKUP(INPUT!$Q$2,'Tracks Pull'!$X$8:$AJ$138,T57,FALSE)</f>
        <v>23.421315546663699</v>
      </c>
      <c r="F57" s="125">
        <f>HLOOKUP(INPUT!$Q$3,'Tracks Pull'!$X$8:$AJ$138,T57,FALSE)</f>
        <v>17.76454491837449</v>
      </c>
      <c r="G57" s="125">
        <f t="shared" si="13"/>
        <v>5.656770628289209</v>
      </c>
      <c r="I57" s="125">
        <f>HLOOKUP(INPUT!$Q$2,'Tracks Pull'!$AL$8:$AX$138,T57,FALSE)</f>
        <v>10.1597162584376</v>
      </c>
      <c r="J57" s="125">
        <f>HLOOKUP(INPUT!$Q$3,'Tracks Pull'!$AL$8:$AX$138,T57,FALSE)</f>
        <v>7.0876392109161799</v>
      </c>
      <c r="K57" s="125">
        <f t="shared" si="14"/>
        <v>3.0720770475214199</v>
      </c>
      <c r="M57" s="125">
        <f>HLOOKUP(INPUT!$Q$2,'Tracks Pull'!$AZ$8:$BL$138,T57,FALSE)</f>
        <v>23.421315546663699</v>
      </c>
      <c r="N57" s="125">
        <f>HLOOKUP(INPUT!$Q$3,'Tracks Pull'!$AZ$8:$BL$138,T57,FALSE)</f>
        <v>17.76454491837449</v>
      </c>
      <c r="O57" s="125">
        <f t="shared" si="15"/>
        <v>5.656770628289209</v>
      </c>
      <c r="Q57" s="125">
        <f>HLOOKUP(INPUT!$Q$2,'Tracks Pull'!$BN$8:$BZ$138,T57,FALSE)</f>
        <v>10.1597162584376</v>
      </c>
      <c r="R57" s="125">
        <f>HLOOKUP(INPUT!$Q$3,'Tracks Pull'!$BN$8:$BZ$138,T57,FALSE)</f>
        <v>7.0876392109161799</v>
      </c>
      <c r="S57" s="125">
        <f t="shared" si="16"/>
        <v>3.0720770475214199</v>
      </c>
      <c r="T57" s="199">
        <v>50</v>
      </c>
      <c r="U57" s="190" t="s">
        <v>37</v>
      </c>
      <c r="V57" s="191" t="s">
        <v>129</v>
      </c>
      <c r="W57" s="190" t="s">
        <v>299</v>
      </c>
      <c r="X57" s="102">
        <v>2.6381081122971208</v>
      </c>
      <c r="Y57" s="102">
        <v>5.0049288942899395</v>
      </c>
      <c r="Z57" s="102">
        <v>7.7791528993392607</v>
      </c>
      <c r="AA57" s="102">
        <v>11.224609923849879</v>
      </c>
      <c r="AB57" s="102">
        <v>14.946875282916439</v>
      </c>
      <c r="AC57" s="102">
        <v>17.76454491837449</v>
      </c>
      <c r="AD57" s="102">
        <v>23.421315546663699</v>
      </c>
      <c r="AE57" s="102">
        <v>32.355112988885395</v>
      </c>
      <c r="AF57" s="102">
        <v>40.475489136132694</v>
      </c>
      <c r="AG57" s="102">
        <v>53.610010145294297</v>
      </c>
      <c r="AH57" s="102">
        <v>64.978201712195798</v>
      </c>
      <c r="AI57" s="102">
        <v>64.978201712195798</v>
      </c>
      <c r="AJ57" s="178">
        <v>64.978201712195798</v>
      </c>
      <c r="AK57" s="182"/>
      <c r="AL57" s="180">
        <v>2.4830897593738901</v>
      </c>
      <c r="AM57" s="102">
        <v>2.8919197647257202</v>
      </c>
      <c r="AN57" s="102">
        <v>3.83048543587367</v>
      </c>
      <c r="AO57" s="102">
        <v>5.1002383731390797</v>
      </c>
      <c r="AP57" s="102">
        <v>6.5233527640353302</v>
      </c>
      <c r="AQ57" s="102">
        <v>7.0876392109161799</v>
      </c>
      <c r="AR57" s="102">
        <v>10.1597162584376</v>
      </c>
      <c r="AS57" s="102">
        <v>13.8834219142735</v>
      </c>
      <c r="AT57" s="102">
        <v>18.401643185609501</v>
      </c>
      <c r="AU57" s="102">
        <v>22.161922138394399</v>
      </c>
      <c r="AV57" s="102">
        <v>30.4486591701368</v>
      </c>
      <c r="AW57" s="102">
        <v>36.1444592175786</v>
      </c>
      <c r="AX57" s="102">
        <v>43.643193623922897</v>
      </c>
      <c r="AY57" s="128"/>
      <c r="AZ57" s="102">
        <v>2.6381081122971208</v>
      </c>
      <c r="BA57" s="102">
        <v>5.0049288942899395</v>
      </c>
      <c r="BB57" s="102">
        <v>7.7791528993392607</v>
      </c>
      <c r="BC57" s="102">
        <v>11.224609923849879</v>
      </c>
      <c r="BD57" s="102">
        <v>14.946875282916439</v>
      </c>
      <c r="BE57" s="102">
        <v>17.76454491837449</v>
      </c>
      <c r="BF57" s="102">
        <v>23.421315546663699</v>
      </c>
      <c r="BG57" s="102">
        <v>32.355112988885395</v>
      </c>
      <c r="BH57" s="102">
        <v>40.475489136132694</v>
      </c>
      <c r="BI57" s="102">
        <v>53.610010145294297</v>
      </c>
      <c r="BJ57" s="102">
        <v>64.978201712195798</v>
      </c>
      <c r="BK57" s="102">
        <v>64.978201712195798</v>
      </c>
      <c r="BL57" s="102">
        <v>64.978201712195798</v>
      </c>
      <c r="BM57" s="128"/>
      <c r="BN57" s="102">
        <v>2.4830897593738901</v>
      </c>
      <c r="BO57" s="102">
        <v>2.8919197647257202</v>
      </c>
      <c r="BP57" s="102">
        <v>3.83048543587367</v>
      </c>
      <c r="BQ57" s="102">
        <v>5.1002383731390797</v>
      </c>
      <c r="BR57" s="102">
        <v>6.5233527640353302</v>
      </c>
      <c r="BS57" s="102">
        <v>7.0876392109161799</v>
      </c>
      <c r="BT57" s="102">
        <v>10.1597162584376</v>
      </c>
      <c r="BU57" s="102">
        <v>13.8834219142735</v>
      </c>
      <c r="BV57" s="102">
        <v>18.401643185609501</v>
      </c>
      <c r="BW57" s="102">
        <v>22.161922138394399</v>
      </c>
      <c r="BX57" s="102">
        <v>30.4486591701368</v>
      </c>
      <c r="BY57" s="102">
        <v>36.1444592175786</v>
      </c>
      <c r="BZ57" s="102">
        <v>43.643193623922897</v>
      </c>
    </row>
    <row r="58" spans="1:78" outlineLevel="1">
      <c r="A58" s="237" t="s">
        <v>191</v>
      </c>
      <c r="B58" s="236" t="s">
        <v>106</v>
      </c>
      <c r="C58" s="190" t="s">
        <v>37</v>
      </c>
      <c r="D58" s="190" t="s">
        <v>27</v>
      </c>
      <c r="E58" s="125">
        <f>HLOOKUP(INPUT!$Q$2,'Tracks Pull'!$X$8:$AJ$138,T58,FALSE)</f>
        <v>5.8421840160338192</v>
      </c>
      <c r="F58" s="125">
        <f>HLOOKUP(INPUT!$Q$3,'Tracks Pull'!$X$8:$AJ$138,T58,FALSE)</f>
        <v>4.4311661387024994</v>
      </c>
      <c r="G58" s="125">
        <f t="shared" si="13"/>
        <v>1.4110178773313198</v>
      </c>
      <c r="I58" s="125">
        <f>HLOOKUP(INPUT!$Q$2,'Tracks Pull'!$AL$8:$AX$138,T58,FALSE)</f>
        <v>3.1705148830124101</v>
      </c>
      <c r="J58" s="125">
        <f>HLOOKUP(INPUT!$Q$3,'Tracks Pull'!$AL$8:$AX$138,T58,FALSE)</f>
        <v>2.2118201957628201</v>
      </c>
      <c r="K58" s="125">
        <f t="shared" si="14"/>
        <v>0.95869468724959006</v>
      </c>
      <c r="M58" s="125">
        <f>HLOOKUP(INPUT!$Q$2,'Tracks Pull'!$AZ$8:$BL$138,T58,FALSE)</f>
        <v>5.8421840160338192</v>
      </c>
      <c r="N58" s="125">
        <f>HLOOKUP(INPUT!$Q$3,'Tracks Pull'!$AZ$8:$BL$138,T58,FALSE)</f>
        <v>4.4311661387024994</v>
      </c>
      <c r="O58" s="125">
        <f t="shared" si="15"/>
        <v>1.4110178773313198</v>
      </c>
      <c r="Q58" s="125">
        <f>HLOOKUP(INPUT!$Q$2,'Tracks Pull'!$BN$8:$BZ$138,T58,FALSE)</f>
        <v>3.1705148830124101</v>
      </c>
      <c r="R58" s="125">
        <f>HLOOKUP(INPUT!$Q$3,'Tracks Pull'!$BN$8:$BZ$138,T58,FALSE)</f>
        <v>2.2118201957628201</v>
      </c>
      <c r="S58" s="125">
        <f t="shared" si="16"/>
        <v>0.95869468724959006</v>
      </c>
      <c r="T58" s="109">
        <v>51</v>
      </c>
      <c r="U58" s="190" t="s">
        <v>37</v>
      </c>
      <c r="V58" s="191" t="s">
        <v>129</v>
      </c>
      <c r="W58" s="190" t="s">
        <v>301</v>
      </c>
      <c r="X58" s="102">
        <v>0.65804642849905404</v>
      </c>
      <c r="Y58" s="102">
        <v>1.248423280466485</v>
      </c>
      <c r="Z58" s="102">
        <v>1.9404222891005309</v>
      </c>
      <c r="AA58" s="102">
        <v>2.7998528328897248</v>
      </c>
      <c r="AB58" s="102">
        <v>3.7283301056906</v>
      </c>
      <c r="AC58" s="102">
        <v>4.4311661387024994</v>
      </c>
      <c r="AD58" s="102">
        <v>5.8421840160338192</v>
      </c>
      <c r="AE58" s="102">
        <v>8.0706194135009195</v>
      </c>
      <c r="AF58" s="102">
        <v>10.09615600802362</v>
      </c>
      <c r="AG58" s="102">
        <v>13.372414702591909</v>
      </c>
      <c r="AH58" s="102">
        <v>16.208082363148371</v>
      </c>
      <c r="AI58" s="102">
        <v>16.208082363148371</v>
      </c>
      <c r="AJ58" s="178">
        <v>16.208082363148371</v>
      </c>
      <c r="AK58" s="182"/>
      <c r="AL58" s="180">
        <v>0.77489103412828297</v>
      </c>
      <c r="AM58" s="102">
        <v>0.902473496435097</v>
      </c>
      <c r="AN58" s="102">
        <v>1.1953691200296801</v>
      </c>
      <c r="AO58" s="102">
        <v>1.59161744852068</v>
      </c>
      <c r="AP58" s="102">
        <v>2.0357248666602898</v>
      </c>
      <c r="AQ58" s="102">
        <v>2.2118201957628201</v>
      </c>
      <c r="AR58" s="102">
        <v>3.1705148830124101</v>
      </c>
      <c r="AS58" s="102">
        <v>4.3325615289490598</v>
      </c>
      <c r="AT58" s="102">
        <v>5.7425504913491903</v>
      </c>
      <c r="AU58" s="102">
        <v>6.9160104660981396</v>
      </c>
      <c r="AV58" s="102">
        <v>9.5020298412878699</v>
      </c>
      <c r="AW58" s="102">
        <v>11.2795025936474</v>
      </c>
      <c r="AX58" s="102">
        <v>13.6196121433927</v>
      </c>
      <c r="AY58" s="128"/>
      <c r="AZ58" s="102">
        <v>0.65804642849905404</v>
      </c>
      <c r="BA58" s="102">
        <v>1.248423280466485</v>
      </c>
      <c r="BB58" s="102">
        <v>1.9404222891005309</v>
      </c>
      <c r="BC58" s="102">
        <v>2.7998528328897248</v>
      </c>
      <c r="BD58" s="102">
        <v>3.7283301056906</v>
      </c>
      <c r="BE58" s="102">
        <v>4.4311661387024994</v>
      </c>
      <c r="BF58" s="102">
        <v>5.8421840160338192</v>
      </c>
      <c r="BG58" s="102">
        <v>8.0706194135009195</v>
      </c>
      <c r="BH58" s="102">
        <v>10.09615600802362</v>
      </c>
      <c r="BI58" s="102">
        <v>13.372414702591909</v>
      </c>
      <c r="BJ58" s="102">
        <v>16.208082363148371</v>
      </c>
      <c r="BK58" s="102">
        <v>16.208082363148371</v>
      </c>
      <c r="BL58" s="102">
        <v>16.208082363148371</v>
      </c>
      <c r="BM58" s="128"/>
      <c r="BN58" s="102">
        <v>0.77489103412828297</v>
      </c>
      <c r="BO58" s="102">
        <v>0.902473496435097</v>
      </c>
      <c r="BP58" s="102">
        <v>1.1953691200296801</v>
      </c>
      <c r="BQ58" s="102">
        <v>1.59161744852068</v>
      </c>
      <c r="BR58" s="102">
        <v>2.0357248666602898</v>
      </c>
      <c r="BS58" s="102">
        <v>2.2118201957628201</v>
      </c>
      <c r="BT58" s="102">
        <v>3.1705148830124101</v>
      </c>
      <c r="BU58" s="102">
        <v>4.3325615289490598</v>
      </c>
      <c r="BV58" s="102">
        <v>5.7425504913491903</v>
      </c>
      <c r="BW58" s="102">
        <v>6.9160104660981396</v>
      </c>
      <c r="BX58" s="102">
        <v>9.5020298412878699</v>
      </c>
      <c r="BY58" s="102">
        <v>11.2795025936474</v>
      </c>
      <c r="BZ58" s="102">
        <v>13.6196121433927</v>
      </c>
    </row>
    <row r="59" spans="1:78" outlineLevel="1">
      <c r="A59" s="237" t="s">
        <v>191</v>
      </c>
      <c r="B59" s="236" t="s">
        <v>87</v>
      </c>
      <c r="C59" s="190" t="s">
        <v>37</v>
      </c>
      <c r="D59" s="190" t="s">
        <v>140</v>
      </c>
      <c r="E59" s="125">
        <f>HLOOKUP(INPUT!$Q$2,'Tracks Pull'!$X$8:$AJ$138,T59,FALSE)</f>
        <v>7.0301757420390594</v>
      </c>
      <c r="F59" s="125">
        <f>HLOOKUP(INPUT!$Q$3,'Tracks Pull'!$X$8:$AJ$138,T59,FALSE)</f>
        <v>5.3322313387861797</v>
      </c>
      <c r="G59" s="125">
        <f t="shared" si="13"/>
        <v>1.6979444032528797</v>
      </c>
      <c r="I59" s="125">
        <f>HLOOKUP(INPUT!$Q$2,'Tracks Pull'!$AL$8:$AX$138,T59,FALSE)</f>
        <v>4.6973139490758902</v>
      </c>
      <c r="J59" s="125">
        <f>HLOOKUP(INPUT!$Q$3,'Tracks Pull'!$AL$8:$AX$138,T59,FALSE)</f>
        <v>3.2769484584576198</v>
      </c>
      <c r="K59" s="125">
        <f t="shared" si="14"/>
        <v>1.4203654906182703</v>
      </c>
      <c r="M59" s="125">
        <f>HLOOKUP(INPUT!$Q$2,'Tracks Pull'!$AZ$8:$BL$138,T59,FALSE)</f>
        <v>7.0301757420390594</v>
      </c>
      <c r="N59" s="125">
        <f>HLOOKUP(INPUT!$Q$3,'Tracks Pull'!$AZ$8:$BL$138,T59,FALSE)</f>
        <v>5.3322313387861797</v>
      </c>
      <c r="O59" s="125">
        <f t="shared" si="15"/>
        <v>1.6979444032528797</v>
      </c>
      <c r="Q59" s="125">
        <f>HLOOKUP(INPUT!$Q$2,'Tracks Pull'!$BN$8:$BZ$138,T59,FALSE)</f>
        <v>4.6973139490758902</v>
      </c>
      <c r="R59" s="125">
        <f>HLOOKUP(INPUT!$Q$3,'Tracks Pull'!$BN$8:$BZ$138,T59,FALSE)</f>
        <v>3.2769484584576198</v>
      </c>
      <c r="S59" s="125">
        <f t="shared" si="16"/>
        <v>1.4203654906182703</v>
      </c>
      <c r="T59" s="199">
        <v>52</v>
      </c>
      <c r="U59" s="190" t="s">
        <v>37</v>
      </c>
      <c r="V59" s="191" t="s">
        <v>129</v>
      </c>
      <c r="W59" s="190" t="s">
        <v>300</v>
      </c>
      <c r="X59" s="102">
        <v>0.79185832320121596</v>
      </c>
      <c r="Y59" s="102">
        <v>1.5022866513695741</v>
      </c>
      <c r="Z59" s="102">
        <v>2.335001716602465</v>
      </c>
      <c r="AA59" s="102">
        <v>3.3691950498374599</v>
      </c>
      <c r="AB59" s="102">
        <v>4.4864755706777899</v>
      </c>
      <c r="AC59" s="102">
        <v>5.3322313387861797</v>
      </c>
      <c r="AD59" s="102">
        <v>7.0301757420390594</v>
      </c>
      <c r="AE59" s="102">
        <v>9.7117572244056589</v>
      </c>
      <c r="AF59" s="102">
        <v>12.149181001600059</v>
      </c>
      <c r="AG59" s="102">
        <v>16.091657708253869</v>
      </c>
      <c r="AH59" s="102">
        <v>19.503950430464712</v>
      </c>
      <c r="AI59" s="102">
        <v>19.503950430464712</v>
      </c>
      <c r="AJ59" s="178">
        <v>19.503950430464712</v>
      </c>
      <c r="AK59" s="182"/>
      <c r="AL59" s="180">
        <v>1.1480490071588101</v>
      </c>
      <c r="AM59" s="102">
        <v>1.3370703181964101</v>
      </c>
      <c r="AN59" s="102">
        <v>1.77101330509289</v>
      </c>
      <c r="AO59" s="102">
        <v>2.3580797184037401</v>
      </c>
      <c r="AP59" s="102">
        <v>3.016052333922</v>
      </c>
      <c r="AQ59" s="102">
        <v>3.2769484584576198</v>
      </c>
      <c r="AR59" s="102">
        <v>4.6973139490758902</v>
      </c>
      <c r="AS59" s="102">
        <v>6.4189579472421299</v>
      </c>
      <c r="AT59" s="102">
        <v>8.5079438266688499</v>
      </c>
      <c r="AU59" s="102">
        <v>10.2464973775777</v>
      </c>
      <c r="AV59" s="102">
        <v>14.0778450708954</v>
      </c>
      <c r="AW59" s="102">
        <v>16.711280920225899</v>
      </c>
      <c r="AX59" s="102">
        <v>20.178297993471801</v>
      </c>
      <c r="AY59" s="128"/>
      <c r="AZ59" s="102">
        <v>0.79185832320121596</v>
      </c>
      <c r="BA59" s="102">
        <v>1.5022866513695741</v>
      </c>
      <c r="BB59" s="102">
        <v>2.335001716602465</v>
      </c>
      <c r="BC59" s="102">
        <v>3.3691950498374599</v>
      </c>
      <c r="BD59" s="102">
        <v>4.4864755706777899</v>
      </c>
      <c r="BE59" s="102">
        <v>5.3322313387861797</v>
      </c>
      <c r="BF59" s="102">
        <v>7.0301757420390594</v>
      </c>
      <c r="BG59" s="102">
        <v>9.7117572244056589</v>
      </c>
      <c r="BH59" s="102">
        <v>12.149181001600059</v>
      </c>
      <c r="BI59" s="102">
        <v>16.091657708253869</v>
      </c>
      <c r="BJ59" s="102">
        <v>19.503950430464712</v>
      </c>
      <c r="BK59" s="102">
        <v>19.503950430464712</v>
      </c>
      <c r="BL59" s="102">
        <v>19.503950430464712</v>
      </c>
      <c r="BM59" s="128"/>
      <c r="BN59" s="102">
        <v>1.1480490071588101</v>
      </c>
      <c r="BO59" s="102">
        <v>1.3370703181964101</v>
      </c>
      <c r="BP59" s="102">
        <v>1.77101330509289</v>
      </c>
      <c r="BQ59" s="102">
        <v>2.3580797184037401</v>
      </c>
      <c r="BR59" s="102">
        <v>3.016052333922</v>
      </c>
      <c r="BS59" s="102">
        <v>3.2769484584576198</v>
      </c>
      <c r="BT59" s="102">
        <v>4.6973139490758902</v>
      </c>
      <c r="BU59" s="102">
        <v>6.4189579472421299</v>
      </c>
      <c r="BV59" s="102">
        <v>8.5079438266688499</v>
      </c>
      <c r="BW59" s="102">
        <v>10.2464973775777</v>
      </c>
      <c r="BX59" s="102">
        <v>14.0778450708954</v>
      </c>
      <c r="BY59" s="102">
        <v>16.711280920225899</v>
      </c>
      <c r="BZ59" s="102">
        <v>20.178297993471801</v>
      </c>
    </row>
    <row r="60" spans="1:78" outlineLevel="1">
      <c r="A60" s="237" t="s">
        <v>191</v>
      </c>
      <c r="B60" s="236" t="s">
        <v>107</v>
      </c>
      <c r="C60" s="190" t="s">
        <v>37</v>
      </c>
      <c r="D60" s="190" t="s">
        <v>29</v>
      </c>
      <c r="E60" s="125">
        <f>HLOOKUP(INPUT!$Q$2,'Tracks Pull'!$X$8:$AJ$138,T60,FALSE)</f>
        <v>4.5037318708545699</v>
      </c>
      <c r="F60" s="125">
        <f>HLOOKUP(INPUT!$Q$3,'Tracks Pull'!$X$8:$AJ$138,T60,FALSE)</f>
        <v>3.4159800699797795</v>
      </c>
      <c r="G60" s="125">
        <f t="shared" si="13"/>
        <v>1.0877518008747904</v>
      </c>
      <c r="I60" s="125">
        <f>HLOOKUP(INPUT!$Q$2,'Tracks Pull'!$AL$8:$AX$138,T60,FALSE)</f>
        <v>2.7671348707104602</v>
      </c>
      <c r="J60" s="125">
        <f>HLOOKUP(INPUT!$Q$3,'Tracks Pull'!$AL$8:$AX$138,T60,FALSE)</f>
        <v>1.9304135187095399</v>
      </c>
      <c r="K60" s="125">
        <f t="shared" si="14"/>
        <v>0.83672135200092024</v>
      </c>
      <c r="M60" s="125">
        <f>HLOOKUP(INPUT!$Q$2,'Tracks Pull'!$AZ$8:$BL$138,T60,FALSE)</f>
        <v>4.5037318708545699</v>
      </c>
      <c r="N60" s="125">
        <f>HLOOKUP(INPUT!$Q$3,'Tracks Pull'!$AZ$8:$BL$138,T60,FALSE)</f>
        <v>3.4159800699797795</v>
      </c>
      <c r="O60" s="125">
        <f t="shared" si="15"/>
        <v>1.0877518008747904</v>
      </c>
      <c r="Q60" s="125">
        <f>HLOOKUP(INPUT!$Q$2,'Tracks Pull'!$BN$8:$BZ$138,T60,FALSE)</f>
        <v>2.7671348707104602</v>
      </c>
      <c r="R60" s="125">
        <f>HLOOKUP(INPUT!$Q$3,'Tracks Pull'!$BN$8:$BZ$138,T60,FALSE)</f>
        <v>1.9304135187095399</v>
      </c>
      <c r="S60" s="125">
        <f t="shared" si="16"/>
        <v>0.83672135200092024</v>
      </c>
      <c r="T60" s="109">
        <v>53</v>
      </c>
      <c r="U60" s="190" t="s">
        <v>37</v>
      </c>
      <c r="V60" s="191" t="s">
        <v>129</v>
      </c>
      <c r="W60" s="190" t="s">
        <v>302</v>
      </c>
      <c r="X60" s="102">
        <v>0.50728711461320997</v>
      </c>
      <c r="Y60" s="102">
        <v>0.96240784287564995</v>
      </c>
      <c r="Z60" s="102">
        <v>1.4958689562591951</v>
      </c>
      <c r="AA60" s="102">
        <v>2.1584028169226541</v>
      </c>
      <c r="AB60" s="102">
        <v>2.8741647089481401</v>
      </c>
      <c r="AC60" s="102">
        <v>3.4159800699797795</v>
      </c>
      <c r="AD60" s="102">
        <v>4.5037318708545699</v>
      </c>
      <c r="AE60" s="102">
        <v>6.2216297484579597</v>
      </c>
      <c r="AF60" s="102">
        <v>7.7831132093173903</v>
      </c>
      <c r="AG60" s="102">
        <v>10.30877667000188</v>
      </c>
      <c r="AH60" s="102">
        <v>12.49478908983488</v>
      </c>
      <c r="AI60" s="102">
        <v>12.49478908983488</v>
      </c>
      <c r="AJ60" s="178">
        <v>12.49478908983488</v>
      </c>
      <c r="AK60" s="182"/>
      <c r="AL60" s="180">
        <v>0.67630277120792504</v>
      </c>
      <c r="AM60" s="102">
        <v>0.787653101790462</v>
      </c>
      <c r="AN60" s="102">
        <v>1.0432840398029699</v>
      </c>
      <c r="AO60" s="102">
        <v>1.38911826789729</v>
      </c>
      <c r="AP60" s="102">
        <v>1.7767225430450799</v>
      </c>
      <c r="AQ60" s="102">
        <v>1.9304135187095399</v>
      </c>
      <c r="AR60" s="102">
        <v>2.7671348707104602</v>
      </c>
      <c r="AS60" s="102">
        <v>3.7813360064919901</v>
      </c>
      <c r="AT60" s="102">
        <v>5.0119341172528502</v>
      </c>
      <c r="AU60" s="102">
        <v>6.0360964805676796</v>
      </c>
      <c r="AV60" s="102">
        <v>8.2931003595784496</v>
      </c>
      <c r="AW60" s="102">
        <v>9.8444278304397503</v>
      </c>
      <c r="AX60" s="102">
        <v>11.8868086346043</v>
      </c>
      <c r="AY60" s="128"/>
      <c r="AZ60" s="102">
        <v>0.50728711461320997</v>
      </c>
      <c r="BA60" s="102">
        <v>0.96240784287564995</v>
      </c>
      <c r="BB60" s="102">
        <v>1.4958689562591951</v>
      </c>
      <c r="BC60" s="102">
        <v>2.1584028169226541</v>
      </c>
      <c r="BD60" s="102">
        <v>2.8741647089481401</v>
      </c>
      <c r="BE60" s="102">
        <v>3.4159800699797795</v>
      </c>
      <c r="BF60" s="102">
        <v>4.5037318708545699</v>
      </c>
      <c r="BG60" s="102">
        <v>6.2216297484579597</v>
      </c>
      <c r="BH60" s="102">
        <v>7.7831132093173903</v>
      </c>
      <c r="BI60" s="102">
        <v>10.30877667000188</v>
      </c>
      <c r="BJ60" s="102">
        <v>12.49478908983488</v>
      </c>
      <c r="BK60" s="102">
        <v>12.49478908983488</v>
      </c>
      <c r="BL60" s="102">
        <v>12.49478908983488</v>
      </c>
      <c r="BM60" s="128"/>
      <c r="BN60" s="102">
        <v>0.67630277120792504</v>
      </c>
      <c r="BO60" s="102">
        <v>0.787653101790462</v>
      </c>
      <c r="BP60" s="102">
        <v>1.0432840398029699</v>
      </c>
      <c r="BQ60" s="102">
        <v>1.38911826789729</v>
      </c>
      <c r="BR60" s="102">
        <v>1.7767225430450799</v>
      </c>
      <c r="BS60" s="102">
        <v>1.9304135187095399</v>
      </c>
      <c r="BT60" s="102">
        <v>2.7671348707104602</v>
      </c>
      <c r="BU60" s="102">
        <v>3.7813360064919901</v>
      </c>
      <c r="BV60" s="102">
        <v>5.0119341172528502</v>
      </c>
      <c r="BW60" s="102">
        <v>6.0360964805676796</v>
      </c>
      <c r="BX60" s="102">
        <v>8.2931003595784496</v>
      </c>
      <c r="BY60" s="102">
        <v>9.8444278304397503</v>
      </c>
      <c r="BZ60" s="102">
        <v>11.8868086346043</v>
      </c>
    </row>
    <row r="61" spans="1:78" outlineLevel="1">
      <c r="A61" s="237" t="s">
        <v>191</v>
      </c>
      <c r="B61" s="236" t="s">
        <v>236</v>
      </c>
      <c r="C61" s="190" t="s">
        <v>37</v>
      </c>
      <c r="D61" s="190" t="s">
        <v>131</v>
      </c>
      <c r="E61" s="125">
        <f>HLOOKUP(INPUT!$Q$2,'Tracks Pull'!$X$8:$AJ$138,T61,FALSE)</f>
        <v>3.3917583377151397</v>
      </c>
      <c r="F61" s="125">
        <f>HLOOKUP(INPUT!$Q$3,'Tracks Pull'!$X$8:$AJ$138,T61,FALSE)</f>
        <v>2.572572971939429</v>
      </c>
      <c r="G61" s="125">
        <f t="shared" si="13"/>
        <v>0.81918536577571066</v>
      </c>
      <c r="I61" s="125">
        <f>HLOOKUP(INPUT!$Q$2,'Tracks Pull'!$AL$8:$AX$138,T61,FALSE)</f>
        <v>1.82195361948993</v>
      </c>
      <c r="J61" s="125">
        <f>HLOOKUP(INPUT!$Q$3,'Tracks Pull'!$AL$8:$AX$138,T61,FALSE)</f>
        <v>1.2710345038664901</v>
      </c>
      <c r="K61" s="125">
        <f t="shared" si="14"/>
        <v>0.55091911562343987</v>
      </c>
      <c r="M61" s="125">
        <f>HLOOKUP(INPUT!$Q$2,'Tracks Pull'!$AZ$8:$BL$138,T61,FALSE)</f>
        <v>3.3917583377151397</v>
      </c>
      <c r="N61" s="125">
        <f>HLOOKUP(INPUT!$Q$3,'Tracks Pull'!$AZ$8:$BL$138,T61,FALSE)</f>
        <v>2.572572971939429</v>
      </c>
      <c r="O61" s="125">
        <f t="shared" si="15"/>
        <v>0.81918536577571066</v>
      </c>
      <c r="Q61" s="125">
        <f>HLOOKUP(INPUT!$Q$2,'Tracks Pull'!$BN$8:$BZ$138,T61,FALSE)</f>
        <v>1.82195361948993</v>
      </c>
      <c r="R61" s="125">
        <f>HLOOKUP(INPUT!$Q$3,'Tracks Pull'!$BN$8:$BZ$138,T61,FALSE)</f>
        <v>1.2710345038664901</v>
      </c>
      <c r="S61" s="125">
        <f t="shared" si="16"/>
        <v>0.55091911562343987</v>
      </c>
      <c r="T61" s="199">
        <v>54</v>
      </c>
      <c r="U61" s="190" t="s">
        <v>37</v>
      </c>
      <c r="V61" s="191" t="s">
        <v>129</v>
      </c>
      <c r="W61" s="190" t="s">
        <v>303</v>
      </c>
      <c r="X61" s="102">
        <v>0.38203768562232998</v>
      </c>
      <c r="Y61" s="102">
        <v>0.72478889040446903</v>
      </c>
      <c r="Z61" s="102">
        <v>1.1265382020974188</v>
      </c>
      <c r="AA61" s="102">
        <v>1.6254921386019729</v>
      </c>
      <c r="AB61" s="102">
        <v>2.1645320803015977</v>
      </c>
      <c r="AC61" s="102">
        <v>2.572572971939429</v>
      </c>
      <c r="AD61" s="102">
        <v>3.3917583377151397</v>
      </c>
      <c r="AE61" s="102">
        <v>4.6855064152619601</v>
      </c>
      <c r="AF61" s="102">
        <v>5.8614588696804502</v>
      </c>
      <c r="AG61" s="102">
        <v>7.7635348250622407</v>
      </c>
      <c r="AH61" s="102">
        <v>9.4098197425323704</v>
      </c>
      <c r="AI61" s="102">
        <v>9.4098197425323704</v>
      </c>
      <c r="AJ61" s="178">
        <v>9.4098197425323704</v>
      </c>
      <c r="AK61" s="182"/>
      <c r="AL61" s="180">
        <v>0.44529534679203597</v>
      </c>
      <c r="AM61" s="102">
        <v>0.51861130257852295</v>
      </c>
      <c r="AN61" s="102">
        <v>0.68692536550885896</v>
      </c>
      <c r="AO61" s="102">
        <v>0.91463162236297102</v>
      </c>
      <c r="AP61" s="102">
        <v>1.1698403653520599</v>
      </c>
      <c r="AQ61" s="102">
        <v>1.2710345038664901</v>
      </c>
      <c r="AR61" s="102">
        <v>1.82195361948993</v>
      </c>
      <c r="AS61" s="102">
        <v>2.48973004404619</v>
      </c>
      <c r="AT61" s="102">
        <v>3.2999878691237798</v>
      </c>
      <c r="AU61" s="102">
        <v>3.9743230251502499</v>
      </c>
      <c r="AV61" s="102">
        <v>5.46039312245298</v>
      </c>
      <c r="AW61" s="102">
        <v>6.4818275058895303</v>
      </c>
      <c r="AX61" s="102">
        <v>7.8265841846881496</v>
      </c>
      <c r="AY61" s="128"/>
      <c r="AZ61" s="102">
        <v>0.38203768562232998</v>
      </c>
      <c r="BA61" s="102">
        <v>0.72478889040446903</v>
      </c>
      <c r="BB61" s="102">
        <v>1.1265382020974188</v>
      </c>
      <c r="BC61" s="102">
        <v>1.6254921386019729</v>
      </c>
      <c r="BD61" s="102">
        <v>2.1645320803015977</v>
      </c>
      <c r="BE61" s="102">
        <v>2.572572971939429</v>
      </c>
      <c r="BF61" s="102">
        <v>3.3917583377151397</v>
      </c>
      <c r="BG61" s="102">
        <v>4.6855064152619601</v>
      </c>
      <c r="BH61" s="102">
        <v>5.8614588696804502</v>
      </c>
      <c r="BI61" s="102">
        <v>7.7635348250622407</v>
      </c>
      <c r="BJ61" s="102">
        <v>9.4098197425323704</v>
      </c>
      <c r="BK61" s="102">
        <v>9.4098197425323704</v>
      </c>
      <c r="BL61" s="102">
        <v>9.4098197425323704</v>
      </c>
      <c r="BM61" s="128"/>
      <c r="BN61" s="102">
        <v>0.44529534679203597</v>
      </c>
      <c r="BO61" s="102">
        <v>0.51861130257852295</v>
      </c>
      <c r="BP61" s="102">
        <v>0.68692536550885896</v>
      </c>
      <c r="BQ61" s="102">
        <v>0.91463162236297102</v>
      </c>
      <c r="BR61" s="102">
        <v>1.1698403653520599</v>
      </c>
      <c r="BS61" s="102">
        <v>1.2710345038664901</v>
      </c>
      <c r="BT61" s="102">
        <v>1.82195361948993</v>
      </c>
      <c r="BU61" s="102">
        <v>2.48973004404619</v>
      </c>
      <c r="BV61" s="102">
        <v>3.2999878691237798</v>
      </c>
      <c r="BW61" s="102">
        <v>3.9743230251502499</v>
      </c>
      <c r="BX61" s="102">
        <v>5.46039312245298</v>
      </c>
      <c r="BY61" s="102">
        <v>6.4818275058895303</v>
      </c>
      <c r="BZ61" s="102">
        <v>7.8265841846881496</v>
      </c>
    </row>
    <row r="62" spans="1:78" outlineLevel="1">
      <c r="A62" s="237" t="s">
        <v>191</v>
      </c>
      <c r="B62" s="236" t="s">
        <v>237</v>
      </c>
      <c r="C62" s="190" t="s">
        <v>37</v>
      </c>
      <c r="D62" s="190" t="s">
        <v>138</v>
      </c>
      <c r="E62" s="125">
        <f>HLOOKUP(INPUT!$Q$2,'Tracks Pull'!$X$8:$AJ$138,T62,FALSE)</f>
        <v>0</v>
      </c>
      <c r="F62" s="125">
        <f>HLOOKUP(INPUT!$Q$3,'Tracks Pull'!$X$8:$AJ$138,T62,FALSE)</f>
        <v>0</v>
      </c>
      <c r="G62" s="125">
        <f t="shared" si="13"/>
        <v>0</v>
      </c>
      <c r="I62" s="125">
        <f>HLOOKUP(INPUT!$Q$2,'Tracks Pull'!$AL$8:$AX$138,T62,FALSE)</f>
        <v>7.8407144544291301</v>
      </c>
      <c r="J62" s="125">
        <f>HLOOKUP(INPUT!$Q$3,'Tracks Pull'!$AL$8:$AX$138,T62,FALSE)</f>
        <v>5.4698530741601203</v>
      </c>
      <c r="K62" s="125">
        <f t="shared" si="14"/>
        <v>2.3708613802690097</v>
      </c>
      <c r="M62" s="125">
        <f>HLOOKUP(INPUT!$Q$2,'Tracks Pull'!$AZ$8:$BL$138,T62,FALSE)</f>
        <v>0</v>
      </c>
      <c r="N62" s="125">
        <f>HLOOKUP(INPUT!$Q$3,'Tracks Pull'!$AZ$8:$BL$138,T62,FALSE)</f>
        <v>0</v>
      </c>
      <c r="O62" s="125">
        <f t="shared" si="15"/>
        <v>0</v>
      </c>
      <c r="Q62" s="125">
        <f>HLOOKUP(INPUT!$Q$2,'Tracks Pull'!$BN$8:$BZ$138,T62,FALSE)</f>
        <v>7.8407144544291301</v>
      </c>
      <c r="R62" s="125">
        <f>HLOOKUP(INPUT!$Q$3,'Tracks Pull'!$BN$8:$BZ$138,T62,FALSE)</f>
        <v>5.4698530741601203</v>
      </c>
      <c r="S62" s="125">
        <f t="shared" si="16"/>
        <v>2.3708613802690097</v>
      </c>
      <c r="T62" s="109">
        <v>55</v>
      </c>
      <c r="U62" s="190" t="s">
        <v>37</v>
      </c>
      <c r="V62" s="191" t="s">
        <v>129</v>
      </c>
      <c r="W62" s="190" t="s">
        <v>394</v>
      </c>
      <c r="X62" s="102">
        <v>0</v>
      </c>
      <c r="Y62" s="102">
        <v>0</v>
      </c>
      <c r="Z62" s="102">
        <v>0</v>
      </c>
      <c r="AA62" s="102">
        <v>0</v>
      </c>
      <c r="AB62" s="102">
        <v>0</v>
      </c>
      <c r="AC62" s="102">
        <v>0</v>
      </c>
      <c r="AD62" s="102">
        <v>0</v>
      </c>
      <c r="AE62" s="102">
        <v>0</v>
      </c>
      <c r="AF62" s="102">
        <v>0</v>
      </c>
      <c r="AG62" s="102">
        <v>0</v>
      </c>
      <c r="AH62" s="102">
        <v>0</v>
      </c>
      <c r="AI62" s="102">
        <v>0</v>
      </c>
      <c r="AJ62" s="178">
        <v>0</v>
      </c>
      <c r="AK62" s="182"/>
      <c r="AL62" s="180">
        <v>1.9163131403201099</v>
      </c>
      <c r="AM62" s="102">
        <v>2.2318258230394101</v>
      </c>
      <c r="AN62" s="102">
        <v>2.95615957774335</v>
      </c>
      <c r="AO62" s="102">
        <v>3.9360855870452802</v>
      </c>
      <c r="AP62" s="102">
        <v>5.0343675952401004</v>
      </c>
      <c r="AQ62" s="102">
        <v>5.4698530741601203</v>
      </c>
      <c r="AR62" s="102">
        <v>7.8407144544291301</v>
      </c>
      <c r="AS62" s="102">
        <v>10.714467226363601</v>
      </c>
      <c r="AT62" s="102">
        <v>14.2013837828228</v>
      </c>
      <c r="AU62" s="102">
        <v>17.103361829040299</v>
      </c>
      <c r="AV62" s="102">
        <v>23.4986131502449</v>
      </c>
      <c r="AW62" s="102">
        <v>27.894320729619999</v>
      </c>
      <c r="AX62" s="102">
        <v>33.681434636558201</v>
      </c>
      <c r="AY62" s="128"/>
      <c r="AZ62" s="102">
        <v>0</v>
      </c>
      <c r="BA62" s="102">
        <v>0</v>
      </c>
      <c r="BB62" s="102">
        <v>0</v>
      </c>
      <c r="BC62" s="102">
        <v>0</v>
      </c>
      <c r="BD62" s="102">
        <v>0</v>
      </c>
      <c r="BE62" s="102">
        <v>0</v>
      </c>
      <c r="BF62" s="102">
        <v>0</v>
      </c>
      <c r="BG62" s="102">
        <v>0</v>
      </c>
      <c r="BH62" s="102">
        <v>0</v>
      </c>
      <c r="BI62" s="102">
        <v>0</v>
      </c>
      <c r="BJ62" s="102">
        <v>0</v>
      </c>
      <c r="BK62" s="102">
        <v>0</v>
      </c>
      <c r="BL62" s="102">
        <v>0</v>
      </c>
      <c r="BM62" s="128"/>
      <c r="BN62" s="102">
        <v>1.9163131403201099</v>
      </c>
      <c r="BO62" s="102">
        <v>2.2318258230394101</v>
      </c>
      <c r="BP62" s="102">
        <v>2.95615957774335</v>
      </c>
      <c r="BQ62" s="102">
        <v>3.9360855870452802</v>
      </c>
      <c r="BR62" s="102">
        <v>5.0343675952401004</v>
      </c>
      <c r="BS62" s="102">
        <v>5.4698530741601203</v>
      </c>
      <c r="BT62" s="102">
        <v>7.8407144544291301</v>
      </c>
      <c r="BU62" s="102">
        <v>10.714467226363601</v>
      </c>
      <c r="BV62" s="102">
        <v>14.2013837828228</v>
      </c>
      <c r="BW62" s="102">
        <v>17.103361829040299</v>
      </c>
      <c r="BX62" s="102">
        <v>23.4986131502449</v>
      </c>
      <c r="BY62" s="102">
        <v>27.894320729619999</v>
      </c>
      <c r="BZ62" s="102">
        <v>33.681434636558201</v>
      </c>
    </row>
    <row r="63" spans="1:78" outlineLevel="1">
      <c r="A63" s="237" t="s">
        <v>191</v>
      </c>
      <c r="B63" s="236" t="s">
        <v>163</v>
      </c>
      <c r="C63" s="190" t="s">
        <v>37</v>
      </c>
      <c r="D63" s="190" t="s">
        <v>132</v>
      </c>
      <c r="E63" s="125">
        <f>HLOOKUP(INPUT!$Q$2,'Tracks Pull'!$X$8:$AJ$138,T63,FALSE)</f>
        <v>15.160847679223039</v>
      </c>
      <c r="F63" s="125">
        <f>HLOOKUP(INPUT!$Q$3,'Tracks Pull'!$X$8:$AJ$138,T63,FALSE)</f>
        <v>11.499164470996451</v>
      </c>
      <c r="G63" s="125">
        <f t="shared" si="13"/>
        <v>3.661683208226588</v>
      </c>
      <c r="I63" s="125">
        <f>HLOOKUP(INPUT!$Q$2,'Tracks Pull'!$AL$8:$AX$138,T63,FALSE)</f>
        <v>6.4843247805012902</v>
      </c>
      <c r="J63" s="125">
        <f>HLOOKUP(INPUT!$Q$3,'Tracks Pull'!$AL$8:$AX$138,T63,FALSE)</f>
        <v>4.5236061127620797</v>
      </c>
      <c r="K63" s="125">
        <f t="shared" si="14"/>
        <v>1.9607186677392106</v>
      </c>
      <c r="M63" s="125">
        <f>HLOOKUP(INPUT!$Q$2,'Tracks Pull'!$AZ$8:$BL$138,T63,FALSE)</f>
        <v>15.160847679223039</v>
      </c>
      <c r="N63" s="125">
        <f>HLOOKUP(INPUT!$Q$3,'Tracks Pull'!$AZ$8:$BL$138,T63,FALSE)</f>
        <v>11.499164470996451</v>
      </c>
      <c r="O63" s="125">
        <f t="shared" si="15"/>
        <v>3.661683208226588</v>
      </c>
      <c r="Q63" s="125">
        <f>HLOOKUP(INPUT!$Q$2,'Tracks Pull'!$BN$8:$BZ$138,T63,FALSE)</f>
        <v>6.4843247805012902</v>
      </c>
      <c r="R63" s="125">
        <f>HLOOKUP(INPUT!$Q$3,'Tracks Pull'!$BN$8:$BZ$138,T63,FALSE)</f>
        <v>4.5236061127620797</v>
      </c>
      <c r="S63" s="125">
        <f t="shared" si="16"/>
        <v>1.9607186677392106</v>
      </c>
      <c r="T63" s="199">
        <v>56</v>
      </c>
      <c r="U63" s="190" t="s">
        <v>37</v>
      </c>
      <c r="V63" s="191" t="s">
        <v>129</v>
      </c>
      <c r="W63" s="190" t="s">
        <v>403</v>
      </c>
      <c r="X63" s="102">
        <v>1.707673301790962</v>
      </c>
      <c r="Y63" s="102">
        <v>3.2397396491454078</v>
      </c>
      <c r="Z63" s="102">
        <v>5.0355221057200197</v>
      </c>
      <c r="AA63" s="102">
        <v>7.26580029098427</v>
      </c>
      <c r="AB63" s="102">
        <v>9.6752592309837091</v>
      </c>
      <c r="AC63" s="102">
        <v>11.499164470996451</v>
      </c>
      <c r="AD63" s="102">
        <v>15.160847679223039</v>
      </c>
      <c r="AE63" s="102">
        <v>20.943782542497601</v>
      </c>
      <c r="AF63" s="102">
        <v>26.200181809273701</v>
      </c>
      <c r="AG63" s="102">
        <v>34.702286311589702</v>
      </c>
      <c r="AH63" s="102">
        <v>42.061028410881001</v>
      </c>
      <c r="AI63" s="102">
        <v>42.061028410881001</v>
      </c>
      <c r="AJ63" s="178">
        <v>42.061028410881001</v>
      </c>
      <c r="AK63" s="182"/>
      <c r="AL63" s="180">
        <v>1.5848041470198699</v>
      </c>
      <c r="AM63" s="102">
        <v>1.8457353056547201</v>
      </c>
      <c r="AN63" s="102">
        <v>2.4447643026011798</v>
      </c>
      <c r="AO63" s="102">
        <v>3.25516985200681</v>
      </c>
      <c r="AP63" s="102">
        <v>4.1634566265230601</v>
      </c>
      <c r="AQ63" s="102">
        <v>4.5236061127620797</v>
      </c>
      <c r="AR63" s="102">
        <v>6.4843247805012902</v>
      </c>
      <c r="AS63" s="102">
        <v>8.8609380879228503</v>
      </c>
      <c r="AT63" s="102">
        <v>11.744642062350399</v>
      </c>
      <c r="AU63" s="102">
        <v>14.1445978657312</v>
      </c>
      <c r="AV63" s="102">
        <v>19.433514693482199</v>
      </c>
      <c r="AW63" s="102">
        <v>23.068795094323502</v>
      </c>
      <c r="AX63" s="102">
        <v>27.854778097842399</v>
      </c>
      <c r="AY63" s="128"/>
      <c r="AZ63" s="102">
        <v>1.707673301790962</v>
      </c>
      <c r="BA63" s="102">
        <v>3.2397396491454078</v>
      </c>
      <c r="BB63" s="102">
        <v>5.0355221057200197</v>
      </c>
      <c r="BC63" s="102">
        <v>7.26580029098427</v>
      </c>
      <c r="BD63" s="102">
        <v>9.6752592309837091</v>
      </c>
      <c r="BE63" s="102">
        <v>11.499164470996451</v>
      </c>
      <c r="BF63" s="102">
        <v>15.160847679223039</v>
      </c>
      <c r="BG63" s="102">
        <v>20.943782542497601</v>
      </c>
      <c r="BH63" s="102">
        <v>26.200181809273701</v>
      </c>
      <c r="BI63" s="102">
        <v>34.702286311589702</v>
      </c>
      <c r="BJ63" s="102">
        <v>42.061028410881001</v>
      </c>
      <c r="BK63" s="102">
        <v>42.061028410881001</v>
      </c>
      <c r="BL63" s="102">
        <v>42.061028410881001</v>
      </c>
      <c r="BM63" s="128"/>
      <c r="BN63" s="102">
        <v>1.5848041470198699</v>
      </c>
      <c r="BO63" s="102">
        <v>1.8457353056547201</v>
      </c>
      <c r="BP63" s="102">
        <v>2.4447643026011798</v>
      </c>
      <c r="BQ63" s="102">
        <v>3.25516985200681</v>
      </c>
      <c r="BR63" s="102">
        <v>4.1634566265230601</v>
      </c>
      <c r="BS63" s="102">
        <v>4.5236061127620797</v>
      </c>
      <c r="BT63" s="102">
        <v>6.4843247805012902</v>
      </c>
      <c r="BU63" s="102">
        <v>8.8609380879228503</v>
      </c>
      <c r="BV63" s="102">
        <v>11.744642062350399</v>
      </c>
      <c r="BW63" s="102">
        <v>14.1445978657312</v>
      </c>
      <c r="BX63" s="102">
        <v>19.433514693482199</v>
      </c>
      <c r="BY63" s="102">
        <v>23.068795094323502</v>
      </c>
      <c r="BZ63" s="102">
        <v>27.854778097842399</v>
      </c>
    </row>
    <row r="64" spans="1:78" outlineLevel="1">
      <c r="B64" s="236"/>
      <c r="C64" s="190"/>
      <c r="D64" s="190"/>
      <c r="E64" s="125"/>
      <c r="F64" s="125"/>
      <c r="G64" s="125"/>
      <c r="I64" s="125"/>
      <c r="J64" s="125"/>
      <c r="K64" s="125"/>
      <c r="M64" s="125"/>
      <c r="N64" s="125"/>
      <c r="O64" s="125"/>
      <c r="Q64" s="125"/>
      <c r="R64" s="125"/>
      <c r="S64" s="125"/>
      <c r="T64" s="109">
        <v>57</v>
      </c>
      <c r="U64" s="190" t="s">
        <v>37</v>
      </c>
      <c r="V64" s="191" t="s">
        <v>129</v>
      </c>
      <c r="W64" s="190" t="s">
        <v>395</v>
      </c>
      <c r="X64" s="102">
        <v>0</v>
      </c>
      <c r="Y64" s="102">
        <v>0</v>
      </c>
      <c r="Z64" s="102">
        <v>0</v>
      </c>
      <c r="AA64" s="102">
        <v>0</v>
      </c>
      <c r="AB64" s="102">
        <v>0</v>
      </c>
      <c r="AC64" s="102">
        <v>0</v>
      </c>
      <c r="AD64" s="102">
        <v>0</v>
      </c>
      <c r="AE64" s="102">
        <v>0</v>
      </c>
      <c r="AF64" s="102">
        <v>0</v>
      </c>
      <c r="AG64" s="102">
        <v>0</v>
      </c>
      <c r="AH64" s="102">
        <v>0</v>
      </c>
      <c r="AI64" s="102">
        <v>0</v>
      </c>
      <c r="AJ64" s="178">
        <v>0</v>
      </c>
      <c r="AK64" s="182"/>
      <c r="AL64" s="180">
        <v>0</v>
      </c>
      <c r="AM64" s="102">
        <v>0</v>
      </c>
      <c r="AN64" s="102">
        <v>0</v>
      </c>
      <c r="AO64" s="102">
        <v>0</v>
      </c>
      <c r="AP64" s="102">
        <v>0</v>
      </c>
      <c r="AQ64" s="102">
        <v>0</v>
      </c>
      <c r="AR64" s="102">
        <v>0</v>
      </c>
      <c r="AS64" s="102">
        <v>0</v>
      </c>
      <c r="AT64" s="102">
        <v>0</v>
      </c>
      <c r="AU64" s="102">
        <v>0</v>
      </c>
      <c r="AV64" s="102">
        <v>0</v>
      </c>
      <c r="AW64" s="102">
        <v>0</v>
      </c>
      <c r="AX64" s="102">
        <v>0</v>
      </c>
      <c r="AY64" s="128"/>
      <c r="AZ64" s="102">
        <v>0</v>
      </c>
      <c r="BA64" s="102">
        <v>0</v>
      </c>
      <c r="BB64" s="102">
        <v>0</v>
      </c>
      <c r="BC64" s="102">
        <v>0</v>
      </c>
      <c r="BD64" s="102">
        <v>0</v>
      </c>
      <c r="BE64" s="102">
        <v>0</v>
      </c>
      <c r="BF64" s="102">
        <v>0</v>
      </c>
      <c r="BG64" s="102">
        <v>0</v>
      </c>
      <c r="BH64" s="102">
        <v>0</v>
      </c>
      <c r="BI64" s="102">
        <v>0</v>
      </c>
      <c r="BJ64" s="102">
        <v>0</v>
      </c>
      <c r="BK64" s="102">
        <v>0</v>
      </c>
      <c r="BL64" s="102">
        <v>0</v>
      </c>
      <c r="BM64" s="128"/>
      <c r="BN64" s="102">
        <v>0</v>
      </c>
      <c r="BO64" s="102">
        <v>0</v>
      </c>
      <c r="BP64" s="102">
        <v>0</v>
      </c>
      <c r="BQ64" s="102">
        <v>0</v>
      </c>
      <c r="BR64" s="102">
        <v>0</v>
      </c>
      <c r="BS64" s="102">
        <v>0</v>
      </c>
      <c r="BT64" s="102">
        <v>0</v>
      </c>
      <c r="BU64" s="102">
        <v>0</v>
      </c>
      <c r="BV64" s="102">
        <v>0</v>
      </c>
      <c r="BW64" s="102">
        <v>0</v>
      </c>
      <c r="BX64" s="102">
        <v>0</v>
      </c>
      <c r="BY64" s="102">
        <v>0</v>
      </c>
      <c r="BZ64" s="102">
        <v>0</v>
      </c>
    </row>
    <row r="65" spans="1:78">
      <c r="A65" s="237" t="s">
        <v>191</v>
      </c>
      <c r="B65" s="236" t="s">
        <v>59</v>
      </c>
      <c r="C65" s="190" t="s">
        <v>37</v>
      </c>
      <c r="D65" s="191" t="s">
        <v>33</v>
      </c>
      <c r="E65" s="124">
        <f>HLOOKUP(INPUT!$Q$2,'Tracks Pull'!$X$8:$AJ$138,T65,FALSE)</f>
        <v>17.8492699252722</v>
      </c>
      <c r="F65" s="124">
        <f>HLOOKUP(INPUT!$Q$3,'Tracks Pull'!$X$8:$AJ$138,T65,FALSE)</f>
        <v>14.78722132543251</v>
      </c>
      <c r="G65" s="124">
        <f t="shared" si="13"/>
        <v>3.0620485998396898</v>
      </c>
      <c r="I65" s="124">
        <f>HLOOKUP(INPUT!$Q$2,'Tracks Pull'!$AL$8:$AX$138,T65,FALSE)</f>
        <v>5.3478672755814598</v>
      </c>
      <c r="J65" s="124">
        <f>HLOOKUP(INPUT!$Q$3,'Tracks Pull'!$AL$8:$AX$138,T65,FALSE)</f>
        <v>4.4919221920597598</v>
      </c>
      <c r="K65" s="124">
        <f t="shared" si="14"/>
        <v>0.85594508352169996</v>
      </c>
      <c r="M65" s="124">
        <f>HLOOKUP(INPUT!$Q$2,'Tracks Pull'!$AZ$8:$BL$138,T65,FALSE)</f>
        <v>17.8492699252722</v>
      </c>
      <c r="N65" s="124">
        <f>HLOOKUP(INPUT!$Q$3,'Tracks Pull'!$AZ$8:$BL$138,T65,FALSE)</f>
        <v>14.78722132543251</v>
      </c>
      <c r="O65" s="124">
        <f t="shared" si="15"/>
        <v>3.0620485998396898</v>
      </c>
      <c r="Q65" s="124">
        <f>HLOOKUP(INPUT!$Q$2,'Tracks Pull'!$BN$8:$BZ$138,T65,FALSE)</f>
        <v>5.3478672755814598</v>
      </c>
      <c r="R65" s="124">
        <f>HLOOKUP(INPUT!$Q$3,'Tracks Pull'!$BN$8:$BZ$138,T65,FALSE)</f>
        <v>4.4919221920597598</v>
      </c>
      <c r="S65" s="124">
        <f t="shared" si="16"/>
        <v>0.85594508352169996</v>
      </c>
      <c r="T65" s="199">
        <v>58</v>
      </c>
      <c r="U65" s="190" t="s">
        <v>37</v>
      </c>
      <c r="V65" s="191" t="s">
        <v>129</v>
      </c>
      <c r="W65" s="191" t="s">
        <v>90</v>
      </c>
      <c r="X65" s="102">
        <v>6.8110362225267513</v>
      </c>
      <c r="Y65" s="102">
        <v>8.7039038419676817</v>
      </c>
      <c r="Z65" s="102">
        <v>9.90700613773196</v>
      </c>
      <c r="AA65" s="102">
        <v>11.49802499129324</v>
      </c>
      <c r="AB65" s="102">
        <v>13.166492641263702</v>
      </c>
      <c r="AC65" s="102">
        <v>14.78722132543251</v>
      </c>
      <c r="AD65" s="102">
        <v>17.8492699252722</v>
      </c>
      <c r="AE65" s="102">
        <v>22.221872069492989</v>
      </c>
      <c r="AF65" s="102">
        <v>26.127396518136109</v>
      </c>
      <c r="AG65" s="102">
        <v>29.92591825335408</v>
      </c>
      <c r="AH65" s="102">
        <v>34.50581073423978</v>
      </c>
      <c r="AI65" s="102">
        <v>34.50581073423978</v>
      </c>
      <c r="AJ65" s="178">
        <v>34.50581073423978</v>
      </c>
      <c r="AK65" s="182"/>
      <c r="AL65" s="180">
        <v>2.7370604986428</v>
      </c>
      <c r="AM65" s="102">
        <v>2.85703590541543</v>
      </c>
      <c r="AN65" s="102">
        <v>3.4170670429452299</v>
      </c>
      <c r="AO65" s="102">
        <v>3.9076595061561701</v>
      </c>
      <c r="AP65" s="102">
        <v>4.4509496298025004</v>
      </c>
      <c r="AQ65" s="102">
        <v>4.4919221920597598</v>
      </c>
      <c r="AR65" s="102">
        <v>5.3478672755814598</v>
      </c>
      <c r="AS65" s="102">
        <v>6.1419939086928297</v>
      </c>
      <c r="AT65" s="102">
        <v>7.10419676621928</v>
      </c>
      <c r="AU65" s="102">
        <v>9.4814517662059892</v>
      </c>
      <c r="AV65" s="102">
        <v>13.930426951753599</v>
      </c>
      <c r="AW65" s="102">
        <v>20.157698047668401</v>
      </c>
      <c r="AX65" s="102">
        <v>27.338807381571801</v>
      </c>
      <c r="AY65" s="128"/>
      <c r="AZ65" s="102">
        <v>6.8110362225267513</v>
      </c>
      <c r="BA65" s="102">
        <v>8.7039038419676817</v>
      </c>
      <c r="BB65" s="102">
        <v>9.90700613773196</v>
      </c>
      <c r="BC65" s="102">
        <v>11.49802499129324</v>
      </c>
      <c r="BD65" s="102">
        <v>13.166492641263702</v>
      </c>
      <c r="BE65" s="102">
        <v>14.78722132543251</v>
      </c>
      <c r="BF65" s="102">
        <v>17.8492699252722</v>
      </c>
      <c r="BG65" s="102">
        <v>22.221872069492989</v>
      </c>
      <c r="BH65" s="102">
        <v>26.127396518136109</v>
      </c>
      <c r="BI65" s="102">
        <v>29.92591825335408</v>
      </c>
      <c r="BJ65" s="102">
        <v>34.50581073423978</v>
      </c>
      <c r="BK65" s="102">
        <v>34.50581073423978</v>
      </c>
      <c r="BL65" s="102">
        <v>34.50581073423978</v>
      </c>
      <c r="BM65" s="128"/>
      <c r="BN65" s="102">
        <v>2.7370604986428</v>
      </c>
      <c r="BO65" s="102">
        <v>2.85703590541543</v>
      </c>
      <c r="BP65" s="102">
        <v>3.4170670429452299</v>
      </c>
      <c r="BQ65" s="102">
        <v>3.9076595061561701</v>
      </c>
      <c r="BR65" s="102">
        <v>4.4509496298025004</v>
      </c>
      <c r="BS65" s="102">
        <v>4.4919221920597598</v>
      </c>
      <c r="BT65" s="102">
        <v>5.3478672755814598</v>
      </c>
      <c r="BU65" s="102">
        <v>6.1419939086928297</v>
      </c>
      <c r="BV65" s="102">
        <v>7.10419676621928</v>
      </c>
      <c r="BW65" s="102">
        <v>9.4814517662059892</v>
      </c>
      <c r="BX65" s="102">
        <v>13.930426951753599</v>
      </c>
      <c r="BY65" s="102">
        <v>20.157698047668401</v>
      </c>
      <c r="BZ65" s="102">
        <v>27.338807381571801</v>
      </c>
    </row>
    <row r="66" spans="1:78">
      <c r="A66" s="237" t="s">
        <v>191</v>
      </c>
      <c r="B66" s="236" t="s">
        <v>34</v>
      </c>
      <c r="C66" s="190" t="s">
        <v>37</v>
      </c>
      <c r="D66" s="190" t="s">
        <v>34</v>
      </c>
      <c r="E66" s="124">
        <f>HLOOKUP(INPUT!$Q$2,'Tracks Pull'!$X$8:$AJ$138,T66,FALSE)</f>
        <v>38.336199520552505</v>
      </c>
      <c r="F66" s="124">
        <f>HLOOKUP(INPUT!$Q$3,'Tracks Pull'!$X$8:$AJ$138,T66,FALSE)</f>
        <v>32.783558841592175</v>
      </c>
      <c r="G66" s="124">
        <f t="shared" si="13"/>
        <v>5.55264067896033</v>
      </c>
      <c r="I66" s="124">
        <f>HLOOKUP(INPUT!$Q$2,'Tracks Pull'!$AL$8:$AX$138,T66,FALSE)</f>
        <v>22.491015720816161</v>
      </c>
      <c r="J66" s="124">
        <f>HLOOKUP(INPUT!$Q$3,'Tracks Pull'!$AL$8:$AX$138,T66,FALSE)</f>
        <v>19.80178698553836</v>
      </c>
      <c r="K66" s="124">
        <f t="shared" si="14"/>
        <v>2.6892287352778013</v>
      </c>
      <c r="M66" s="124">
        <f>HLOOKUP(INPUT!$Q$2,'Tracks Pull'!$AZ$8:$BL$138,T66,FALSE)</f>
        <v>38.336199520552505</v>
      </c>
      <c r="N66" s="124">
        <f>HLOOKUP(INPUT!$Q$3,'Tracks Pull'!$AZ$8:$BL$138,T66,FALSE)</f>
        <v>32.783558841592175</v>
      </c>
      <c r="O66" s="124">
        <f t="shared" si="15"/>
        <v>5.55264067896033</v>
      </c>
      <c r="Q66" s="124">
        <f>HLOOKUP(INPUT!$Q$2,'Tracks Pull'!$BN$8:$BZ$138,T66,FALSE)</f>
        <v>22.491015720816161</v>
      </c>
      <c r="R66" s="124">
        <f>HLOOKUP(INPUT!$Q$3,'Tracks Pull'!$BN$8:$BZ$138,T66,FALSE)</f>
        <v>19.80178698553836</v>
      </c>
      <c r="S66" s="124">
        <f t="shared" si="16"/>
        <v>2.6892287352778013</v>
      </c>
      <c r="T66" s="109">
        <v>59</v>
      </c>
      <c r="U66" s="190" t="s">
        <v>37</v>
      </c>
      <c r="V66" s="191" t="s">
        <v>129</v>
      </c>
      <c r="W66" s="191" t="s">
        <v>34</v>
      </c>
      <c r="X66" s="102">
        <v>7.4978327597834431</v>
      </c>
      <c r="Y66" s="102">
        <v>13.054074915649142</v>
      </c>
      <c r="Z66" s="102">
        <v>22.039429478848721</v>
      </c>
      <c r="AA66" s="102">
        <v>27.207218556814418</v>
      </c>
      <c r="AB66" s="102">
        <v>30.327637891089111</v>
      </c>
      <c r="AC66" s="102">
        <v>32.783558841592175</v>
      </c>
      <c r="AD66" s="102">
        <v>38.336199520552505</v>
      </c>
      <c r="AE66" s="102">
        <v>44.95233343430133</v>
      </c>
      <c r="AF66" s="102">
        <v>54.241920234677515</v>
      </c>
      <c r="AG66" s="102">
        <v>71.887249487236318</v>
      </c>
      <c r="AH66" s="102">
        <v>81.02782066468707</v>
      </c>
      <c r="AI66" s="102">
        <v>81.02782066468707</v>
      </c>
      <c r="AJ66" s="178">
        <v>81.02782066468707</v>
      </c>
      <c r="AK66" s="182"/>
      <c r="AL66" s="180">
        <v>4.4582735688595188</v>
      </c>
      <c r="AM66" s="102">
        <v>8.5667972805321408</v>
      </c>
      <c r="AN66" s="102">
        <v>11.26640031045501</v>
      </c>
      <c r="AO66" s="102">
        <v>16.867859645329631</v>
      </c>
      <c r="AP66" s="102">
        <v>18.003984058586092</v>
      </c>
      <c r="AQ66" s="102">
        <v>19.80178698553836</v>
      </c>
      <c r="AR66" s="102">
        <v>22.491015720816161</v>
      </c>
      <c r="AS66" s="102">
        <v>26.515344569478003</v>
      </c>
      <c r="AT66" s="102">
        <v>32.293620114809826</v>
      </c>
      <c r="AU66" s="102">
        <v>35.20455206380219</v>
      </c>
      <c r="AV66" s="102">
        <v>45.084074345134333</v>
      </c>
      <c r="AW66" s="102">
        <v>54.548433794050148</v>
      </c>
      <c r="AX66" s="102">
        <v>65.343836677512613</v>
      </c>
      <c r="AY66" s="128"/>
      <c r="AZ66" s="102">
        <v>7.4978327597834431</v>
      </c>
      <c r="BA66" s="102">
        <v>13.054074915649142</v>
      </c>
      <c r="BB66" s="102">
        <v>22.039429478848721</v>
      </c>
      <c r="BC66" s="102">
        <v>27.207218556814418</v>
      </c>
      <c r="BD66" s="102">
        <v>30.327637891089111</v>
      </c>
      <c r="BE66" s="102">
        <v>32.783558841592175</v>
      </c>
      <c r="BF66" s="102">
        <v>38.336199520552505</v>
      </c>
      <c r="BG66" s="102">
        <v>44.95233343430133</v>
      </c>
      <c r="BH66" s="102">
        <v>54.241920234677515</v>
      </c>
      <c r="BI66" s="102">
        <v>71.887249487236318</v>
      </c>
      <c r="BJ66" s="102">
        <v>81.02782066468707</v>
      </c>
      <c r="BK66" s="102">
        <v>81.02782066468707</v>
      </c>
      <c r="BL66" s="102">
        <v>81.02782066468707</v>
      </c>
      <c r="BM66" s="128"/>
      <c r="BN66" s="102">
        <v>4.4582735688595188</v>
      </c>
      <c r="BO66" s="102">
        <v>8.5667972805321408</v>
      </c>
      <c r="BP66" s="102">
        <v>11.26640031045501</v>
      </c>
      <c r="BQ66" s="102">
        <v>16.867859645329631</v>
      </c>
      <c r="BR66" s="102">
        <v>18.003984058586092</v>
      </c>
      <c r="BS66" s="102">
        <v>19.80178698553836</v>
      </c>
      <c r="BT66" s="102">
        <v>22.491015720816161</v>
      </c>
      <c r="BU66" s="102">
        <v>26.515344569478003</v>
      </c>
      <c r="BV66" s="102">
        <v>32.293620114809826</v>
      </c>
      <c r="BW66" s="102">
        <v>35.20455206380219</v>
      </c>
      <c r="BX66" s="102">
        <v>45.084074345134333</v>
      </c>
      <c r="BY66" s="102">
        <v>54.548433794050148</v>
      </c>
      <c r="BZ66" s="102">
        <v>65.343836677512613</v>
      </c>
    </row>
    <row r="67" spans="1:78" outlineLevel="1">
      <c r="A67" s="237" t="s">
        <v>191</v>
      </c>
      <c r="B67" s="236" t="s">
        <v>414</v>
      </c>
      <c r="C67" s="190" t="s">
        <v>37</v>
      </c>
      <c r="D67" s="190" t="s">
        <v>296</v>
      </c>
      <c r="E67" s="125">
        <f>HLOOKUP(INPUT!$Q$2,'Tracks Pull'!$X$8:$AJ$138,T67,FALSE)</f>
        <v>10.150068137373751</v>
      </c>
      <c r="F67" s="125">
        <f>HLOOKUP(INPUT!$Q$3,'Tracks Pull'!$X$8:$AJ$138,T67,FALSE)</f>
        <v>8.81072702233873</v>
      </c>
      <c r="G67" s="125">
        <f t="shared" si="13"/>
        <v>1.3393411150350207</v>
      </c>
      <c r="I67" s="125">
        <f>HLOOKUP(INPUT!$Q$2,'Tracks Pull'!$AL$8:$AX$138,T67,FALSE)</f>
        <v>5.8960760235662502</v>
      </c>
      <c r="J67" s="125">
        <f>HLOOKUP(INPUT!$Q$3,'Tracks Pull'!$AL$8:$AX$138,T67,FALSE)</f>
        <v>5.1910879845742404</v>
      </c>
      <c r="K67" s="125">
        <f t="shared" si="14"/>
        <v>0.70498803899200979</v>
      </c>
      <c r="M67" s="125">
        <f>HLOOKUP(INPUT!$Q$2,'Tracks Pull'!$AZ$8:$BL$138,T67,FALSE)</f>
        <v>10.150068137373751</v>
      </c>
      <c r="N67" s="125">
        <f>HLOOKUP(INPUT!$Q$3,'Tracks Pull'!$AZ$8:$BL$138,T67,FALSE)</f>
        <v>8.81072702233873</v>
      </c>
      <c r="O67" s="125">
        <f t="shared" si="15"/>
        <v>1.3393411150350207</v>
      </c>
      <c r="Q67" s="125">
        <f>HLOOKUP(INPUT!$Q$2,'Tracks Pull'!$BN$8:$BZ$138,T67,FALSE)</f>
        <v>5.8960760235662502</v>
      </c>
      <c r="R67" s="125">
        <f>HLOOKUP(INPUT!$Q$3,'Tracks Pull'!$BN$8:$BZ$138,T67,FALSE)</f>
        <v>5.1910879845742404</v>
      </c>
      <c r="S67" s="125">
        <f t="shared" si="16"/>
        <v>0.70498803899200979</v>
      </c>
      <c r="T67" s="199">
        <v>60</v>
      </c>
      <c r="U67" s="500" t="s">
        <v>37</v>
      </c>
      <c r="V67" s="427" t="s">
        <v>129</v>
      </c>
      <c r="W67" s="500" t="s">
        <v>296</v>
      </c>
      <c r="X67" s="102">
        <v>2.0288341733412141</v>
      </c>
      <c r="Y67" s="102">
        <v>3.3119955446870621</v>
      </c>
      <c r="Z67" s="102">
        <v>5.8307164701979701</v>
      </c>
      <c r="AA67" s="102">
        <v>7.2652808801572499</v>
      </c>
      <c r="AB67" s="102">
        <v>8.0540343890330899</v>
      </c>
      <c r="AC67" s="102">
        <v>8.81072702233873</v>
      </c>
      <c r="AD67" s="102">
        <v>10.150068137373751</v>
      </c>
      <c r="AE67" s="102">
        <v>11.69521186715018</v>
      </c>
      <c r="AF67" s="102">
        <v>13.814890704285171</v>
      </c>
      <c r="AG67" s="102">
        <v>17.269229147254091</v>
      </c>
      <c r="AH67" s="102">
        <v>20.090494752515788</v>
      </c>
      <c r="AI67" s="102">
        <v>20.090494752515788</v>
      </c>
      <c r="AJ67" s="178">
        <v>20.090494752515788</v>
      </c>
      <c r="AK67" s="182"/>
      <c r="AL67" s="180">
        <v>1.1687475666793901</v>
      </c>
      <c r="AM67" s="102">
        <v>2.2458073335367001</v>
      </c>
      <c r="AN67" s="102">
        <v>2.9535150198171101</v>
      </c>
      <c r="AO67" s="102">
        <v>4.4219515942830796</v>
      </c>
      <c r="AP67" s="102">
        <v>4.7197894507828098</v>
      </c>
      <c r="AQ67" s="102">
        <v>5.1910879845742404</v>
      </c>
      <c r="AR67" s="102">
        <v>5.8960760235662502</v>
      </c>
      <c r="AS67" s="102">
        <v>6.9510638965052403</v>
      </c>
      <c r="AT67" s="102">
        <v>8.4658532827781805</v>
      </c>
      <c r="AU67" s="102">
        <v>9.2289613737481204</v>
      </c>
      <c r="AV67" s="102">
        <v>11.818902849505401</v>
      </c>
      <c r="AW67" s="102">
        <v>14.300008350379599</v>
      </c>
      <c r="AX67" s="102">
        <v>17.130050216697398</v>
      </c>
      <c r="AY67" s="128"/>
      <c r="AZ67" s="102">
        <v>2.0288341733412141</v>
      </c>
      <c r="BA67" s="102">
        <v>3.3119955446870621</v>
      </c>
      <c r="BB67" s="102">
        <v>5.8307164701979701</v>
      </c>
      <c r="BC67" s="102">
        <v>7.2652808801572499</v>
      </c>
      <c r="BD67" s="102">
        <v>8.0540343890330899</v>
      </c>
      <c r="BE67" s="102">
        <v>8.81072702233873</v>
      </c>
      <c r="BF67" s="102">
        <v>10.150068137373751</v>
      </c>
      <c r="BG67" s="102">
        <v>11.69521186715018</v>
      </c>
      <c r="BH67" s="102">
        <v>13.814890704285171</v>
      </c>
      <c r="BI67" s="102">
        <v>17.269229147254091</v>
      </c>
      <c r="BJ67" s="102">
        <v>20.090494752515788</v>
      </c>
      <c r="BK67" s="102">
        <v>20.090494752515788</v>
      </c>
      <c r="BL67" s="102">
        <v>20.090494752515788</v>
      </c>
      <c r="BM67" s="128"/>
      <c r="BN67" s="102">
        <v>1.1687475666793901</v>
      </c>
      <c r="BO67" s="102">
        <v>2.2458073335367001</v>
      </c>
      <c r="BP67" s="102">
        <v>2.9535150198171101</v>
      </c>
      <c r="BQ67" s="102">
        <v>4.4219515942830796</v>
      </c>
      <c r="BR67" s="102">
        <v>4.7197894507828098</v>
      </c>
      <c r="BS67" s="102">
        <v>5.1910879845742404</v>
      </c>
      <c r="BT67" s="102">
        <v>5.8960760235662502</v>
      </c>
      <c r="BU67" s="102">
        <v>6.9510638965052403</v>
      </c>
      <c r="BV67" s="102">
        <v>8.4658532827781805</v>
      </c>
      <c r="BW67" s="102">
        <v>9.2289613737481204</v>
      </c>
      <c r="BX67" s="102">
        <v>11.818902849505401</v>
      </c>
      <c r="BY67" s="102">
        <v>14.300008350379599</v>
      </c>
      <c r="BZ67" s="102">
        <v>17.130050216697398</v>
      </c>
    </row>
    <row r="68" spans="1:78" outlineLevel="1">
      <c r="A68" s="237" t="s">
        <v>191</v>
      </c>
      <c r="B68" s="236" t="s">
        <v>401</v>
      </c>
      <c r="C68" s="190"/>
      <c r="D68" s="190" t="s">
        <v>397</v>
      </c>
      <c r="E68" s="125"/>
      <c r="F68" s="125"/>
      <c r="G68" s="125"/>
      <c r="I68" s="125"/>
      <c r="J68" s="125"/>
      <c r="K68" s="125"/>
      <c r="M68" s="125"/>
      <c r="N68" s="125"/>
      <c r="O68" s="125"/>
      <c r="Q68" s="125"/>
      <c r="R68" s="125"/>
      <c r="S68" s="125"/>
      <c r="T68" s="109">
        <v>61</v>
      </c>
      <c r="U68" s="500" t="s">
        <v>37</v>
      </c>
      <c r="V68" s="427" t="s">
        <v>129</v>
      </c>
      <c r="W68" s="500" t="s">
        <v>397</v>
      </c>
      <c r="X68" s="102">
        <v>1.9912418392046449</v>
      </c>
      <c r="Y68" s="102">
        <v>3.8856476640019899</v>
      </c>
      <c r="Z68" s="102">
        <v>6.1058255025192398</v>
      </c>
      <c r="AA68" s="102">
        <v>7.4094165589018903</v>
      </c>
      <c r="AB68" s="102">
        <v>8.3438212915202303</v>
      </c>
      <c r="AC68" s="102">
        <v>8.8208775236463488</v>
      </c>
      <c r="AD68" s="102">
        <v>10.605672760342049</v>
      </c>
      <c r="AE68" s="102">
        <v>12.828731472729199</v>
      </c>
      <c r="AF68" s="102">
        <v>16.044811716629241</v>
      </c>
      <c r="AG68" s="102">
        <v>23.240962802179208</v>
      </c>
      <c r="AH68" s="102">
        <v>25.007049285813117</v>
      </c>
      <c r="AI68" s="102">
        <v>25.007049285813117</v>
      </c>
      <c r="AJ68" s="178">
        <v>25.007049285813117</v>
      </c>
      <c r="AK68" s="182"/>
      <c r="AL68" s="180">
        <v>1.0314660441049699</v>
      </c>
      <c r="AM68" s="102">
        <v>1.98201397135442</v>
      </c>
      <c r="AN68" s="102">
        <v>2.6065940503738099</v>
      </c>
      <c r="AO68" s="102">
        <v>3.9025475202807698</v>
      </c>
      <c r="AP68" s="102">
        <v>4.1654012317125</v>
      </c>
      <c r="AQ68" s="102">
        <v>4.5813408649589604</v>
      </c>
      <c r="AR68" s="102">
        <v>5.20352074746895</v>
      </c>
      <c r="AS68" s="102">
        <v>6.1345893536443601</v>
      </c>
      <c r="AT68" s="102">
        <v>7.4714510168950099</v>
      </c>
      <c r="AU68" s="102">
        <v>8.1449241485256394</v>
      </c>
      <c r="AV68" s="102">
        <v>10.430650138144401</v>
      </c>
      <c r="AW68" s="102">
        <v>12.6203240668482</v>
      </c>
      <c r="AX68" s="102">
        <v>15.117948166118699</v>
      </c>
      <c r="AY68" s="128"/>
      <c r="AZ68" s="102">
        <v>1.9912418392046449</v>
      </c>
      <c r="BA68" s="102">
        <v>3.8856476640019899</v>
      </c>
      <c r="BB68" s="102">
        <v>6.1058255025192398</v>
      </c>
      <c r="BC68" s="102">
        <v>7.4094165589018903</v>
      </c>
      <c r="BD68" s="102">
        <v>8.3438212915202303</v>
      </c>
      <c r="BE68" s="102">
        <v>8.8208775236463488</v>
      </c>
      <c r="BF68" s="102">
        <v>10.605672760342049</v>
      </c>
      <c r="BG68" s="102">
        <v>12.828731472729199</v>
      </c>
      <c r="BH68" s="102">
        <v>16.044811716629241</v>
      </c>
      <c r="BI68" s="102">
        <v>23.240962802179208</v>
      </c>
      <c r="BJ68" s="102">
        <v>25.007049285813117</v>
      </c>
      <c r="BK68" s="102">
        <v>25.007049285813117</v>
      </c>
      <c r="BL68" s="102">
        <v>25.007049285813117</v>
      </c>
      <c r="BM68" s="128"/>
      <c r="BN68" s="102">
        <v>1.0314660441049699</v>
      </c>
      <c r="BO68" s="102">
        <v>1.98201397135442</v>
      </c>
      <c r="BP68" s="102">
        <v>2.6065940503738099</v>
      </c>
      <c r="BQ68" s="102">
        <v>3.9025475202807698</v>
      </c>
      <c r="BR68" s="102">
        <v>4.1654012317125</v>
      </c>
      <c r="BS68" s="102">
        <v>4.5813408649589604</v>
      </c>
      <c r="BT68" s="102">
        <v>5.20352074746895</v>
      </c>
      <c r="BU68" s="102">
        <v>6.1345893536443601</v>
      </c>
      <c r="BV68" s="102">
        <v>7.4714510168950099</v>
      </c>
      <c r="BW68" s="102">
        <v>8.1449241485256394</v>
      </c>
      <c r="BX68" s="102">
        <v>10.430650138144401</v>
      </c>
      <c r="BY68" s="102">
        <v>12.6203240668482</v>
      </c>
      <c r="BZ68" s="102">
        <v>15.117948166118699</v>
      </c>
    </row>
    <row r="69" spans="1:78" outlineLevel="1">
      <c r="A69" s="237" t="s">
        <v>191</v>
      </c>
      <c r="B69" s="236" t="s">
        <v>409</v>
      </c>
      <c r="C69" s="190"/>
      <c r="D69" s="190" t="s">
        <v>396</v>
      </c>
      <c r="E69" s="125"/>
      <c r="F69" s="125"/>
      <c r="G69" s="125"/>
      <c r="I69" s="125"/>
      <c r="J69" s="125"/>
      <c r="K69" s="125"/>
      <c r="M69" s="125"/>
      <c r="N69" s="125"/>
      <c r="O69" s="125"/>
      <c r="Q69" s="125"/>
      <c r="R69" s="125"/>
      <c r="S69" s="125"/>
      <c r="T69" s="199">
        <v>62</v>
      </c>
      <c r="U69" s="500" t="s">
        <v>37</v>
      </c>
      <c r="V69" s="427" t="s">
        <v>129</v>
      </c>
      <c r="W69" s="500" t="s">
        <v>396</v>
      </c>
      <c r="X69" s="102">
        <v>0.61537015539641304</v>
      </c>
      <c r="Y69" s="102">
        <v>1.2958144997107759</v>
      </c>
      <c r="Z69" s="102">
        <v>1.9442538902112139</v>
      </c>
      <c r="AA69" s="102">
        <v>2.3314962785341691</v>
      </c>
      <c r="AB69" s="102">
        <v>2.6442393141392957</v>
      </c>
      <c r="AC69" s="102">
        <v>2.751931395952687</v>
      </c>
      <c r="AD69" s="102">
        <v>3.37385504014423</v>
      </c>
      <c r="AE69" s="102">
        <v>4.16656598901002</v>
      </c>
      <c r="AF69" s="102">
        <v>5.3303576726095301</v>
      </c>
      <c r="AG69" s="102">
        <v>8.1236022313369798</v>
      </c>
      <c r="AH69" s="102">
        <v>8.5193544152961795</v>
      </c>
      <c r="AI69" s="102">
        <v>8.5193544152961795</v>
      </c>
      <c r="AJ69" s="178">
        <v>8.5193544152961795</v>
      </c>
      <c r="AK69" s="182"/>
      <c r="AL69" s="180">
        <v>0.57775784962176302</v>
      </c>
      <c r="AM69" s="102">
        <v>1.1101908168035499</v>
      </c>
      <c r="AN69" s="102">
        <v>1.4600385363995501</v>
      </c>
      <c r="AO69" s="102">
        <v>2.1859444392283902</v>
      </c>
      <c r="AP69" s="102">
        <v>2.33317739561104</v>
      </c>
      <c r="AQ69" s="102">
        <v>2.5661587811354298</v>
      </c>
      <c r="AR69" s="102">
        <v>2.91466207220481</v>
      </c>
      <c r="AS69" s="102">
        <v>3.4361840348798101</v>
      </c>
      <c r="AT69" s="102">
        <v>4.1850039540771302</v>
      </c>
      <c r="AU69" s="102">
        <v>4.5622382707400604</v>
      </c>
      <c r="AV69" s="102">
        <v>5.8425481172291196</v>
      </c>
      <c r="AW69" s="102">
        <v>7.0690560644863396</v>
      </c>
      <c r="AX69" s="102">
        <v>8.46805696907761</v>
      </c>
      <c r="AY69" s="128"/>
      <c r="AZ69" s="102">
        <v>0.61537015539641304</v>
      </c>
      <c r="BA69" s="102">
        <v>1.2958144997107759</v>
      </c>
      <c r="BB69" s="102">
        <v>1.9442538902112139</v>
      </c>
      <c r="BC69" s="102">
        <v>2.3314962785341691</v>
      </c>
      <c r="BD69" s="102">
        <v>2.6442393141392957</v>
      </c>
      <c r="BE69" s="102">
        <v>2.751931395952687</v>
      </c>
      <c r="BF69" s="102">
        <v>3.37385504014423</v>
      </c>
      <c r="BG69" s="102">
        <v>4.16656598901002</v>
      </c>
      <c r="BH69" s="102">
        <v>5.3303576726095301</v>
      </c>
      <c r="BI69" s="102">
        <v>8.1236022313369798</v>
      </c>
      <c r="BJ69" s="102">
        <v>8.5193544152961795</v>
      </c>
      <c r="BK69" s="102">
        <v>8.5193544152961795</v>
      </c>
      <c r="BL69" s="102">
        <v>8.5193544152961795</v>
      </c>
      <c r="BM69" s="128"/>
      <c r="BN69" s="102">
        <v>0.57775784962176302</v>
      </c>
      <c r="BO69" s="102">
        <v>1.1101908168035499</v>
      </c>
      <c r="BP69" s="102">
        <v>1.4600385363995501</v>
      </c>
      <c r="BQ69" s="102">
        <v>2.1859444392283902</v>
      </c>
      <c r="BR69" s="102">
        <v>2.33317739561104</v>
      </c>
      <c r="BS69" s="102">
        <v>2.5661587811354298</v>
      </c>
      <c r="BT69" s="102">
        <v>2.91466207220481</v>
      </c>
      <c r="BU69" s="102">
        <v>3.4361840348798101</v>
      </c>
      <c r="BV69" s="102">
        <v>4.1850039540771302</v>
      </c>
      <c r="BW69" s="102">
        <v>4.5622382707400604</v>
      </c>
      <c r="BX69" s="102">
        <v>5.8425481172291196</v>
      </c>
      <c r="BY69" s="102">
        <v>7.0690560644863396</v>
      </c>
      <c r="BZ69" s="102">
        <v>8.46805696907761</v>
      </c>
    </row>
    <row r="70" spans="1:78" outlineLevel="1">
      <c r="A70" s="237" t="s">
        <v>191</v>
      </c>
      <c r="B70" s="236" t="s">
        <v>93</v>
      </c>
      <c r="C70" s="190" t="s">
        <v>37</v>
      </c>
      <c r="D70" s="190" t="s">
        <v>133</v>
      </c>
      <c r="E70" s="125">
        <f>HLOOKUP(INPUT!$Q$2,'Tracks Pull'!$X$8:$AJ$138,T70,FALSE)</f>
        <v>8.1605668753576097</v>
      </c>
      <c r="F70" s="125">
        <f>HLOOKUP(INPUT!$Q$3,'Tracks Pull'!$X$8:$AJ$138,T70,FALSE)</f>
        <v>7.0779194874754605</v>
      </c>
      <c r="G70" s="125">
        <f t="shared" si="13"/>
        <v>1.0826473878821492</v>
      </c>
      <c r="I70" s="125">
        <f>HLOOKUP(INPUT!$Q$2,'Tracks Pull'!$AL$8:$AX$138,T70,FALSE)</f>
        <v>4.0574766757493199</v>
      </c>
      <c r="J70" s="125">
        <f>HLOOKUP(INPUT!$Q$3,'Tracks Pull'!$AL$8:$AX$138,T70,FALSE)</f>
        <v>3.5723281611339601</v>
      </c>
      <c r="K70" s="125">
        <f t="shared" si="14"/>
        <v>0.48514851461535979</v>
      </c>
      <c r="M70" s="125">
        <f>HLOOKUP(INPUT!$Q$2,'Tracks Pull'!$AZ$8:$BL$138,T70,FALSE)</f>
        <v>8.1605668753576097</v>
      </c>
      <c r="N70" s="125">
        <f>HLOOKUP(INPUT!$Q$3,'Tracks Pull'!$AZ$8:$BL$138,T70,FALSE)</f>
        <v>7.0779194874754605</v>
      </c>
      <c r="O70" s="125">
        <f t="shared" si="15"/>
        <v>1.0826473878821492</v>
      </c>
      <c r="Q70" s="125">
        <f>HLOOKUP(INPUT!$Q$2,'Tracks Pull'!$BN$8:$BZ$138,T70,FALSE)</f>
        <v>4.0574766757493199</v>
      </c>
      <c r="R70" s="125">
        <f>HLOOKUP(INPUT!$Q$3,'Tracks Pull'!$BN$8:$BZ$138,T70,FALSE)</f>
        <v>3.5723281611339601</v>
      </c>
      <c r="S70" s="125">
        <f t="shared" si="16"/>
        <v>0.48514851461535979</v>
      </c>
      <c r="T70" s="109">
        <v>63</v>
      </c>
      <c r="U70" s="190" t="s">
        <v>37</v>
      </c>
      <c r="V70" s="191" t="s">
        <v>129</v>
      </c>
      <c r="W70" s="190" t="s">
        <v>297</v>
      </c>
      <c r="X70" s="102">
        <v>1.629218938417849</v>
      </c>
      <c r="Y70" s="102">
        <v>2.6692442523480819</v>
      </c>
      <c r="Z70" s="102">
        <v>4.6880480333396699</v>
      </c>
      <c r="AA70" s="102">
        <v>5.8384702062328797</v>
      </c>
      <c r="AB70" s="102">
        <v>6.4742888283214794</v>
      </c>
      <c r="AC70" s="102">
        <v>7.0779194874754605</v>
      </c>
      <c r="AD70" s="102">
        <v>8.1605668753576097</v>
      </c>
      <c r="AE70" s="102">
        <v>9.4120543410191893</v>
      </c>
      <c r="AF70" s="102">
        <v>11.13140314920971</v>
      </c>
      <c r="AG70" s="102">
        <v>13.96291603379894</v>
      </c>
      <c r="AH70" s="102">
        <v>16.21331252700389</v>
      </c>
      <c r="AI70" s="102">
        <v>16.21331252700389</v>
      </c>
      <c r="AJ70" s="178">
        <v>16.21331252700389</v>
      </c>
      <c r="AK70" s="182"/>
      <c r="AL70" s="180">
        <v>0.804291866774825</v>
      </c>
      <c r="AM70" s="102">
        <v>1.5454873440624901</v>
      </c>
      <c r="AN70" s="102">
        <v>2.03250742637724</v>
      </c>
      <c r="AO70" s="102">
        <v>3.0430349580607801</v>
      </c>
      <c r="AP70" s="102">
        <v>3.2479967243393499</v>
      </c>
      <c r="AQ70" s="102">
        <v>3.5723281611339601</v>
      </c>
      <c r="AR70" s="102">
        <v>4.0574766757493199</v>
      </c>
      <c r="AS70" s="102">
        <v>4.7834830349853696</v>
      </c>
      <c r="AT70" s="102">
        <v>5.8259089770710899</v>
      </c>
      <c r="AU70" s="102">
        <v>6.3510537119439796</v>
      </c>
      <c r="AV70" s="102">
        <v>8.1333623333794307</v>
      </c>
      <c r="AW70" s="102">
        <v>9.8407737812022091</v>
      </c>
      <c r="AX70" s="102">
        <v>11.788311231208301</v>
      </c>
      <c r="AY70" s="128"/>
      <c r="AZ70" s="102">
        <v>1.629218938417849</v>
      </c>
      <c r="BA70" s="102">
        <v>2.6692442523480819</v>
      </c>
      <c r="BB70" s="102">
        <v>4.6880480333396699</v>
      </c>
      <c r="BC70" s="102">
        <v>5.8384702062328797</v>
      </c>
      <c r="BD70" s="102">
        <v>6.4742888283214794</v>
      </c>
      <c r="BE70" s="102">
        <v>7.0779194874754605</v>
      </c>
      <c r="BF70" s="102">
        <v>8.1605668753576097</v>
      </c>
      <c r="BG70" s="102">
        <v>9.4120543410191893</v>
      </c>
      <c r="BH70" s="102">
        <v>11.13140314920971</v>
      </c>
      <c r="BI70" s="102">
        <v>13.96291603379894</v>
      </c>
      <c r="BJ70" s="102">
        <v>16.21331252700389</v>
      </c>
      <c r="BK70" s="102">
        <v>16.21331252700389</v>
      </c>
      <c r="BL70" s="102">
        <v>16.21331252700389</v>
      </c>
      <c r="BM70" s="128"/>
      <c r="BN70" s="102">
        <v>0.804291866774825</v>
      </c>
      <c r="BO70" s="102">
        <v>1.5454873440624901</v>
      </c>
      <c r="BP70" s="102">
        <v>2.03250742637724</v>
      </c>
      <c r="BQ70" s="102">
        <v>3.0430349580607801</v>
      </c>
      <c r="BR70" s="102">
        <v>3.2479967243393499</v>
      </c>
      <c r="BS70" s="102">
        <v>3.5723281611339601</v>
      </c>
      <c r="BT70" s="102">
        <v>4.0574766757493199</v>
      </c>
      <c r="BU70" s="102">
        <v>4.7834830349853696</v>
      </c>
      <c r="BV70" s="102">
        <v>5.8259089770710899</v>
      </c>
      <c r="BW70" s="102">
        <v>6.3510537119439796</v>
      </c>
      <c r="BX70" s="102">
        <v>8.1333623333794307</v>
      </c>
      <c r="BY70" s="102">
        <v>9.8407737812022091</v>
      </c>
      <c r="BZ70" s="102">
        <v>11.788311231208301</v>
      </c>
    </row>
    <row r="71" spans="1:78" outlineLevel="1">
      <c r="A71" s="237" t="s">
        <v>191</v>
      </c>
      <c r="B71" s="236" t="s">
        <v>238</v>
      </c>
      <c r="C71" s="190" t="s">
        <v>37</v>
      </c>
      <c r="D71" s="190" t="s">
        <v>134</v>
      </c>
      <c r="E71" s="125">
        <f>HLOOKUP(INPUT!$Q$2,'Tracks Pull'!$X$8:$AJ$138,T71,FALSE)</f>
        <v>8.2275907698904902</v>
      </c>
      <c r="F71" s="125">
        <f>HLOOKUP(INPUT!$Q$3,'Tracks Pull'!$X$8:$AJ$138,T71,FALSE)</f>
        <v>7.1871999233192696</v>
      </c>
      <c r="G71" s="125">
        <f t="shared" si="13"/>
        <v>1.0403908465712206</v>
      </c>
      <c r="I71" s="125">
        <f>HLOOKUP(INPUT!$Q$2,'Tracks Pull'!$AL$8:$AX$138,T71,FALSE)</f>
        <v>4.4192802018268296</v>
      </c>
      <c r="J71" s="125">
        <f>HLOOKUP(INPUT!$Q$3,'Tracks Pull'!$AL$8:$AX$138,T71,FALSE)</f>
        <v>3.8908711937357698</v>
      </c>
      <c r="K71" s="125">
        <f t="shared" si="14"/>
        <v>0.52840900809105973</v>
      </c>
      <c r="M71" s="125">
        <f>HLOOKUP(INPUT!$Q$2,'Tracks Pull'!$AZ$8:$BL$138,T71,FALSE)</f>
        <v>8.2275907698904902</v>
      </c>
      <c r="N71" s="125">
        <f>HLOOKUP(INPUT!$Q$3,'Tracks Pull'!$AZ$8:$BL$138,T71,FALSE)</f>
        <v>7.1871999233192696</v>
      </c>
      <c r="O71" s="125">
        <f t="shared" si="15"/>
        <v>1.0403908465712206</v>
      </c>
      <c r="Q71" s="125">
        <f>HLOOKUP(INPUT!$Q$2,'Tracks Pull'!$BN$8:$BZ$138,T71,FALSE)</f>
        <v>4.4192802018268296</v>
      </c>
      <c r="R71" s="125">
        <f>HLOOKUP(INPUT!$Q$3,'Tracks Pull'!$BN$8:$BZ$138,T71,FALSE)</f>
        <v>3.8908711937357698</v>
      </c>
      <c r="S71" s="125">
        <f t="shared" si="16"/>
        <v>0.52840900809105973</v>
      </c>
      <c r="T71" s="199">
        <v>64</v>
      </c>
      <c r="U71" s="190" t="s">
        <v>37</v>
      </c>
      <c r="V71" s="191" t="s">
        <v>129</v>
      </c>
      <c r="W71" s="190" t="s">
        <v>298</v>
      </c>
      <c r="X71" s="102">
        <v>1.659678004358863</v>
      </c>
      <c r="Y71" s="102">
        <v>2.634755379329095</v>
      </c>
      <c r="Z71" s="102">
        <v>4.7247747438243151</v>
      </c>
      <c r="AA71" s="102">
        <v>5.9105779659049036</v>
      </c>
      <c r="AB71" s="102">
        <v>6.53698479467291</v>
      </c>
      <c r="AC71" s="102">
        <v>7.1871999233192696</v>
      </c>
      <c r="AD71" s="102">
        <v>8.2275907698904902</v>
      </c>
      <c r="AE71" s="102">
        <v>9.4085783164550403</v>
      </c>
      <c r="AF71" s="102">
        <v>11.00914412004262</v>
      </c>
      <c r="AG71" s="102">
        <v>13.3878150005227</v>
      </c>
      <c r="AH71" s="102">
        <v>15.813565832775389</v>
      </c>
      <c r="AI71" s="102">
        <v>15.813565832775389</v>
      </c>
      <c r="AJ71" s="178">
        <v>15.813565832775389</v>
      </c>
      <c r="AK71" s="182"/>
      <c r="AL71" s="180">
        <v>0.876010241678571</v>
      </c>
      <c r="AM71" s="102">
        <v>1.68329781477498</v>
      </c>
      <c r="AN71" s="102">
        <v>2.2137452774873001</v>
      </c>
      <c r="AO71" s="102">
        <v>3.3143811334766098</v>
      </c>
      <c r="AP71" s="102">
        <v>3.5376192561403901</v>
      </c>
      <c r="AQ71" s="102">
        <v>3.8908711937357698</v>
      </c>
      <c r="AR71" s="102">
        <v>4.4192802018268296</v>
      </c>
      <c r="AS71" s="102">
        <v>5.2100242494632196</v>
      </c>
      <c r="AT71" s="102">
        <v>6.3454028839884202</v>
      </c>
      <c r="AU71" s="102">
        <v>6.91737455884439</v>
      </c>
      <c r="AV71" s="102">
        <v>8.8586109068759793</v>
      </c>
      <c r="AW71" s="102">
        <v>10.7182715311338</v>
      </c>
      <c r="AX71" s="102">
        <v>12.839470094410601</v>
      </c>
      <c r="AY71" s="128"/>
      <c r="AZ71" s="102">
        <v>1.659678004358863</v>
      </c>
      <c r="BA71" s="102">
        <v>2.634755379329095</v>
      </c>
      <c r="BB71" s="102">
        <v>4.7247747438243151</v>
      </c>
      <c r="BC71" s="102">
        <v>5.9105779659049036</v>
      </c>
      <c r="BD71" s="102">
        <v>6.53698479467291</v>
      </c>
      <c r="BE71" s="102">
        <v>7.1871999233192696</v>
      </c>
      <c r="BF71" s="102">
        <v>8.2275907698904902</v>
      </c>
      <c r="BG71" s="102">
        <v>9.4085783164550403</v>
      </c>
      <c r="BH71" s="102">
        <v>11.00914412004262</v>
      </c>
      <c r="BI71" s="102">
        <v>13.3878150005227</v>
      </c>
      <c r="BJ71" s="102">
        <v>15.813565832775389</v>
      </c>
      <c r="BK71" s="102">
        <v>15.813565832775389</v>
      </c>
      <c r="BL71" s="102">
        <v>15.813565832775389</v>
      </c>
      <c r="BM71" s="128"/>
      <c r="BN71" s="102">
        <v>0.876010241678571</v>
      </c>
      <c r="BO71" s="102">
        <v>1.68329781477498</v>
      </c>
      <c r="BP71" s="102">
        <v>2.2137452774873001</v>
      </c>
      <c r="BQ71" s="102">
        <v>3.3143811334766098</v>
      </c>
      <c r="BR71" s="102">
        <v>3.5376192561403901</v>
      </c>
      <c r="BS71" s="102">
        <v>3.8908711937357698</v>
      </c>
      <c r="BT71" s="102">
        <v>4.4192802018268296</v>
      </c>
      <c r="BU71" s="102">
        <v>5.2100242494632196</v>
      </c>
      <c r="BV71" s="102">
        <v>6.3454028839884202</v>
      </c>
      <c r="BW71" s="102">
        <v>6.91737455884439</v>
      </c>
      <c r="BX71" s="102">
        <v>8.8586109068759793</v>
      </c>
      <c r="BY71" s="102">
        <v>10.7182715311338</v>
      </c>
      <c r="BZ71" s="102">
        <v>12.839470094410601</v>
      </c>
    </row>
    <row r="72" spans="1:78">
      <c r="B72" s="236"/>
      <c r="C72" s="190"/>
      <c r="D72" s="190"/>
      <c r="E72" s="125"/>
      <c r="F72" s="125"/>
      <c r="G72" s="125"/>
      <c r="I72" s="125"/>
      <c r="J72" s="125"/>
      <c r="K72" s="125"/>
      <c r="M72" s="125"/>
      <c r="N72" s="125"/>
      <c r="O72" s="125"/>
      <c r="Q72" s="125"/>
      <c r="R72" s="125"/>
      <c r="S72" s="125"/>
      <c r="T72" s="109">
        <v>65</v>
      </c>
      <c r="U72" s="583"/>
      <c r="V72" s="583"/>
      <c r="W72" s="583"/>
      <c r="X72" s="102"/>
      <c r="Y72" s="102"/>
      <c r="Z72" s="102"/>
      <c r="AA72" s="102"/>
      <c r="AB72" s="102"/>
      <c r="AC72" s="102"/>
      <c r="AD72" s="102"/>
      <c r="AE72" s="102"/>
      <c r="AF72" s="102"/>
      <c r="AG72" s="102"/>
      <c r="AH72" s="102"/>
      <c r="AI72" s="102"/>
      <c r="AJ72" s="178"/>
      <c r="AK72" s="182"/>
      <c r="AL72" s="180"/>
      <c r="AM72" s="102"/>
      <c r="AN72" s="102"/>
      <c r="AO72" s="102"/>
      <c r="AP72" s="102"/>
      <c r="AQ72" s="102"/>
      <c r="AR72" s="102"/>
      <c r="AS72" s="102"/>
      <c r="AT72" s="102"/>
      <c r="AU72" s="102"/>
      <c r="AV72" s="102"/>
      <c r="AW72" s="102"/>
      <c r="AX72" s="102"/>
      <c r="AY72" s="128"/>
      <c r="AZ72" s="102"/>
      <c r="BA72" s="102"/>
      <c r="BB72" s="102"/>
      <c r="BC72" s="102"/>
      <c r="BD72" s="102"/>
      <c r="BE72" s="102"/>
      <c r="BF72" s="102"/>
      <c r="BG72" s="102"/>
      <c r="BH72" s="102"/>
      <c r="BI72" s="102"/>
      <c r="BJ72" s="102"/>
      <c r="BK72" s="102"/>
      <c r="BL72" s="102"/>
      <c r="BM72" s="128"/>
      <c r="BN72" s="102"/>
      <c r="BO72" s="102"/>
      <c r="BP72" s="102"/>
      <c r="BQ72" s="102"/>
      <c r="BR72" s="102"/>
      <c r="BS72" s="102"/>
      <c r="BT72" s="102"/>
      <c r="BU72" s="102"/>
      <c r="BV72" s="102"/>
      <c r="BW72" s="102"/>
      <c r="BX72" s="102"/>
      <c r="BY72" s="102"/>
      <c r="BZ72" s="102"/>
    </row>
    <row r="73" spans="1:78">
      <c r="A73" s="237" t="s">
        <v>218</v>
      </c>
      <c r="B73" s="236" t="s">
        <v>13</v>
      </c>
      <c r="C73" s="191" t="s">
        <v>38</v>
      </c>
      <c r="D73" s="202" t="s">
        <v>231</v>
      </c>
      <c r="E73" s="123">
        <f>HLOOKUP(INPUT!$Q$2,'Tracks Pull'!$X$8:$AJ$138,T73,FALSE)</f>
        <v>407.69262076024188</v>
      </c>
      <c r="F73" s="123">
        <f>HLOOKUP(INPUT!$Q$3,'Tracks Pull'!$X$8:$AJ$138,T73,FALSE)</f>
        <v>325.51970520377125</v>
      </c>
      <c r="G73" s="123">
        <f t="shared" si="13"/>
        <v>82.172915556470628</v>
      </c>
      <c r="I73" s="123">
        <f>HLOOKUP(INPUT!$Q$2,'Tracks Pull'!$AL$8:$AX$138,T73,FALSE)</f>
        <v>252.25403201236881</v>
      </c>
      <c r="J73" s="123">
        <f>HLOOKUP(INPUT!$Q$3,'Tracks Pull'!$AL$8:$AX$138,T73,FALSE)</f>
        <v>175.9170040869036</v>
      </c>
      <c r="K73" s="123">
        <f t="shared" si="14"/>
        <v>76.337027925465208</v>
      </c>
      <c r="M73" s="123">
        <f>HLOOKUP(INPUT!$Q$2,'Tracks Pull'!$AZ$8:$BL$138,T73,FALSE)</f>
        <v>407.69262076024188</v>
      </c>
      <c r="N73" s="123">
        <f>HLOOKUP(INPUT!$Q$3,'Tracks Pull'!$AZ$8:$BL$138,T73,FALSE)</f>
        <v>325.51970520377125</v>
      </c>
      <c r="O73" s="123">
        <f t="shared" si="15"/>
        <v>82.172915556470628</v>
      </c>
      <c r="Q73" s="123">
        <f>HLOOKUP(INPUT!$Q$2,'Tracks Pull'!$BN$8:$BZ$138,T73,FALSE)</f>
        <v>252.25403201236881</v>
      </c>
      <c r="R73" s="123">
        <f>HLOOKUP(INPUT!$Q$3,'Tracks Pull'!$BN$8:$BZ$138,T73,FALSE)</f>
        <v>175.9170040869036</v>
      </c>
      <c r="S73" s="123">
        <f t="shared" si="16"/>
        <v>76.337027925465208</v>
      </c>
      <c r="T73" s="199">
        <v>66</v>
      </c>
      <c r="U73" s="191" t="s">
        <v>38</v>
      </c>
      <c r="V73" s="191" t="s">
        <v>129</v>
      </c>
      <c r="W73" s="194" t="s">
        <v>13</v>
      </c>
      <c r="X73" s="102">
        <v>107.76923059212815</v>
      </c>
      <c r="Y73" s="102">
        <v>146.74433445510942</v>
      </c>
      <c r="Z73" s="102">
        <v>180.82558116941655</v>
      </c>
      <c r="AA73" s="102">
        <v>216.98095807302116</v>
      </c>
      <c r="AB73" s="102">
        <v>281.43074393085971</v>
      </c>
      <c r="AC73" s="102">
        <v>325.51970520377125</v>
      </c>
      <c r="AD73" s="102">
        <v>407.69262076024188</v>
      </c>
      <c r="AE73" s="102">
        <v>495.01921644234858</v>
      </c>
      <c r="AF73" s="102">
        <v>621.97888648764251</v>
      </c>
      <c r="AG73" s="102">
        <v>748.79070238138979</v>
      </c>
      <c r="AH73" s="102">
        <v>773.69793542802336</v>
      </c>
      <c r="AI73" s="102">
        <v>773.69793542802336</v>
      </c>
      <c r="AJ73" s="178">
        <v>773.69793542802336</v>
      </c>
      <c r="AK73" s="182"/>
      <c r="AL73" s="180">
        <v>56.600171958704848</v>
      </c>
      <c r="AM73" s="102">
        <v>58.369446737712934</v>
      </c>
      <c r="AN73" s="102">
        <v>90.21099220760496</v>
      </c>
      <c r="AO73" s="102">
        <v>133.47570028501696</v>
      </c>
      <c r="AP73" s="102">
        <v>161.82324395538362</v>
      </c>
      <c r="AQ73" s="102">
        <v>175.9170040869036</v>
      </c>
      <c r="AR73" s="102">
        <v>252.25403201236881</v>
      </c>
      <c r="AS73" s="102">
        <v>358.40095180586036</v>
      </c>
      <c r="AT73" s="102">
        <v>455.6658594053207</v>
      </c>
      <c r="AU73" s="102">
        <v>485.03922619515998</v>
      </c>
      <c r="AV73" s="102">
        <v>582.39996474257612</v>
      </c>
      <c r="AW73" s="102">
        <v>699.75115101126505</v>
      </c>
      <c r="AX73" s="102">
        <v>839.86998316574943</v>
      </c>
      <c r="AY73" s="128"/>
      <c r="AZ73" s="102">
        <v>107.76923059212815</v>
      </c>
      <c r="BA73" s="102">
        <v>146.74433445510942</v>
      </c>
      <c r="BB73" s="102">
        <v>180.82558116941655</v>
      </c>
      <c r="BC73" s="102">
        <v>216.98095807302116</v>
      </c>
      <c r="BD73" s="102">
        <v>281.43074393085971</v>
      </c>
      <c r="BE73" s="102">
        <v>325.51970520377125</v>
      </c>
      <c r="BF73" s="102">
        <v>407.69262076024188</v>
      </c>
      <c r="BG73" s="102">
        <v>495.01921644234858</v>
      </c>
      <c r="BH73" s="102">
        <v>621.97888648764251</v>
      </c>
      <c r="BI73" s="102">
        <v>748.79070238138979</v>
      </c>
      <c r="BJ73" s="102">
        <v>773.69793542802336</v>
      </c>
      <c r="BK73" s="102">
        <v>773.69793542802336</v>
      </c>
      <c r="BL73" s="102">
        <v>773.69793542802336</v>
      </c>
      <c r="BM73" s="128"/>
      <c r="BN73" s="102">
        <v>56.600171958704848</v>
      </c>
      <c r="BO73" s="102">
        <v>58.369446737712934</v>
      </c>
      <c r="BP73" s="102">
        <v>90.21099220760496</v>
      </c>
      <c r="BQ73" s="102">
        <v>133.47570028501696</v>
      </c>
      <c r="BR73" s="102">
        <v>161.82324395538362</v>
      </c>
      <c r="BS73" s="102">
        <v>175.9170040869036</v>
      </c>
      <c r="BT73" s="102">
        <v>252.25403201236881</v>
      </c>
      <c r="BU73" s="102">
        <v>358.40095180586036</v>
      </c>
      <c r="BV73" s="102">
        <v>455.6658594053207</v>
      </c>
      <c r="BW73" s="102">
        <v>485.03922619515998</v>
      </c>
      <c r="BX73" s="102">
        <v>582.39996474257612</v>
      </c>
      <c r="BY73" s="102">
        <v>699.75115101126505</v>
      </c>
      <c r="BZ73" s="102">
        <v>839.86998316574943</v>
      </c>
    </row>
    <row r="74" spans="1:78">
      <c r="A74" s="237" t="s">
        <v>218</v>
      </c>
      <c r="B74" s="236" t="s">
        <v>243</v>
      </c>
      <c r="C74" s="191"/>
      <c r="D74" s="202"/>
      <c r="E74" s="125">
        <f>HLOOKUP(INPUT!$Q$2,'Tracks Pull'!$X$8:$AJ$138,T74,FALSE)</f>
        <v>0</v>
      </c>
      <c r="F74" s="125">
        <f>HLOOKUP(INPUT!$Q$3,'Tracks Pull'!$X$8:$AJ$138,T74,FALSE)</f>
        <v>0</v>
      </c>
      <c r="G74" s="125">
        <f t="shared" si="13"/>
        <v>0</v>
      </c>
      <c r="I74" s="125">
        <f>HLOOKUP(INPUT!$Q$2,'Tracks Pull'!$AL$8:$AX$138,T74,FALSE)</f>
        <v>0</v>
      </c>
      <c r="J74" s="125">
        <f>HLOOKUP(INPUT!$Q$3,'Tracks Pull'!$AL$8:$AX$138,T74,FALSE)</f>
        <v>0</v>
      </c>
      <c r="K74" s="125">
        <f t="shared" si="14"/>
        <v>0</v>
      </c>
      <c r="M74" s="125">
        <f>HLOOKUP(INPUT!$Q$2,'Tracks Pull'!$AZ$8:$BL$138,T74,FALSE)</f>
        <v>0</v>
      </c>
      <c r="N74" s="125">
        <f>HLOOKUP(INPUT!$Q$3,'Tracks Pull'!$AZ$8:$BL$138,T74,FALSE)</f>
        <v>0</v>
      </c>
      <c r="O74" s="125">
        <f t="shared" si="15"/>
        <v>0</v>
      </c>
      <c r="Q74" s="125">
        <f>HLOOKUP(INPUT!$Q$2,'Tracks Pull'!$BN$8:$BZ$138,T74,FALSE)</f>
        <v>0</v>
      </c>
      <c r="R74" s="125">
        <f>HLOOKUP(INPUT!$Q$3,'Tracks Pull'!$BN$8:$BZ$138,T74,FALSE)</f>
        <v>0</v>
      </c>
      <c r="S74" s="125">
        <f t="shared" si="16"/>
        <v>0</v>
      </c>
      <c r="T74" s="109">
        <v>67</v>
      </c>
      <c r="U74" s="583"/>
      <c r="V74" s="583"/>
      <c r="W74" s="583"/>
      <c r="X74" s="287"/>
      <c r="Y74" s="287"/>
      <c r="Z74" s="287"/>
      <c r="AA74" s="287"/>
      <c r="AB74" s="287"/>
      <c r="AC74" s="287"/>
      <c r="AD74" s="287"/>
      <c r="AE74" s="287"/>
      <c r="AF74" s="287"/>
      <c r="AG74" s="287"/>
      <c r="AH74" s="287"/>
      <c r="AI74" s="287"/>
      <c r="AJ74" s="287"/>
      <c r="AK74" s="182"/>
      <c r="AL74" s="287"/>
      <c r="AM74" s="287"/>
      <c r="AN74" s="287"/>
      <c r="AO74" s="287"/>
      <c r="AP74" s="287"/>
      <c r="AQ74" s="287"/>
      <c r="AR74" s="287"/>
      <c r="AS74" s="287"/>
      <c r="AT74" s="287"/>
      <c r="AU74" s="287"/>
      <c r="AV74" s="287"/>
      <c r="AW74" s="287"/>
      <c r="AX74" s="287"/>
      <c r="AY74" s="128"/>
      <c r="AZ74" s="287"/>
      <c r="BA74" s="287"/>
      <c r="BB74" s="287"/>
      <c r="BC74" s="287"/>
      <c r="BD74" s="287"/>
      <c r="BE74" s="287"/>
      <c r="BF74" s="287"/>
      <c r="BG74" s="287"/>
      <c r="BH74" s="287"/>
      <c r="BI74" s="287"/>
      <c r="BJ74" s="287"/>
      <c r="BK74" s="287"/>
      <c r="BL74" s="287"/>
      <c r="BM74" s="128"/>
      <c r="BN74" s="287"/>
      <c r="BO74" s="287"/>
      <c r="BP74" s="287"/>
      <c r="BQ74" s="287"/>
      <c r="BR74" s="287"/>
      <c r="BS74" s="287"/>
      <c r="BT74" s="287"/>
      <c r="BU74" s="287"/>
      <c r="BV74" s="287"/>
      <c r="BW74" s="287"/>
      <c r="BX74" s="287"/>
      <c r="BY74" s="287"/>
      <c r="BZ74" s="287"/>
    </row>
    <row r="75" spans="1:78">
      <c r="A75" s="237" t="s">
        <v>218</v>
      </c>
      <c r="B75" s="236" t="s">
        <v>234</v>
      </c>
      <c r="C75" s="191" t="s">
        <v>38</v>
      </c>
      <c r="D75" s="194" t="s">
        <v>141</v>
      </c>
      <c r="E75" s="124">
        <f>HLOOKUP(INPUT!$Q$2,'Tracks Pull'!$X$8:$AJ$138,T75,FALSE)</f>
        <v>0</v>
      </c>
      <c r="F75" s="124">
        <f>HLOOKUP(INPUT!$Q$3,'Tracks Pull'!$X$8:$AJ$138,T75,FALSE)</f>
        <v>0</v>
      </c>
      <c r="G75" s="124">
        <f t="shared" si="13"/>
        <v>0</v>
      </c>
      <c r="I75" s="124">
        <f>HLOOKUP(INPUT!$Q$2,'Tracks Pull'!$AL$8:$AX$138,T75,FALSE)</f>
        <v>0</v>
      </c>
      <c r="J75" s="124">
        <f>HLOOKUP(INPUT!$Q$3,'Tracks Pull'!$AL$8:$AX$138,T75,FALSE)</f>
        <v>0</v>
      </c>
      <c r="K75" s="124">
        <f t="shared" si="14"/>
        <v>0</v>
      </c>
      <c r="M75" s="124">
        <f>HLOOKUP(INPUT!$Q$2,'Tracks Pull'!$AZ$8:$BL$138,T75,FALSE)</f>
        <v>0</v>
      </c>
      <c r="N75" s="124">
        <f>HLOOKUP(INPUT!$Q$3,'Tracks Pull'!$AZ$8:$BL$138,T75,FALSE)</f>
        <v>0</v>
      </c>
      <c r="O75" s="124">
        <f t="shared" si="15"/>
        <v>0</v>
      </c>
      <c r="Q75" s="124">
        <f>HLOOKUP(INPUT!$Q$2,'Tracks Pull'!$BN$8:$BZ$138,T75,FALSE)</f>
        <v>0</v>
      </c>
      <c r="R75" s="124">
        <f>HLOOKUP(INPUT!$Q$3,'Tracks Pull'!$BN$8:$BZ$138,T75,FALSE)</f>
        <v>0</v>
      </c>
      <c r="S75" s="124">
        <f t="shared" si="16"/>
        <v>0</v>
      </c>
      <c r="T75" s="199">
        <v>68</v>
      </c>
      <c r="U75" s="191" t="s">
        <v>38</v>
      </c>
      <c r="V75" s="191" t="s">
        <v>129</v>
      </c>
      <c r="W75" s="192" t="s">
        <v>75</v>
      </c>
      <c r="X75" s="102">
        <v>0</v>
      </c>
      <c r="Y75" s="102">
        <v>0</v>
      </c>
      <c r="Z75" s="102">
        <v>0</v>
      </c>
      <c r="AA75" s="102">
        <v>0</v>
      </c>
      <c r="AB75" s="102">
        <v>0</v>
      </c>
      <c r="AC75" s="102">
        <v>0</v>
      </c>
      <c r="AD75" s="102">
        <v>0</v>
      </c>
      <c r="AE75" s="102">
        <v>0</v>
      </c>
      <c r="AF75" s="102">
        <v>0</v>
      </c>
      <c r="AG75" s="102">
        <v>0</v>
      </c>
      <c r="AH75" s="102">
        <v>0</v>
      </c>
      <c r="AI75" s="102">
        <v>0</v>
      </c>
      <c r="AJ75" s="178">
        <v>0</v>
      </c>
      <c r="AK75" s="182"/>
      <c r="AL75" s="180">
        <v>0</v>
      </c>
      <c r="AM75" s="102">
        <v>0</v>
      </c>
      <c r="AN75" s="102">
        <v>0</v>
      </c>
      <c r="AO75" s="102">
        <v>0</v>
      </c>
      <c r="AP75" s="102">
        <v>0</v>
      </c>
      <c r="AQ75" s="102">
        <v>0</v>
      </c>
      <c r="AR75" s="102">
        <v>0</v>
      </c>
      <c r="AS75" s="102">
        <v>0</v>
      </c>
      <c r="AT75" s="102">
        <v>0</v>
      </c>
      <c r="AU75" s="102">
        <v>0</v>
      </c>
      <c r="AV75" s="102">
        <v>0</v>
      </c>
      <c r="AW75" s="102">
        <v>0</v>
      </c>
      <c r="AX75" s="102">
        <v>0</v>
      </c>
      <c r="AY75" s="128"/>
      <c r="AZ75" s="102">
        <v>0</v>
      </c>
      <c r="BA75" s="102">
        <v>0</v>
      </c>
      <c r="BB75" s="102">
        <v>0</v>
      </c>
      <c r="BC75" s="102">
        <v>0</v>
      </c>
      <c r="BD75" s="102">
        <v>0</v>
      </c>
      <c r="BE75" s="102">
        <v>0</v>
      </c>
      <c r="BF75" s="102">
        <v>0</v>
      </c>
      <c r="BG75" s="102">
        <v>0</v>
      </c>
      <c r="BH75" s="102">
        <v>0</v>
      </c>
      <c r="BI75" s="102">
        <v>0</v>
      </c>
      <c r="BJ75" s="102">
        <v>0</v>
      </c>
      <c r="BK75" s="102">
        <v>0</v>
      </c>
      <c r="BL75" s="102">
        <v>0</v>
      </c>
      <c r="BM75" s="128"/>
      <c r="BN75" s="102">
        <v>0</v>
      </c>
      <c r="BO75" s="102">
        <v>0</v>
      </c>
      <c r="BP75" s="102">
        <v>0</v>
      </c>
      <c r="BQ75" s="102">
        <v>0</v>
      </c>
      <c r="BR75" s="102">
        <v>0</v>
      </c>
      <c r="BS75" s="102">
        <v>0</v>
      </c>
      <c r="BT75" s="102">
        <v>0</v>
      </c>
      <c r="BU75" s="102">
        <v>0</v>
      </c>
      <c r="BV75" s="102">
        <v>0</v>
      </c>
      <c r="BW75" s="102">
        <v>0</v>
      </c>
      <c r="BX75" s="102">
        <v>0</v>
      </c>
      <c r="BY75" s="102">
        <v>0</v>
      </c>
      <c r="BZ75" s="102">
        <v>0</v>
      </c>
    </row>
    <row r="76" spans="1:78">
      <c r="A76" s="237" t="s">
        <v>218</v>
      </c>
      <c r="B76" s="236" t="s">
        <v>58</v>
      </c>
      <c r="C76" s="191" t="s">
        <v>38</v>
      </c>
      <c r="D76" s="191" t="s">
        <v>15</v>
      </c>
      <c r="E76" s="123">
        <f>HLOOKUP(INPUT!$Q$2,'Tracks Pull'!$X$8:$AJ$138,T76,FALSE)</f>
        <v>159.82799841112856</v>
      </c>
      <c r="F76" s="123">
        <f>HLOOKUP(INPUT!$Q$3,'Tracks Pull'!$X$8:$AJ$138,T76,FALSE)</f>
        <v>129.81697451303131</v>
      </c>
      <c r="G76" s="123">
        <f t="shared" si="13"/>
        <v>30.01102389809725</v>
      </c>
      <c r="I76" s="123">
        <f>HLOOKUP(INPUT!$Q$2,'Tracks Pull'!$AL$8:$AX$138,T76,FALSE)</f>
        <v>97.502234441745998</v>
      </c>
      <c r="J76" s="123">
        <f>HLOOKUP(INPUT!$Q$3,'Tracks Pull'!$AL$8:$AX$138,T76,FALSE)</f>
        <v>65.525750640180817</v>
      </c>
      <c r="K76" s="123">
        <f t="shared" si="14"/>
        <v>31.97648380156518</v>
      </c>
      <c r="M76" s="123">
        <f>HLOOKUP(INPUT!$Q$2,'Tracks Pull'!$AZ$8:$BL$138,T76,FALSE)</f>
        <v>159.82799841112856</v>
      </c>
      <c r="N76" s="123">
        <f>HLOOKUP(INPUT!$Q$3,'Tracks Pull'!$AZ$8:$BL$138,T76,FALSE)</f>
        <v>129.81697451303131</v>
      </c>
      <c r="O76" s="123">
        <f t="shared" si="15"/>
        <v>30.01102389809725</v>
      </c>
      <c r="Q76" s="123">
        <f>HLOOKUP(INPUT!$Q$2,'Tracks Pull'!$BN$8:$BZ$138,T76,FALSE)</f>
        <v>97.502234441745998</v>
      </c>
      <c r="R76" s="123">
        <f>HLOOKUP(INPUT!$Q$3,'Tracks Pull'!$BN$8:$BZ$138,T76,FALSE)</f>
        <v>65.525750640180817</v>
      </c>
      <c r="S76" s="123">
        <f t="shared" si="16"/>
        <v>31.97648380156518</v>
      </c>
      <c r="T76" s="109">
        <v>69</v>
      </c>
      <c r="U76" s="191" t="s">
        <v>38</v>
      </c>
      <c r="V76" s="191" t="s">
        <v>129</v>
      </c>
      <c r="W76" s="191" t="s">
        <v>15</v>
      </c>
      <c r="X76" s="102">
        <v>43.260990733497813</v>
      </c>
      <c r="Y76" s="102">
        <v>59.197831060081278</v>
      </c>
      <c r="Z76" s="102">
        <v>71.031641207941931</v>
      </c>
      <c r="AA76" s="102">
        <v>85.78281761577189</v>
      </c>
      <c r="AB76" s="102">
        <v>112.43991497738944</v>
      </c>
      <c r="AC76" s="102">
        <v>129.81697451303131</v>
      </c>
      <c r="AD76" s="102">
        <v>159.82799841112856</v>
      </c>
      <c r="AE76" s="102">
        <v>203.17347127323771</v>
      </c>
      <c r="AF76" s="102">
        <v>270.01412051138317</v>
      </c>
      <c r="AG76" s="102">
        <v>346.33815346494248</v>
      </c>
      <c r="AH76" s="102">
        <v>350.96596433843996</v>
      </c>
      <c r="AI76" s="102">
        <v>350.96596433843996</v>
      </c>
      <c r="AJ76" s="178">
        <v>350.96596433843996</v>
      </c>
      <c r="AK76" s="182"/>
      <c r="AL76" s="180">
        <v>24.595165802828987</v>
      </c>
      <c r="AM76" s="102">
        <v>19.467730951072568</v>
      </c>
      <c r="AN76" s="102">
        <v>36.872822557960347</v>
      </c>
      <c r="AO76" s="102">
        <v>50.78113028436983</v>
      </c>
      <c r="AP76" s="102">
        <v>60.07215597738562</v>
      </c>
      <c r="AQ76" s="102">
        <v>65.525750640180817</v>
      </c>
      <c r="AR76" s="102">
        <v>97.502234441745998</v>
      </c>
      <c r="AS76" s="102">
        <v>136.664027182458</v>
      </c>
      <c r="AT76" s="102">
        <v>180.92120171948099</v>
      </c>
      <c r="AU76" s="102">
        <v>194.91742917133209</v>
      </c>
      <c r="AV76" s="102">
        <v>246.71952795111426</v>
      </c>
      <c r="AW76" s="102">
        <v>313.10615677420719</v>
      </c>
      <c r="AX76" s="102">
        <v>373.32743556655993</v>
      </c>
      <c r="AY76" s="128"/>
      <c r="AZ76" s="102">
        <v>43.260990733497813</v>
      </c>
      <c r="BA76" s="102">
        <v>59.197831060081278</v>
      </c>
      <c r="BB76" s="102">
        <v>71.031641207941931</v>
      </c>
      <c r="BC76" s="102">
        <v>85.78281761577189</v>
      </c>
      <c r="BD76" s="102">
        <v>112.43991497738944</v>
      </c>
      <c r="BE76" s="102">
        <v>129.81697451303131</v>
      </c>
      <c r="BF76" s="102">
        <v>159.82799841112856</v>
      </c>
      <c r="BG76" s="102">
        <v>203.17347127323771</v>
      </c>
      <c r="BH76" s="102">
        <v>270.01412051138317</v>
      </c>
      <c r="BI76" s="102">
        <v>346.33815346494248</v>
      </c>
      <c r="BJ76" s="102">
        <v>350.96596433843996</v>
      </c>
      <c r="BK76" s="102">
        <v>350.96596433843996</v>
      </c>
      <c r="BL76" s="102">
        <v>350.96596433843996</v>
      </c>
      <c r="BM76" s="128"/>
      <c r="BN76" s="102">
        <v>24.595165802828987</v>
      </c>
      <c r="BO76" s="102">
        <v>19.467730951072568</v>
      </c>
      <c r="BP76" s="102">
        <v>36.872822557960347</v>
      </c>
      <c r="BQ76" s="102">
        <v>50.78113028436983</v>
      </c>
      <c r="BR76" s="102">
        <v>60.07215597738562</v>
      </c>
      <c r="BS76" s="102">
        <v>65.525750640180817</v>
      </c>
      <c r="BT76" s="102">
        <v>97.502234441745998</v>
      </c>
      <c r="BU76" s="102">
        <v>136.664027182458</v>
      </c>
      <c r="BV76" s="102">
        <v>180.92120171948099</v>
      </c>
      <c r="BW76" s="102">
        <v>194.91742917133209</v>
      </c>
      <c r="BX76" s="102">
        <v>246.71952795111426</v>
      </c>
      <c r="BY76" s="102">
        <v>313.10615677420719</v>
      </c>
      <c r="BZ76" s="102">
        <v>373.32743556655993</v>
      </c>
    </row>
    <row r="77" spans="1:78" outlineLevel="1">
      <c r="A77" s="237" t="s">
        <v>218</v>
      </c>
      <c r="B77" s="236" t="s">
        <v>17</v>
      </c>
      <c r="C77" s="191" t="s">
        <v>38</v>
      </c>
      <c r="D77" s="192" t="s">
        <v>101</v>
      </c>
      <c r="E77" s="125">
        <f>HLOOKUP(INPUT!$Q$2,'Tracks Pull'!$X$8:$AJ$138,T77,FALSE)</f>
        <v>21.951207055228149</v>
      </c>
      <c r="F77" s="125">
        <f>HLOOKUP(INPUT!$Q$3,'Tracks Pull'!$X$8:$AJ$138,T77,FALSE)</f>
        <v>17.763430782373632</v>
      </c>
      <c r="G77" s="125">
        <f t="shared" si="13"/>
        <v>4.1877762728545171</v>
      </c>
      <c r="I77" s="125">
        <f>HLOOKUP(INPUT!$Q$2,'Tracks Pull'!$AL$8:$AX$138,T77,FALSE)</f>
        <v>11.0093375678315</v>
      </c>
      <c r="J77" s="125">
        <f>HLOOKUP(INPUT!$Q$3,'Tracks Pull'!$AL$8:$AX$138,T77,FALSE)</f>
        <v>7.3987546266368502</v>
      </c>
      <c r="K77" s="125">
        <f t="shared" si="14"/>
        <v>3.6105829411946493</v>
      </c>
      <c r="M77" s="125">
        <f>HLOOKUP(INPUT!$Q$2,'Tracks Pull'!$AZ$8:$BL$138,T77,FALSE)</f>
        <v>21.951207055228149</v>
      </c>
      <c r="N77" s="125">
        <f>HLOOKUP(INPUT!$Q$3,'Tracks Pull'!$AZ$8:$BL$138,T77,FALSE)</f>
        <v>17.763430782373632</v>
      </c>
      <c r="O77" s="125">
        <f t="shared" si="15"/>
        <v>4.1877762728545171</v>
      </c>
      <c r="Q77" s="125">
        <f>HLOOKUP(INPUT!$Q$2,'Tracks Pull'!$BN$8:$BZ$138,T77,FALSE)</f>
        <v>11.0093375678315</v>
      </c>
      <c r="R77" s="125">
        <f>HLOOKUP(INPUT!$Q$3,'Tracks Pull'!$BN$8:$BZ$138,T77,FALSE)</f>
        <v>7.3987546266368502</v>
      </c>
      <c r="S77" s="125">
        <f t="shared" si="16"/>
        <v>3.6105829411946493</v>
      </c>
      <c r="T77" s="199">
        <v>70</v>
      </c>
      <c r="U77" s="191" t="s">
        <v>38</v>
      </c>
      <c r="V77" s="191" t="s">
        <v>129</v>
      </c>
      <c r="W77" s="193" t="s">
        <v>17</v>
      </c>
      <c r="X77" s="102">
        <v>5.8260429102122799</v>
      </c>
      <c r="Y77" s="102">
        <v>7.9310921664837295</v>
      </c>
      <c r="Z77" s="102">
        <v>9.5483115517290802</v>
      </c>
      <c r="AA77" s="102">
        <v>11.546869676450729</v>
      </c>
      <c r="AB77" s="102">
        <v>15.342211635876041</v>
      </c>
      <c r="AC77" s="102">
        <v>17.763430782373632</v>
      </c>
      <c r="AD77" s="102">
        <v>21.951207055228149</v>
      </c>
      <c r="AE77" s="102">
        <v>27.912412313562999</v>
      </c>
      <c r="AF77" s="102">
        <v>37.579707663155219</v>
      </c>
      <c r="AG77" s="102">
        <v>48.658469364253698</v>
      </c>
      <c r="AH77" s="102">
        <v>49.173820700602199</v>
      </c>
      <c r="AI77" s="102">
        <v>49.173820700602199</v>
      </c>
      <c r="AJ77" s="178">
        <v>49.173820700602199</v>
      </c>
      <c r="AK77" s="182"/>
      <c r="AL77" s="180">
        <v>2.7771310515135701</v>
      </c>
      <c r="AM77" s="102">
        <v>2.1981734362009</v>
      </c>
      <c r="AN77" s="102">
        <v>4.1634466424651402</v>
      </c>
      <c r="AO77" s="102">
        <v>5.7338850599437103</v>
      </c>
      <c r="AP77" s="102">
        <v>6.7829691018783604</v>
      </c>
      <c r="AQ77" s="102">
        <v>7.3987546266368502</v>
      </c>
      <c r="AR77" s="102">
        <v>11.0093375678315</v>
      </c>
      <c r="AS77" s="102">
        <v>15.4312402915228</v>
      </c>
      <c r="AT77" s="102">
        <v>20.4284814015984</v>
      </c>
      <c r="AU77" s="102">
        <v>22.008847160145599</v>
      </c>
      <c r="AV77" s="102">
        <v>27.8580135454505</v>
      </c>
      <c r="AW77" s="102">
        <v>35.353973108719998</v>
      </c>
      <c r="AX77" s="102">
        <v>42.153780218654703</v>
      </c>
      <c r="AY77" s="128"/>
      <c r="AZ77" s="102">
        <v>5.8260429102122799</v>
      </c>
      <c r="BA77" s="102">
        <v>7.9310921664837295</v>
      </c>
      <c r="BB77" s="102">
        <v>9.5483115517290802</v>
      </c>
      <c r="BC77" s="102">
        <v>11.546869676450729</v>
      </c>
      <c r="BD77" s="102">
        <v>15.342211635876041</v>
      </c>
      <c r="BE77" s="102">
        <v>17.763430782373632</v>
      </c>
      <c r="BF77" s="102">
        <v>21.951207055228149</v>
      </c>
      <c r="BG77" s="102">
        <v>27.912412313562999</v>
      </c>
      <c r="BH77" s="102">
        <v>37.579707663155219</v>
      </c>
      <c r="BI77" s="102">
        <v>48.658469364253698</v>
      </c>
      <c r="BJ77" s="102">
        <v>49.173820700602199</v>
      </c>
      <c r="BK77" s="102">
        <v>49.173820700602199</v>
      </c>
      <c r="BL77" s="102">
        <v>49.173820700602199</v>
      </c>
      <c r="BM77" s="128"/>
      <c r="BN77" s="102">
        <v>2.7771310515135701</v>
      </c>
      <c r="BO77" s="102">
        <v>2.1981734362009</v>
      </c>
      <c r="BP77" s="102">
        <v>4.1634466424651402</v>
      </c>
      <c r="BQ77" s="102">
        <v>5.7338850599437103</v>
      </c>
      <c r="BR77" s="102">
        <v>6.7829691018783604</v>
      </c>
      <c r="BS77" s="102">
        <v>7.3987546266368502</v>
      </c>
      <c r="BT77" s="102">
        <v>11.0093375678315</v>
      </c>
      <c r="BU77" s="102">
        <v>15.4312402915228</v>
      </c>
      <c r="BV77" s="102">
        <v>20.4284814015984</v>
      </c>
      <c r="BW77" s="102">
        <v>22.008847160145599</v>
      </c>
      <c r="BX77" s="102">
        <v>27.8580135454505</v>
      </c>
      <c r="BY77" s="102">
        <v>35.353973108719998</v>
      </c>
      <c r="BZ77" s="102">
        <v>42.153780218654703</v>
      </c>
    </row>
    <row r="78" spans="1:78" outlineLevel="1">
      <c r="A78" s="237" t="s">
        <v>218</v>
      </c>
      <c r="B78" s="236" t="s">
        <v>18</v>
      </c>
      <c r="C78" s="191" t="s">
        <v>38</v>
      </c>
      <c r="D78" s="192" t="s">
        <v>102</v>
      </c>
      <c r="E78" s="125">
        <f>HLOOKUP(INPUT!$Q$2,'Tracks Pull'!$X$8:$AJ$138,T78,FALSE)</f>
        <v>1.7442122894992002E-2</v>
      </c>
      <c r="F78" s="125">
        <f>HLOOKUP(INPUT!$Q$3,'Tracks Pull'!$X$8:$AJ$138,T78,FALSE)</f>
        <v>1.6269400013558002E-2</v>
      </c>
      <c r="G78" s="125">
        <f t="shared" si="13"/>
        <v>1.1727228814339997E-3</v>
      </c>
      <c r="I78" s="125">
        <f>HLOOKUP(INPUT!$Q$2,'Tracks Pull'!$AL$8:$AX$138,T78,FALSE)</f>
        <v>4.7655268607999401</v>
      </c>
      <c r="J78" s="125">
        <f>HLOOKUP(INPUT!$Q$3,'Tracks Pull'!$AL$8:$AX$138,T78,FALSE)</f>
        <v>3.20264172957418</v>
      </c>
      <c r="K78" s="125">
        <f t="shared" si="14"/>
        <v>1.5628851312257601</v>
      </c>
      <c r="M78" s="125">
        <f>HLOOKUP(INPUT!$Q$2,'Tracks Pull'!$AZ$8:$BL$138,T78,FALSE)</f>
        <v>1.7442122894992002E-2</v>
      </c>
      <c r="N78" s="125">
        <f>HLOOKUP(INPUT!$Q$3,'Tracks Pull'!$AZ$8:$BL$138,T78,FALSE)</f>
        <v>1.6269400013558002E-2</v>
      </c>
      <c r="O78" s="125">
        <f t="shared" si="15"/>
        <v>1.1727228814339997E-3</v>
      </c>
      <c r="Q78" s="125">
        <f>HLOOKUP(INPUT!$Q$2,'Tracks Pull'!$BN$8:$BZ$138,T78,FALSE)</f>
        <v>4.7655268607999401</v>
      </c>
      <c r="R78" s="125">
        <f>HLOOKUP(INPUT!$Q$3,'Tracks Pull'!$BN$8:$BZ$138,T78,FALSE)</f>
        <v>3.20264172957418</v>
      </c>
      <c r="S78" s="125">
        <f t="shared" si="16"/>
        <v>1.5628851312257601</v>
      </c>
      <c r="T78" s="109">
        <v>71</v>
      </c>
      <c r="U78" s="191" t="s">
        <v>38</v>
      </c>
      <c r="V78" s="191" t="s">
        <v>129</v>
      </c>
      <c r="W78" s="193" t="s">
        <v>18</v>
      </c>
      <c r="X78" s="102">
        <v>8.4025286293339992E-3</v>
      </c>
      <c r="Y78" s="102">
        <v>1.2810580959718999E-2</v>
      </c>
      <c r="Z78" s="102">
        <v>1.4359083056885999E-2</v>
      </c>
      <c r="AA78" s="102">
        <v>1.6842203448442998E-2</v>
      </c>
      <c r="AB78" s="102">
        <v>1.5475730647428004E-2</v>
      </c>
      <c r="AC78" s="102">
        <v>1.6269400013558002E-2</v>
      </c>
      <c r="AD78" s="102">
        <v>1.7442122894992002E-2</v>
      </c>
      <c r="AE78" s="102">
        <v>2.1916848384792006E-2</v>
      </c>
      <c r="AF78" s="102">
        <v>1.3686686996218E-2</v>
      </c>
      <c r="AG78" s="102">
        <v>3.0185657506939939E-3</v>
      </c>
      <c r="AH78" s="102">
        <v>7.3550067435869948E-3</v>
      </c>
      <c r="AI78" s="102">
        <v>7.3550067435869948E-3</v>
      </c>
      <c r="AJ78" s="178">
        <v>7.3550067435869948E-3</v>
      </c>
      <c r="AK78" s="182"/>
      <c r="AL78" s="180">
        <v>1.2021152535661901</v>
      </c>
      <c r="AM78" s="102">
        <v>0.95150634544269597</v>
      </c>
      <c r="AN78" s="102">
        <v>1.8021989684601101</v>
      </c>
      <c r="AO78" s="102">
        <v>2.4819825081704301</v>
      </c>
      <c r="AP78" s="102">
        <v>2.9360914089351899</v>
      </c>
      <c r="AQ78" s="102">
        <v>3.20264172957418</v>
      </c>
      <c r="AR78" s="102">
        <v>4.7655268607999401</v>
      </c>
      <c r="AS78" s="102">
        <v>6.6796017155095004</v>
      </c>
      <c r="AT78" s="102">
        <v>8.8427188506896606</v>
      </c>
      <c r="AU78" s="102">
        <v>9.5267995617990504</v>
      </c>
      <c r="AV78" s="102">
        <v>12.0586830062585</v>
      </c>
      <c r="AW78" s="102">
        <v>15.303401085447</v>
      </c>
      <c r="AX78" s="102">
        <v>18.246781032786998</v>
      </c>
      <c r="AY78" s="128"/>
      <c r="AZ78" s="102">
        <v>8.4025286293339992E-3</v>
      </c>
      <c r="BA78" s="102">
        <v>1.2810580959718999E-2</v>
      </c>
      <c r="BB78" s="102">
        <v>1.4359083056885999E-2</v>
      </c>
      <c r="BC78" s="102">
        <v>1.6842203448442998E-2</v>
      </c>
      <c r="BD78" s="102">
        <v>1.5475730647428004E-2</v>
      </c>
      <c r="BE78" s="102">
        <v>1.6269400013558002E-2</v>
      </c>
      <c r="BF78" s="102">
        <v>1.7442122894992002E-2</v>
      </c>
      <c r="BG78" s="102">
        <v>2.1916848384792006E-2</v>
      </c>
      <c r="BH78" s="102">
        <v>1.3686686996218E-2</v>
      </c>
      <c r="BI78" s="102">
        <v>3.0185657506939939E-3</v>
      </c>
      <c r="BJ78" s="102">
        <v>7.3550067435869948E-3</v>
      </c>
      <c r="BK78" s="102">
        <v>7.3550067435869948E-3</v>
      </c>
      <c r="BL78" s="102">
        <v>7.3550067435869948E-3</v>
      </c>
      <c r="BM78" s="128"/>
      <c r="BN78" s="102">
        <v>1.2021152535661901</v>
      </c>
      <c r="BO78" s="102">
        <v>0.95150634544269597</v>
      </c>
      <c r="BP78" s="102">
        <v>1.8021989684601101</v>
      </c>
      <c r="BQ78" s="102">
        <v>2.4819825081704301</v>
      </c>
      <c r="BR78" s="102">
        <v>2.9360914089351899</v>
      </c>
      <c r="BS78" s="102">
        <v>3.20264172957418</v>
      </c>
      <c r="BT78" s="102">
        <v>4.7655268607999401</v>
      </c>
      <c r="BU78" s="102">
        <v>6.6796017155095004</v>
      </c>
      <c r="BV78" s="102">
        <v>8.8427188506896606</v>
      </c>
      <c r="BW78" s="102">
        <v>9.5267995617990504</v>
      </c>
      <c r="BX78" s="102">
        <v>12.0586830062585</v>
      </c>
      <c r="BY78" s="102">
        <v>15.303401085447</v>
      </c>
      <c r="BZ78" s="102">
        <v>18.246781032786998</v>
      </c>
    </row>
    <row r="79" spans="1:78" outlineLevel="1">
      <c r="A79" s="237" t="s">
        <v>218</v>
      </c>
      <c r="B79" s="236" t="s">
        <v>19</v>
      </c>
      <c r="C79" s="191" t="s">
        <v>38</v>
      </c>
      <c r="D79" s="192" t="s">
        <v>103</v>
      </c>
      <c r="E79" s="125">
        <f>HLOOKUP(INPUT!$Q$2,'Tracks Pull'!$X$8:$AJ$138,T79,FALSE)</f>
        <v>25.789202186171799</v>
      </c>
      <c r="F79" s="125">
        <f>HLOOKUP(INPUT!$Q$3,'Tracks Pull'!$X$8:$AJ$138,T79,FALSE)</f>
        <v>21.180578692418081</v>
      </c>
      <c r="G79" s="125">
        <f t="shared" si="13"/>
        <v>4.6086234937537185</v>
      </c>
      <c r="I79" s="125">
        <f>HLOOKUP(INPUT!$Q$2,'Tracks Pull'!$AL$8:$AX$138,T79,FALSE)</f>
        <v>19.476619248171499</v>
      </c>
      <c r="J79" s="125">
        <f>HLOOKUP(INPUT!$Q$3,'Tracks Pull'!$AL$8:$AX$138,T79,FALSE)</f>
        <v>13.0891369154409</v>
      </c>
      <c r="K79" s="125">
        <f t="shared" si="14"/>
        <v>6.387482332730599</v>
      </c>
      <c r="M79" s="125">
        <f>HLOOKUP(INPUT!$Q$2,'Tracks Pull'!$AZ$8:$BL$138,T79,FALSE)</f>
        <v>25.789202186171799</v>
      </c>
      <c r="N79" s="125">
        <f>HLOOKUP(INPUT!$Q$3,'Tracks Pull'!$AZ$8:$BL$138,T79,FALSE)</f>
        <v>21.180578692418081</v>
      </c>
      <c r="O79" s="125">
        <f t="shared" si="15"/>
        <v>4.6086234937537185</v>
      </c>
      <c r="Q79" s="125">
        <f>HLOOKUP(INPUT!$Q$2,'Tracks Pull'!$BN$8:$BZ$138,T79,FALSE)</f>
        <v>19.476619248171499</v>
      </c>
      <c r="R79" s="125">
        <f>HLOOKUP(INPUT!$Q$3,'Tracks Pull'!$BN$8:$BZ$138,T79,FALSE)</f>
        <v>13.0891369154409</v>
      </c>
      <c r="S79" s="125">
        <f t="shared" si="16"/>
        <v>6.387482332730599</v>
      </c>
      <c r="T79" s="199">
        <v>72</v>
      </c>
      <c r="U79" s="191" t="s">
        <v>38</v>
      </c>
      <c r="V79" s="191" t="s">
        <v>129</v>
      </c>
      <c r="W79" s="193" t="s">
        <v>19</v>
      </c>
      <c r="X79" s="102">
        <v>7.3898781984346602</v>
      </c>
      <c r="Y79" s="102">
        <v>10.25822005308588</v>
      </c>
      <c r="Z79" s="102">
        <v>12.196268201312801</v>
      </c>
      <c r="AA79" s="102">
        <v>14.673591222314592</v>
      </c>
      <c r="AB79" s="102">
        <v>18.499331599209739</v>
      </c>
      <c r="AC79" s="102">
        <v>21.180578692418081</v>
      </c>
      <c r="AD79" s="102">
        <v>25.789202186171799</v>
      </c>
      <c r="AE79" s="102">
        <v>32.754825563308401</v>
      </c>
      <c r="AF79" s="102">
        <v>41.813283597506</v>
      </c>
      <c r="AG79" s="102">
        <v>52.015678167501001</v>
      </c>
      <c r="AH79" s="102">
        <v>53.188542548552505</v>
      </c>
      <c r="AI79" s="102">
        <v>53.188542548552505</v>
      </c>
      <c r="AJ79" s="178">
        <v>53.188542548552505</v>
      </c>
      <c r="AK79" s="182"/>
      <c r="AL79" s="180">
        <v>4.9130225828163203</v>
      </c>
      <c r="AM79" s="102">
        <v>3.88878865731454</v>
      </c>
      <c r="AN79" s="102">
        <v>7.3655535145285</v>
      </c>
      <c r="AO79" s="102">
        <v>10.143816141274</v>
      </c>
      <c r="AP79" s="102">
        <v>11.999750734813601</v>
      </c>
      <c r="AQ79" s="102">
        <v>13.0891369154409</v>
      </c>
      <c r="AR79" s="102">
        <v>19.476619248171499</v>
      </c>
      <c r="AS79" s="102">
        <v>27.299407419681199</v>
      </c>
      <c r="AT79" s="102">
        <v>36.140026738743799</v>
      </c>
      <c r="AU79" s="102">
        <v>38.9358518247153</v>
      </c>
      <c r="AV79" s="102">
        <v>49.283612160328801</v>
      </c>
      <c r="AW79" s="102">
        <v>62.544714330552203</v>
      </c>
      <c r="AX79" s="102">
        <v>74.574253185658307</v>
      </c>
      <c r="AY79" s="128"/>
      <c r="AZ79" s="102">
        <v>7.3898781984346602</v>
      </c>
      <c r="BA79" s="102">
        <v>10.25822005308588</v>
      </c>
      <c r="BB79" s="102">
        <v>12.196268201312801</v>
      </c>
      <c r="BC79" s="102">
        <v>14.673591222314592</v>
      </c>
      <c r="BD79" s="102">
        <v>18.499331599209739</v>
      </c>
      <c r="BE79" s="102">
        <v>21.180578692418081</v>
      </c>
      <c r="BF79" s="102">
        <v>25.789202186171799</v>
      </c>
      <c r="BG79" s="102">
        <v>32.754825563308401</v>
      </c>
      <c r="BH79" s="102">
        <v>41.813283597506</v>
      </c>
      <c r="BI79" s="102">
        <v>52.015678167501001</v>
      </c>
      <c r="BJ79" s="102">
        <v>53.188542548552505</v>
      </c>
      <c r="BK79" s="102">
        <v>53.188542548552505</v>
      </c>
      <c r="BL79" s="102">
        <v>53.188542548552505</v>
      </c>
      <c r="BM79" s="128"/>
      <c r="BN79" s="102">
        <v>4.9130225828163203</v>
      </c>
      <c r="BO79" s="102">
        <v>3.88878865731454</v>
      </c>
      <c r="BP79" s="102">
        <v>7.3655535145285</v>
      </c>
      <c r="BQ79" s="102">
        <v>10.143816141274</v>
      </c>
      <c r="BR79" s="102">
        <v>11.999750734813601</v>
      </c>
      <c r="BS79" s="102">
        <v>13.0891369154409</v>
      </c>
      <c r="BT79" s="102">
        <v>19.476619248171499</v>
      </c>
      <c r="BU79" s="102">
        <v>27.299407419681199</v>
      </c>
      <c r="BV79" s="102">
        <v>36.140026738743799</v>
      </c>
      <c r="BW79" s="102">
        <v>38.9358518247153</v>
      </c>
      <c r="BX79" s="102">
        <v>49.283612160328801</v>
      </c>
      <c r="BY79" s="102">
        <v>62.544714330552203</v>
      </c>
      <c r="BZ79" s="102">
        <v>74.574253185658307</v>
      </c>
    </row>
    <row r="80" spans="1:78" outlineLevel="1">
      <c r="A80" s="237" t="s">
        <v>218</v>
      </c>
      <c r="B80" s="236" t="s">
        <v>77</v>
      </c>
      <c r="C80" s="191" t="s">
        <v>38</v>
      </c>
      <c r="D80" s="192" t="s">
        <v>20</v>
      </c>
      <c r="E80" s="125">
        <f>HLOOKUP(INPUT!$Q$2,'Tracks Pull'!$X$8:$AJ$138,T80,FALSE)</f>
        <v>43.878413703019589</v>
      </c>
      <c r="F80" s="125">
        <f>HLOOKUP(INPUT!$Q$3,'Tracks Pull'!$X$8:$AJ$138,T80,FALSE)</f>
        <v>35.129021970064088</v>
      </c>
      <c r="G80" s="125">
        <f t="shared" si="13"/>
        <v>8.7493917329555018</v>
      </c>
      <c r="I80" s="125">
        <f>HLOOKUP(INPUT!$Q$2,'Tracks Pull'!$AL$8:$AX$138,T80,FALSE)</f>
        <v>31.400765825296801</v>
      </c>
      <c r="J80" s="125">
        <f>HLOOKUP(INPUT!$Q$3,'Tracks Pull'!$AL$8:$AX$138,T80,FALSE)</f>
        <v>21.102683063211501</v>
      </c>
      <c r="K80" s="125">
        <f t="shared" si="14"/>
        <v>10.298082762085301</v>
      </c>
      <c r="M80" s="125">
        <f>HLOOKUP(INPUT!$Q$2,'Tracks Pull'!$AZ$8:$BL$138,T80,FALSE)</f>
        <v>43.878413703019589</v>
      </c>
      <c r="N80" s="125">
        <f>HLOOKUP(INPUT!$Q$3,'Tracks Pull'!$AZ$8:$BL$138,T80,FALSE)</f>
        <v>35.129021970064088</v>
      </c>
      <c r="O80" s="125">
        <f t="shared" si="15"/>
        <v>8.7493917329555018</v>
      </c>
      <c r="Q80" s="125">
        <f>HLOOKUP(INPUT!$Q$2,'Tracks Pull'!$BN$8:$BZ$138,T80,FALSE)</f>
        <v>31.400765825296801</v>
      </c>
      <c r="R80" s="125">
        <f>HLOOKUP(INPUT!$Q$3,'Tracks Pull'!$BN$8:$BZ$138,T80,FALSE)</f>
        <v>21.102683063211501</v>
      </c>
      <c r="S80" s="125">
        <f t="shared" si="16"/>
        <v>10.298082762085301</v>
      </c>
      <c r="T80" s="109">
        <v>73</v>
      </c>
      <c r="U80" s="191" t="s">
        <v>38</v>
      </c>
      <c r="V80" s="191" t="s">
        <v>129</v>
      </c>
      <c r="W80" s="193" t="s">
        <v>77</v>
      </c>
      <c r="X80" s="102">
        <v>10.98308220553414</v>
      </c>
      <c r="Y80" s="102">
        <v>14.71050251349571</v>
      </c>
      <c r="Z80" s="102">
        <v>17.896901900118301</v>
      </c>
      <c r="AA80" s="102">
        <v>21.73464184507672</v>
      </c>
      <c r="AB80" s="102">
        <v>30.090752225985121</v>
      </c>
      <c r="AC80" s="102">
        <v>35.129021970064088</v>
      </c>
      <c r="AD80" s="102">
        <v>43.878413703019589</v>
      </c>
      <c r="AE80" s="102">
        <v>55.840311291739297</v>
      </c>
      <c r="AF80" s="102">
        <v>77.958644883595014</v>
      </c>
      <c r="AG80" s="102">
        <v>103.52346501745137</v>
      </c>
      <c r="AH80" s="102">
        <v>103.86397621362897</v>
      </c>
      <c r="AI80" s="102">
        <v>103.86397621362897</v>
      </c>
      <c r="AJ80" s="178">
        <v>103.86397621362897</v>
      </c>
      <c r="AK80" s="182"/>
      <c r="AL80" s="180">
        <v>7.92091633828562</v>
      </c>
      <c r="AM80" s="102">
        <v>6.2696169400070803</v>
      </c>
      <c r="AN80" s="102">
        <v>11.8749572570257</v>
      </c>
      <c r="AO80" s="102">
        <v>16.354152184646399</v>
      </c>
      <c r="AP80" s="102">
        <v>19.346343325019799</v>
      </c>
      <c r="AQ80" s="102">
        <v>21.102683063211501</v>
      </c>
      <c r="AR80" s="102">
        <v>31.400765825296801</v>
      </c>
      <c r="AS80" s="102">
        <v>44.012889949330201</v>
      </c>
      <c r="AT80" s="102">
        <v>58.265990728847697</v>
      </c>
      <c r="AU80" s="102">
        <v>62.773500358442398</v>
      </c>
      <c r="AV80" s="102">
        <v>79.456457239955498</v>
      </c>
      <c r="AW80" s="102">
        <v>100.836387633759</v>
      </c>
      <c r="AX80" s="102">
        <v>120.23075622321301</v>
      </c>
      <c r="AY80" s="128"/>
      <c r="AZ80" s="102">
        <v>10.98308220553414</v>
      </c>
      <c r="BA80" s="102">
        <v>14.71050251349571</v>
      </c>
      <c r="BB80" s="102">
        <v>17.896901900118301</v>
      </c>
      <c r="BC80" s="102">
        <v>21.73464184507672</v>
      </c>
      <c r="BD80" s="102">
        <v>30.090752225985121</v>
      </c>
      <c r="BE80" s="102">
        <v>35.129021970064088</v>
      </c>
      <c r="BF80" s="102">
        <v>43.878413703019589</v>
      </c>
      <c r="BG80" s="102">
        <v>55.840311291739297</v>
      </c>
      <c r="BH80" s="102">
        <v>77.958644883595014</v>
      </c>
      <c r="BI80" s="102">
        <v>103.52346501745137</v>
      </c>
      <c r="BJ80" s="102">
        <v>103.86397621362897</v>
      </c>
      <c r="BK80" s="102">
        <v>103.86397621362897</v>
      </c>
      <c r="BL80" s="102">
        <v>103.86397621362897</v>
      </c>
      <c r="BM80" s="128"/>
      <c r="BN80" s="102">
        <v>7.92091633828562</v>
      </c>
      <c r="BO80" s="102">
        <v>6.2696169400070803</v>
      </c>
      <c r="BP80" s="102">
        <v>11.8749572570257</v>
      </c>
      <c r="BQ80" s="102">
        <v>16.354152184646399</v>
      </c>
      <c r="BR80" s="102">
        <v>19.346343325019799</v>
      </c>
      <c r="BS80" s="102">
        <v>21.102683063211501</v>
      </c>
      <c r="BT80" s="102">
        <v>31.400765825296801</v>
      </c>
      <c r="BU80" s="102">
        <v>44.012889949330201</v>
      </c>
      <c r="BV80" s="102">
        <v>58.265990728847697</v>
      </c>
      <c r="BW80" s="102">
        <v>62.773500358442398</v>
      </c>
      <c r="BX80" s="102">
        <v>79.456457239955498</v>
      </c>
      <c r="BY80" s="102">
        <v>100.836387633759</v>
      </c>
      <c r="BZ80" s="102">
        <v>120.23075622321301</v>
      </c>
    </row>
    <row r="81" spans="1:78" outlineLevel="1">
      <c r="A81" s="237" t="s">
        <v>218</v>
      </c>
      <c r="B81" s="236" t="s">
        <v>78</v>
      </c>
      <c r="C81" s="191" t="s">
        <v>38</v>
      </c>
      <c r="D81" s="192" t="s">
        <v>78</v>
      </c>
      <c r="E81" s="125">
        <f>HLOOKUP(INPUT!$Q$2,'Tracks Pull'!$X$8:$AJ$138,T81,FALSE)</f>
        <v>14.52907592902713</v>
      </c>
      <c r="F81" s="125">
        <f>HLOOKUP(INPUT!$Q$3,'Tracks Pull'!$X$8:$AJ$138,T81,FALSE)</f>
        <v>11.81749742766098</v>
      </c>
      <c r="G81" s="125">
        <f t="shared" si="13"/>
        <v>2.7115785013661498</v>
      </c>
      <c r="I81" s="125">
        <f>HLOOKUP(INPUT!$Q$2,'Tracks Pull'!$AL$8:$AX$138,T81,FALSE)</f>
        <v>10.7021772532733</v>
      </c>
      <c r="J81" s="125">
        <f>HLOOKUP(INPUT!$Q$3,'Tracks Pull'!$AL$8:$AX$138,T81,FALSE)</f>
        <v>7.1923295093712403</v>
      </c>
      <c r="K81" s="125">
        <f t="shared" si="14"/>
        <v>3.5098477439020597</v>
      </c>
      <c r="M81" s="125">
        <f>HLOOKUP(INPUT!$Q$2,'Tracks Pull'!$AZ$8:$BL$138,T81,FALSE)</f>
        <v>14.52907592902713</v>
      </c>
      <c r="N81" s="125">
        <f>HLOOKUP(INPUT!$Q$3,'Tracks Pull'!$AZ$8:$BL$138,T81,FALSE)</f>
        <v>11.81749742766098</v>
      </c>
      <c r="O81" s="125">
        <f t="shared" si="15"/>
        <v>2.7115785013661498</v>
      </c>
      <c r="Q81" s="125">
        <f>HLOOKUP(INPUT!$Q$2,'Tracks Pull'!$BN$8:$BZ$138,T81,FALSE)</f>
        <v>10.7021772532733</v>
      </c>
      <c r="R81" s="125">
        <f>HLOOKUP(INPUT!$Q$3,'Tracks Pull'!$BN$8:$BZ$138,T81,FALSE)</f>
        <v>7.1923295093712403</v>
      </c>
      <c r="S81" s="125">
        <f t="shared" si="16"/>
        <v>3.5098477439020597</v>
      </c>
      <c r="T81" s="199">
        <v>74</v>
      </c>
      <c r="U81" s="427" t="s">
        <v>38</v>
      </c>
      <c r="V81" s="427" t="s">
        <v>129</v>
      </c>
      <c r="W81" s="502" t="s">
        <v>78</v>
      </c>
      <c r="X81" s="102">
        <v>3.9616089175754299</v>
      </c>
      <c r="Y81" s="102">
        <v>5.4313566752156701</v>
      </c>
      <c r="Z81" s="102">
        <v>6.5091271712283101</v>
      </c>
      <c r="AA81" s="102">
        <v>7.8569523571657509</v>
      </c>
      <c r="AB81" s="102">
        <v>10.246529535784859</v>
      </c>
      <c r="AC81" s="102">
        <v>11.81749742766098</v>
      </c>
      <c r="AD81" s="102">
        <v>14.52907592902713</v>
      </c>
      <c r="AE81" s="102">
        <v>18.467359338614049</v>
      </c>
      <c r="AF81" s="102">
        <v>24.421211095331369</v>
      </c>
      <c r="AG81" s="102">
        <v>31.209794518469693</v>
      </c>
      <c r="AH81" s="102">
        <v>31.660656648417998</v>
      </c>
      <c r="AI81" s="102">
        <v>31.660656648417998</v>
      </c>
      <c r="AJ81" s="178">
        <v>31.660656648417998</v>
      </c>
      <c r="AK81" s="182"/>
      <c r="AL81" s="180">
        <v>2.69964914653097</v>
      </c>
      <c r="AM81" s="102">
        <v>2.13684443797945</v>
      </c>
      <c r="AN81" s="102">
        <v>4.0472865581306996</v>
      </c>
      <c r="AO81" s="102">
        <v>5.5739097728021099</v>
      </c>
      <c r="AP81" s="102">
        <v>6.5937243893664199</v>
      </c>
      <c r="AQ81" s="102">
        <v>7.1923295093712403</v>
      </c>
      <c r="AR81" s="102">
        <v>10.7021772532733</v>
      </c>
      <c r="AS81" s="102">
        <v>15.0007089727434</v>
      </c>
      <c r="AT81" s="102">
        <v>19.858527148256702</v>
      </c>
      <c r="AU81" s="102">
        <v>21.394800731364501</v>
      </c>
      <c r="AV81" s="102">
        <v>27.080775482682</v>
      </c>
      <c r="AW81" s="102">
        <v>34.3675979127514</v>
      </c>
      <c r="AX81" s="102">
        <v>40.977690530060698</v>
      </c>
      <c r="AY81" s="128"/>
      <c r="AZ81" s="102">
        <v>3.9616089175754299</v>
      </c>
      <c r="BA81" s="102">
        <v>5.4313566752156701</v>
      </c>
      <c r="BB81" s="102">
        <v>6.5091271712283101</v>
      </c>
      <c r="BC81" s="102">
        <v>7.8569523571657509</v>
      </c>
      <c r="BD81" s="102">
        <v>10.246529535784859</v>
      </c>
      <c r="BE81" s="102">
        <v>11.81749742766098</v>
      </c>
      <c r="BF81" s="102">
        <v>14.52907592902713</v>
      </c>
      <c r="BG81" s="102">
        <v>18.467359338614049</v>
      </c>
      <c r="BH81" s="102">
        <v>24.421211095331369</v>
      </c>
      <c r="BI81" s="102">
        <v>31.209794518469693</v>
      </c>
      <c r="BJ81" s="102">
        <v>31.660656648417998</v>
      </c>
      <c r="BK81" s="102">
        <v>31.660656648417998</v>
      </c>
      <c r="BL81" s="102">
        <v>31.660656648417998</v>
      </c>
      <c r="BM81" s="128"/>
      <c r="BN81" s="102">
        <v>2.69964914653097</v>
      </c>
      <c r="BO81" s="102">
        <v>2.13684443797945</v>
      </c>
      <c r="BP81" s="102">
        <v>4.0472865581306996</v>
      </c>
      <c r="BQ81" s="102">
        <v>5.5739097728021099</v>
      </c>
      <c r="BR81" s="102">
        <v>6.5937243893664199</v>
      </c>
      <c r="BS81" s="102">
        <v>7.1923295093712403</v>
      </c>
      <c r="BT81" s="102">
        <v>10.7021772532733</v>
      </c>
      <c r="BU81" s="102">
        <v>15.0007089727434</v>
      </c>
      <c r="BV81" s="102">
        <v>19.858527148256702</v>
      </c>
      <c r="BW81" s="102">
        <v>21.394800731364501</v>
      </c>
      <c r="BX81" s="102">
        <v>27.080775482682</v>
      </c>
      <c r="BY81" s="102">
        <v>34.3675979127514</v>
      </c>
      <c r="BZ81" s="102">
        <v>40.977690530060698</v>
      </c>
    </row>
    <row r="82" spans="1:78" outlineLevel="1">
      <c r="A82" s="237" t="s">
        <v>218</v>
      </c>
      <c r="B82" s="236" t="s">
        <v>393</v>
      </c>
      <c r="C82" s="191" t="s">
        <v>38</v>
      </c>
      <c r="D82" s="192" t="s">
        <v>393</v>
      </c>
      <c r="E82" s="125">
        <f>HLOOKUP(INPUT!$Q$2,'Tracks Pull'!$X$8:$AJ$138,T82,FALSE)</f>
        <v>7.7269767512880803</v>
      </c>
      <c r="F82" s="125">
        <f>HLOOKUP(INPUT!$Q$3,'Tracks Pull'!$X$8:$AJ$138,T82,FALSE)</f>
        <v>6.4186519909983808</v>
      </c>
      <c r="G82" s="125">
        <f>E82-F82</f>
        <v>1.3083247602896995</v>
      </c>
      <c r="I82" s="125">
        <f>HLOOKUP(INPUT!$Q$2,'Tracks Pull'!$AL$8:$AX$138,T82,FALSE)</f>
        <v>5.2612154097774697</v>
      </c>
      <c r="J82" s="125">
        <f>HLOOKUP(INPUT!$Q$3,'Tracks Pull'!$AL$8:$AX$138,T82,FALSE)</f>
        <v>3.5357660363294401</v>
      </c>
      <c r="K82" s="125">
        <f>I82-J82</f>
        <v>1.7254493734480296</v>
      </c>
      <c r="M82" s="125">
        <f>HLOOKUP(INPUT!$Q$2,'Tracks Pull'!$AZ$8:$BL$138,T82,FALSE)</f>
        <v>7.7269767512880803</v>
      </c>
      <c r="N82" s="125">
        <f>HLOOKUP(INPUT!$Q$3,'Tracks Pull'!$AZ$8:$BL$138,T82,FALSE)</f>
        <v>6.4186519909983808</v>
      </c>
      <c r="O82" s="125">
        <f>M82-N82</f>
        <v>1.3083247602896995</v>
      </c>
      <c r="Q82" s="125">
        <f>HLOOKUP(INPUT!$Q$2,'Tracks Pull'!$BN$8:$BZ$138,T82,FALSE)</f>
        <v>5.2612154097774697</v>
      </c>
      <c r="R82" s="125">
        <f>HLOOKUP(INPUT!$Q$3,'Tracks Pull'!$BN$8:$BZ$138,T82,FALSE)</f>
        <v>3.5357660363294401</v>
      </c>
      <c r="S82" s="125">
        <f>Q82-R82</f>
        <v>1.7254493734480296</v>
      </c>
      <c r="T82" s="109">
        <v>75</v>
      </c>
      <c r="U82" s="427" t="s">
        <v>38</v>
      </c>
      <c r="V82" s="427" t="s">
        <v>129</v>
      </c>
      <c r="W82" s="502" t="s">
        <v>393</v>
      </c>
      <c r="X82" s="102">
        <v>2.3411362616613598</v>
      </c>
      <c r="Y82" s="102">
        <v>3.2926022148840657</v>
      </c>
      <c r="Z82" s="102">
        <v>3.8821480637487742</v>
      </c>
      <c r="AA82" s="102">
        <v>4.6545266907574918</v>
      </c>
      <c r="AB82" s="102">
        <v>5.6533283123374103</v>
      </c>
      <c r="AC82" s="102">
        <v>6.4186519909983808</v>
      </c>
      <c r="AD82" s="102">
        <v>7.7269767512880803</v>
      </c>
      <c r="AE82" s="102">
        <v>9.8052055389760095</v>
      </c>
      <c r="AF82" s="102">
        <v>11.983849600624229</v>
      </c>
      <c r="AG82" s="102">
        <v>14.385457173551679</v>
      </c>
      <c r="AH82" s="102">
        <v>14.869020653535181</v>
      </c>
      <c r="AI82" s="102">
        <v>14.869020653535181</v>
      </c>
      <c r="AJ82" s="178">
        <v>14.869020653535181</v>
      </c>
      <c r="AK82" s="182"/>
      <c r="AL82" s="180">
        <v>1.32715384492227</v>
      </c>
      <c r="AM82" s="102">
        <v>1.05047773171167</v>
      </c>
      <c r="AN82" s="102">
        <v>1.9896555535846401</v>
      </c>
      <c r="AO82" s="102">
        <v>2.7401471023483901</v>
      </c>
      <c r="AP82" s="102">
        <v>3.2414903569785101</v>
      </c>
      <c r="AQ82" s="102">
        <v>3.5357660363294401</v>
      </c>
      <c r="AR82" s="102">
        <v>5.2612154097774697</v>
      </c>
      <c r="AS82" s="102">
        <v>7.37438367327041</v>
      </c>
      <c r="AT82" s="102">
        <v>9.7624984687986398</v>
      </c>
      <c r="AU82" s="102">
        <v>10.517734161293699</v>
      </c>
      <c r="AV82" s="102">
        <v>13.3129726696157</v>
      </c>
      <c r="AW82" s="102">
        <v>16.8951916471296</v>
      </c>
      <c r="AX82" s="102">
        <v>20.144728663310801</v>
      </c>
      <c r="AY82" s="128"/>
      <c r="AZ82" s="102">
        <v>2.3411362616613598</v>
      </c>
      <c r="BA82" s="102">
        <v>3.2926022148840657</v>
      </c>
      <c r="BB82" s="102">
        <v>3.8821480637487742</v>
      </c>
      <c r="BC82" s="102">
        <v>4.6545266907574918</v>
      </c>
      <c r="BD82" s="102">
        <v>5.6533283123374103</v>
      </c>
      <c r="BE82" s="102">
        <v>6.4186519909983808</v>
      </c>
      <c r="BF82" s="102">
        <v>7.7269767512880803</v>
      </c>
      <c r="BG82" s="102">
        <v>9.8052055389760095</v>
      </c>
      <c r="BH82" s="102">
        <v>11.983849600624229</v>
      </c>
      <c r="BI82" s="102">
        <v>14.385457173551679</v>
      </c>
      <c r="BJ82" s="102">
        <v>14.869020653535181</v>
      </c>
      <c r="BK82" s="102">
        <v>14.869020653535181</v>
      </c>
      <c r="BL82" s="102">
        <v>14.869020653535181</v>
      </c>
      <c r="BM82" s="128"/>
      <c r="BN82" s="102">
        <v>1.32715384492227</v>
      </c>
      <c r="BO82" s="102">
        <v>1.05047773171167</v>
      </c>
      <c r="BP82" s="102">
        <v>1.9896555535846401</v>
      </c>
      <c r="BQ82" s="102">
        <v>2.7401471023483901</v>
      </c>
      <c r="BR82" s="102">
        <v>3.2414903569785101</v>
      </c>
      <c r="BS82" s="102">
        <v>3.5357660363294401</v>
      </c>
      <c r="BT82" s="102">
        <v>5.2612154097774697</v>
      </c>
      <c r="BU82" s="102">
        <v>7.37438367327041</v>
      </c>
      <c r="BV82" s="102">
        <v>9.7624984687986398</v>
      </c>
      <c r="BW82" s="102">
        <v>10.517734161293699</v>
      </c>
      <c r="BX82" s="102">
        <v>13.3129726696157</v>
      </c>
      <c r="BY82" s="102">
        <v>16.8951916471296</v>
      </c>
      <c r="BZ82" s="102">
        <v>20.144728663310801</v>
      </c>
    </row>
    <row r="83" spans="1:78" outlineLevel="1">
      <c r="A83" s="237" t="s">
        <v>218</v>
      </c>
      <c r="B83" s="236" t="s">
        <v>80</v>
      </c>
      <c r="C83" s="191" t="s">
        <v>38</v>
      </c>
      <c r="D83" s="193" t="s">
        <v>80</v>
      </c>
      <c r="E83" s="125">
        <f>HLOOKUP(INPUT!$Q$2,'Tracks Pull'!$X$8:$AJ$138,T83,FALSE)</f>
        <v>0.69988484370149107</v>
      </c>
      <c r="F83" s="125">
        <f>HLOOKUP(INPUT!$Q$3,'Tracks Pull'!$X$8:$AJ$138,T83,FALSE)</f>
        <v>0.55768919039958198</v>
      </c>
      <c r="G83" s="125">
        <f t="shared" si="13"/>
        <v>0.14219565330190909</v>
      </c>
      <c r="I83" s="125">
        <f>HLOOKUP(INPUT!$Q$2,'Tracks Pull'!$AL$8:$AX$138,T83,FALSE)</f>
        <v>-2.88390203787031</v>
      </c>
      <c r="J83" s="125">
        <f>HLOOKUP(INPUT!$Q$3,'Tracks Pull'!$AL$8:$AX$138,T83,FALSE)</f>
        <v>-1.9381078483601499</v>
      </c>
      <c r="K83" s="125">
        <f t="shared" si="14"/>
        <v>-0.94579418951016003</v>
      </c>
      <c r="M83" s="125">
        <f>HLOOKUP(INPUT!$Q$2,'Tracks Pull'!$AZ$8:$BL$138,T83,FALSE)</f>
        <v>0.69988484370149107</v>
      </c>
      <c r="N83" s="125">
        <f>HLOOKUP(INPUT!$Q$3,'Tracks Pull'!$AZ$8:$BL$138,T83,FALSE)</f>
        <v>0.55768919039958198</v>
      </c>
      <c r="O83" s="125">
        <f t="shared" si="15"/>
        <v>0.14219565330190909</v>
      </c>
      <c r="Q83" s="125">
        <f>HLOOKUP(INPUT!$Q$2,'Tracks Pull'!$BN$8:$BZ$138,T83,FALSE)</f>
        <v>-2.88390203787031</v>
      </c>
      <c r="R83" s="125">
        <f>HLOOKUP(INPUT!$Q$3,'Tracks Pull'!$BN$8:$BZ$138,T83,FALSE)</f>
        <v>-1.9381078483601499</v>
      </c>
      <c r="S83" s="125">
        <f t="shared" si="16"/>
        <v>-0.94579418951016003</v>
      </c>
      <c r="T83" s="199">
        <v>76</v>
      </c>
      <c r="U83" s="191" t="s">
        <v>38</v>
      </c>
      <c r="V83" s="191" t="s">
        <v>129</v>
      </c>
      <c r="W83" s="193" t="s">
        <v>80</v>
      </c>
      <c r="X83" s="102">
        <v>0.170566828839704</v>
      </c>
      <c r="Y83" s="102">
        <v>0.226672414783544</v>
      </c>
      <c r="Z83" s="102">
        <v>0.27717467097440901</v>
      </c>
      <c r="AA83" s="102">
        <v>0.33729291808092998</v>
      </c>
      <c r="AB83" s="102">
        <v>0.47594237366680597</v>
      </c>
      <c r="AC83" s="102">
        <v>0.55768919039958198</v>
      </c>
      <c r="AD83" s="102">
        <v>0.69988484370149107</v>
      </c>
      <c r="AE83" s="102">
        <v>0.89100440268527092</v>
      </c>
      <c r="AF83" s="102">
        <v>1.263283808268725</v>
      </c>
      <c r="AG83" s="102">
        <v>1.6948942700539409</v>
      </c>
      <c r="AH83" s="102">
        <v>1.695518051187858</v>
      </c>
      <c r="AI83" s="102">
        <v>1.695518051187858</v>
      </c>
      <c r="AJ83" s="178">
        <v>1.695518051187858</v>
      </c>
      <c r="AK83" s="182"/>
      <c r="AL83" s="180">
        <v>-0.72747100809176501</v>
      </c>
      <c r="AM83" s="102">
        <v>-0.57581274197415799</v>
      </c>
      <c r="AN83" s="102">
        <v>-1.0906171404765601</v>
      </c>
      <c r="AO83" s="102">
        <v>-1.5019943486520699</v>
      </c>
      <c r="AP83" s="102">
        <v>-1.77680249108497</v>
      </c>
      <c r="AQ83" s="102">
        <v>-1.9381078483601499</v>
      </c>
      <c r="AR83" s="102">
        <v>-2.88390203787031</v>
      </c>
      <c r="AS83" s="102">
        <v>-4.0422218911355197</v>
      </c>
      <c r="AT83" s="102">
        <v>-5.3512519515077104</v>
      </c>
      <c r="AU83" s="102">
        <v>-5.7652296321423604</v>
      </c>
      <c r="AV83" s="102">
        <v>-7.2974219874491402</v>
      </c>
      <c r="AW83" s="102">
        <v>-9.2609927224833495</v>
      </c>
      <c r="AX83" s="102">
        <v>-11.04220593905</v>
      </c>
      <c r="AY83" s="128"/>
      <c r="AZ83" s="102">
        <v>0.170566828839704</v>
      </c>
      <c r="BA83" s="102">
        <v>0.226672414783544</v>
      </c>
      <c r="BB83" s="102">
        <v>0.27717467097440901</v>
      </c>
      <c r="BC83" s="102">
        <v>0.33729291808092998</v>
      </c>
      <c r="BD83" s="102">
        <v>0.47594237366680597</v>
      </c>
      <c r="BE83" s="102">
        <v>0.55768919039958198</v>
      </c>
      <c r="BF83" s="102">
        <v>0.69988484370149107</v>
      </c>
      <c r="BG83" s="102">
        <v>0.89100440268527092</v>
      </c>
      <c r="BH83" s="102">
        <v>1.263283808268725</v>
      </c>
      <c r="BI83" s="102">
        <v>1.6948942700539409</v>
      </c>
      <c r="BJ83" s="102">
        <v>1.695518051187858</v>
      </c>
      <c r="BK83" s="102">
        <v>1.695518051187858</v>
      </c>
      <c r="BL83" s="102">
        <v>1.695518051187858</v>
      </c>
      <c r="BM83" s="128"/>
      <c r="BN83" s="102">
        <v>-0.72747100809176501</v>
      </c>
      <c r="BO83" s="102">
        <v>-0.57581274197415799</v>
      </c>
      <c r="BP83" s="102">
        <v>-1.0906171404765601</v>
      </c>
      <c r="BQ83" s="102">
        <v>-1.5019943486520699</v>
      </c>
      <c r="BR83" s="102">
        <v>-1.77680249108497</v>
      </c>
      <c r="BS83" s="102">
        <v>-1.9381078483601499</v>
      </c>
      <c r="BT83" s="102">
        <v>-2.88390203787031</v>
      </c>
      <c r="BU83" s="102">
        <v>-4.0422218911355197</v>
      </c>
      <c r="BV83" s="102">
        <v>-5.3512519515077104</v>
      </c>
      <c r="BW83" s="102">
        <v>-5.7652296321423604</v>
      </c>
      <c r="BX83" s="102">
        <v>-7.2974219874491402</v>
      </c>
      <c r="BY83" s="102">
        <v>-9.2609927224833495</v>
      </c>
      <c r="BZ83" s="102">
        <v>-11.04220593905</v>
      </c>
    </row>
    <row r="84" spans="1:78" outlineLevel="1">
      <c r="A84" s="237" t="s">
        <v>218</v>
      </c>
      <c r="B84" s="236" t="s">
        <v>104</v>
      </c>
      <c r="C84" s="191" t="s">
        <v>38</v>
      </c>
      <c r="D84" s="190" t="s">
        <v>24</v>
      </c>
      <c r="E84" s="125">
        <f>HLOOKUP(INPUT!$Q$2,'Tracks Pull'!$X$8:$AJ$138,T84,FALSE)</f>
        <v>20.88959078073939</v>
      </c>
      <c r="F84" s="125">
        <f>HLOOKUP(INPUT!$Q$3,'Tracks Pull'!$X$8:$AJ$138,T84,FALSE)</f>
        <v>16.913705569364481</v>
      </c>
      <c r="G84" s="125">
        <f t="shared" si="13"/>
        <v>3.9758852113749086</v>
      </c>
      <c r="I84" s="125">
        <f>HLOOKUP(INPUT!$Q$2,'Tracks Pull'!$AL$8:$AX$138,T84,FALSE)</f>
        <v>6.61909442670399</v>
      </c>
      <c r="J84" s="125">
        <f>HLOOKUP(INPUT!$Q$3,'Tracks Pull'!$AL$8:$AX$138,T84,FALSE)</f>
        <v>4.44831991134674</v>
      </c>
      <c r="K84" s="125">
        <f t="shared" si="14"/>
        <v>2.17077451535725</v>
      </c>
      <c r="M84" s="125">
        <f>HLOOKUP(INPUT!$Q$2,'Tracks Pull'!$AZ$8:$BL$138,T84,FALSE)</f>
        <v>20.88959078073939</v>
      </c>
      <c r="N84" s="125">
        <f>HLOOKUP(INPUT!$Q$3,'Tracks Pull'!$AZ$8:$BL$138,T84,FALSE)</f>
        <v>16.913705569364481</v>
      </c>
      <c r="O84" s="125">
        <f t="shared" si="15"/>
        <v>3.9758852113749086</v>
      </c>
      <c r="Q84" s="125">
        <f>HLOOKUP(INPUT!$Q$2,'Tracks Pull'!$BN$8:$BZ$138,T84,FALSE)</f>
        <v>6.61909442670399</v>
      </c>
      <c r="R84" s="125">
        <f>HLOOKUP(INPUT!$Q$3,'Tracks Pull'!$BN$8:$BZ$138,T84,FALSE)</f>
        <v>4.44831991134674</v>
      </c>
      <c r="S84" s="125">
        <f t="shared" si="16"/>
        <v>2.17077451535725</v>
      </c>
      <c r="T84" s="109">
        <v>77</v>
      </c>
      <c r="U84" s="191" t="s">
        <v>38</v>
      </c>
      <c r="V84" s="191" t="s">
        <v>129</v>
      </c>
      <c r="W84" s="192" t="s">
        <v>405</v>
      </c>
      <c r="X84" s="102">
        <v>5.5606697786978803</v>
      </c>
      <c r="Y84" s="102">
        <v>7.5757948080054094</v>
      </c>
      <c r="Z84" s="102">
        <v>9.1159457861993598</v>
      </c>
      <c r="AA84" s="102">
        <v>11.02173641225551</v>
      </c>
      <c r="AB84" s="102">
        <v>14.61449178655216</v>
      </c>
      <c r="AC84" s="102">
        <v>16.913705569364481</v>
      </c>
      <c r="AD84" s="102">
        <v>20.88959078073939</v>
      </c>
      <c r="AE84" s="102">
        <v>26.56135912053227</v>
      </c>
      <c r="AF84" s="102">
        <v>35.692006780833132</v>
      </c>
      <c r="AG84" s="102">
        <v>46.150397951019897</v>
      </c>
      <c r="AH84" s="102">
        <v>46.657882384173597</v>
      </c>
      <c r="AI84" s="102">
        <v>46.657882384173597</v>
      </c>
      <c r="AJ84" s="178">
        <v>46.657882384173597</v>
      </c>
      <c r="AK84" s="182"/>
      <c r="AL84" s="180">
        <v>1.66968199058691</v>
      </c>
      <c r="AM84" s="102">
        <v>1.32159791184894</v>
      </c>
      <c r="AN84" s="102">
        <v>2.5031702677138199</v>
      </c>
      <c r="AO84" s="102">
        <v>3.4473578823244702</v>
      </c>
      <c r="AP84" s="102">
        <v>4.0780939545295398</v>
      </c>
      <c r="AQ84" s="102">
        <v>4.44831991134674</v>
      </c>
      <c r="AR84" s="102">
        <v>6.61909442670399</v>
      </c>
      <c r="AS84" s="102">
        <v>9.2776550797386097</v>
      </c>
      <c r="AT84" s="102">
        <v>12.2821238388079</v>
      </c>
      <c r="AU84" s="102">
        <v>13.2322800239647</v>
      </c>
      <c r="AV84" s="102">
        <v>16.748947978171199</v>
      </c>
      <c r="AW84" s="102">
        <v>21.255709975642599</v>
      </c>
      <c r="AX84" s="102">
        <v>25.343927369897301</v>
      </c>
      <c r="AY84" s="128"/>
      <c r="AZ84" s="102">
        <v>5.5606697786978803</v>
      </c>
      <c r="BA84" s="102">
        <v>7.5757948080054094</v>
      </c>
      <c r="BB84" s="102">
        <v>9.1159457861993598</v>
      </c>
      <c r="BC84" s="102">
        <v>11.02173641225551</v>
      </c>
      <c r="BD84" s="102">
        <v>14.61449178655216</v>
      </c>
      <c r="BE84" s="102">
        <v>16.913705569364481</v>
      </c>
      <c r="BF84" s="102">
        <v>20.88959078073939</v>
      </c>
      <c r="BG84" s="102">
        <v>26.56135912053227</v>
      </c>
      <c r="BH84" s="102">
        <v>35.692006780833132</v>
      </c>
      <c r="BI84" s="102">
        <v>46.150397951019897</v>
      </c>
      <c r="BJ84" s="102">
        <v>46.657882384173597</v>
      </c>
      <c r="BK84" s="102">
        <v>46.657882384173597</v>
      </c>
      <c r="BL84" s="102">
        <v>46.657882384173597</v>
      </c>
      <c r="BM84" s="128"/>
      <c r="BN84" s="102">
        <v>1.66968199058691</v>
      </c>
      <c r="BO84" s="102">
        <v>1.32159791184894</v>
      </c>
      <c r="BP84" s="102">
        <v>2.5031702677138199</v>
      </c>
      <c r="BQ84" s="102">
        <v>3.4473578823244702</v>
      </c>
      <c r="BR84" s="102">
        <v>4.0780939545295398</v>
      </c>
      <c r="BS84" s="102">
        <v>4.44831991134674</v>
      </c>
      <c r="BT84" s="102">
        <v>6.61909442670399</v>
      </c>
      <c r="BU84" s="102">
        <v>9.2776550797386097</v>
      </c>
      <c r="BV84" s="102">
        <v>12.2821238388079</v>
      </c>
      <c r="BW84" s="102">
        <v>13.2322800239647</v>
      </c>
      <c r="BX84" s="102">
        <v>16.748947978171199</v>
      </c>
      <c r="BY84" s="102">
        <v>21.255709975642599</v>
      </c>
      <c r="BZ84" s="102">
        <v>25.343927369897301</v>
      </c>
    </row>
    <row r="85" spans="1:78" outlineLevel="1">
      <c r="A85" s="237" t="s">
        <v>218</v>
      </c>
      <c r="B85" s="236" t="s">
        <v>105</v>
      </c>
      <c r="C85" s="191" t="s">
        <v>38</v>
      </c>
      <c r="D85" s="190" t="s">
        <v>130</v>
      </c>
      <c r="E85" s="125">
        <f>HLOOKUP(INPUT!$Q$2,'Tracks Pull'!$X$8:$AJ$138,T85,FALSE)</f>
        <v>24.346205039057949</v>
      </c>
      <c r="F85" s="125">
        <f>HLOOKUP(INPUT!$Q$3,'Tracks Pull'!$X$8:$AJ$138,T85,FALSE)</f>
        <v>20.020129489738508</v>
      </c>
      <c r="G85" s="125">
        <f t="shared" si="13"/>
        <v>4.3260755493194409</v>
      </c>
      <c r="I85" s="125">
        <f>HLOOKUP(INPUT!$Q$2,'Tracks Pull'!$AL$8:$AX$138,T85,FALSE)</f>
        <v>11.1513998877618</v>
      </c>
      <c r="J85" s="125">
        <f>HLOOKUP(INPUT!$Q$3,'Tracks Pull'!$AL$8:$AX$138,T85,FALSE)</f>
        <v>7.4942266966301103</v>
      </c>
      <c r="K85" s="125">
        <f t="shared" si="14"/>
        <v>3.6571731911316894</v>
      </c>
      <c r="M85" s="125">
        <f>HLOOKUP(INPUT!$Q$2,'Tracks Pull'!$AZ$8:$BL$138,T85,FALSE)</f>
        <v>24.346205039057949</v>
      </c>
      <c r="N85" s="125">
        <f>HLOOKUP(INPUT!$Q$3,'Tracks Pull'!$AZ$8:$BL$138,T85,FALSE)</f>
        <v>20.020129489738508</v>
      </c>
      <c r="O85" s="125">
        <f t="shared" si="15"/>
        <v>4.3260755493194409</v>
      </c>
      <c r="Q85" s="125">
        <f>HLOOKUP(INPUT!$Q$2,'Tracks Pull'!$BN$8:$BZ$138,T85,FALSE)</f>
        <v>11.1513998877618</v>
      </c>
      <c r="R85" s="125">
        <f>HLOOKUP(INPUT!$Q$3,'Tracks Pull'!$BN$8:$BZ$138,T85,FALSE)</f>
        <v>7.4942266966301103</v>
      </c>
      <c r="S85" s="125">
        <f t="shared" si="16"/>
        <v>3.6571731911316894</v>
      </c>
      <c r="T85" s="199">
        <v>78</v>
      </c>
      <c r="U85" s="191" t="s">
        <v>38</v>
      </c>
      <c r="V85" s="191" t="s">
        <v>129</v>
      </c>
      <c r="W85" s="190" t="s">
        <v>105</v>
      </c>
      <c r="X85" s="102">
        <v>7.0196031039130293</v>
      </c>
      <c r="Y85" s="102">
        <v>9.7587796331675598</v>
      </c>
      <c r="Z85" s="102">
        <v>11.59140477957402</v>
      </c>
      <c r="AA85" s="102">
        <v>13.940364290221719</v>
      </c>
      <c r="AB85" s="102">
        <v>17.501851777329861</v>
      </c>
      <c r="AC85" s="102">
        <v>20.020129489738508</v>
      </c>
      <c r="AD85" s="102">
        <v>24.346205039057949</v>
      </c>
      <c r="AE85" s="102">
        <v>30.919076855434596</v>
      </c>
      <c r="AF85" s="102">
        <v>39.288446395073201</v>
      </c>
      <c r="AG85" s="102">
        <v>48.696978436890504</v>
      </c>
      <c r="AH85" s="102">
        <v>49.849192131598102</v>
      </c>
      <c r="AI85" s="102">
        <v>49.849192131598102</v>
      </c>
      <c r="AJ85" s="178">
        <v>49.849192131598102</v>
      </c>
      <c r="AK85" s="182"/>
      <c r="AL85" s="180">
        <v>2.8129666026989</v>
      </c>
      <c r="AM85" s="102">
        <v>2.2265382325414498</v>
      </c>
      <c r="AN85" s="102">
        <v>4.2171709365282997</v>
      </c>
      <c r="AO85" s="102">
        <v>5.8078739815124001</v>
      </c>
      <c r="AP85" s="102">
        <v>6.8704951969491699</v>
      </c>
      <c r="AQ85" s="102">
        <v>7.4942266966301103</v>
      </c>
      <c r="AR85" s="102">
        <v>11.1513998877618</v>
      </c>
      <c r="AS85" s="102">
        <v>15.6303619717974</v>
      </c>
      <c r="AT85" s="102">
        <v>20.692086495245899</v>
      </c>
      <c r="AU85" s="102">
        <v>22.292844981749202</v>
      </c>
      <c r="AV85" s="102">
        <v>28.217487856101201</v>
      </c>
      <c r="AW85" s="102">
        <v>35.810173802688702</v>
      </c>
      <c r="AX85" s="102">
        <v>42.697724282028098</v>
      </c>
      <c r="AY85" s="128"/>
      <c r="AZ85" s="102">
        <v>7.0196031039130293</v>
      </c>
      <c r="BA85" s="102">
        <v>9.7587796331675598</v>
      </c>
      <c r="BB85" s="102">
        <v>11.59140477957402</v>
      </c>
      <c r="BC85" s="102">
        <v>13.940364290221719</v>
      </c>
      <c r="BD85" s="102">
        <v>17.501851777329861</v>
      </c>
      <c r="BE85" s="102">
        <v>20.020129489738508</v>
      </c>
      <c r="BF85" s="102">
        <v>24.346205039057949</v>
      </c>
      <c r="BG85" s="102">
        <v>30.919076855434596</v>
      </c>
      <c r="BH85" s="102">
        <v>39.288446395073201</v>
      </c>
      <c r="BI85" s="102">
        <v>48.696978436890504</v>
      </c>
      <c r="BJ85" s="102">
        <v>49.849192131598102</v>
      </c>
      <c r="BK85" s="102">
        <v>49.849192131598102</v>
      </c>
      <c r="BL85" s="102">
        <v>49.849192131598102</v>
      </c>
      <c r="BM85" s="128"/>
      <c r="BN85" s="102">
        <v>2.8129666026989</v>
      </c>
      <c r="BO85" s="102">
        <v>2.2265382325414498</v>
      </c>
      <c r="BP85" s="102">
        <v>4.2171709365282997</v>
      </c>
      <c r="BQ85" s="102">
        <v>5.8078739815124001</v>
      </c>
      <c r="BR85" s="102">
        <v>6.8704951969491699</v>
      </c>
      <c r="BS85" s="102">
        <v>7.4942266966301103</v>
      </c>
      <c r="BT85" s="102">
        <v>11.1513998877618</v>
      </c>
      <c r="BU85" s="102">
        <v>15.6303619717974</v>
      </c>
      <c r="BV85" s="102">
        <v>20.692086495245899</v>
      </c>
      <c r="BW85" s="102">
        <v>22.292844981749202</v>
      </c>
      <c r="BX85" s="102">
        <v>28.217487856101201</v>
      </c>
      <c r="BY85" s="102">
        <v>35.810173802688702</v>
      </c>
      <c r="BZ85" s="102">
        <v>42.697724282028098</v>
      </c>
    </row>
    <row r="86" spans="1:78">
      <c r="A86" s="237" t="s">
        <v>218</v>
      </c>
      <c r="B86" s="236" t="s">
        <v>26</v>
      </c>
      <c r="C86" s="191" t="s">
        <v>38</v>
      </c>
      <c r="D86" s="191" t="s">
        <v>26</v>
      </c>
      <c r="E86" s="123">
        <f>HLOOKUP(INPUT!$Q$2,'Tracks Pull'!$X$8:$AJ$138,T86,FALSE)</f>
        <v>168.09561845667241</v>
      </c>
      <c r="F86" s="123">
        <f>HLOOKUP(INPUT!$Q$3,'Tracks Pull'!$X$8:$AJ$138,T86,FALSE)</f>
        <v>128.10645604916357</v>
      </c>
      <c r="G86" s="123">
        <f t="shared" si="13"/>
        <v>39.989162407508843</v>
      </c>
      <c r="I86" s="123">
        <f>HLOOKUP(INPUT!$Q$2,'Tracks Pull'!$AL$8:$AX$138,T86,FALSE)</f>
        <v>111.10463188711684</v>
      </c>
      <c r="J86" s="123">
        <f>HLOOKUP(INPUT!$Q$3,'Tracks Pull'!$AL$8:$AX$138,T86,FALSE)</f>
        <v>77.754428777710856</v>
      </c>
      <c r="K86" s="123">
        <f t="shared" si="14"/>
        <v>33.350203109405982</v>
      </c>
      <c r="M86" s="123">
        <f>HLOOKUP(INPUT!$Q$2,'Tracks Pull'!$AZ$8:$BL$138,T86,FALSE)</f>
        <v>168.09561845667241</v>
      </c>
      <c r="N86" s="123">
        <f>HLOOKUP(INPUT!$Q$3,'Tracks Pull'!$AZ$8:$BL$138,T86,FALSE)</f>
        <v>128.10645604916357</v>
      </c>
      <c r="O86" s="123">
        <f t="shared" si="15"/>
        <v>39.989162407508843</v>
      </c>
      <c r="Q86" s="123">
        <f>HLOOKUP(INPUT!$Q$2,'Tracks Pull'!$BN$8:$BZ$138,T86,FALSE)</f>
        <v>111.10463188711684</v>
      </c>
      <c r="R86" s="123">
        <f>HLOOKUP(INPUT!$Q$3,'Tracks Pull'!$BN$8:$BZ$138,T86,FALSE)</f>
        <v>77.754428777710856</v>
      </c>
      <c r="S86" s="123">
        <f t="shared" si="16"/>
        <v>33.350203109405982</v>
      </c>
      <c r="T86" s="109">
        <v>79</v>
      </c>
      <c r="U86" s="191" t="s">
        <v>38</v>
      </c>
      <c r="V86" s="191" t="s">
        <v>129</v>
      </c>
      <c r="W86" s="191" t="s">
        <v>26</v>
      </c>
      <c r="X86" s="102">
        <v>38.541109466422611</v>
      </c>
      <c r="Y86" s="102">
        <v>51.294854900961973</v>
      </c>
      <c r="Z86" s="102">
        <v>64.368557307835289</v>
      </c>
      <c r="AA86" s="102">
        <v>79.386696706901247</v>
      </c>
      <c r="AB86" s="102">
        <v>107.29492040631985</v>
      </c>
      <c r="AC86" s="102">
        <v>128.10645604916357</v>
      </c>
      <c r="AD86" s="102">
        <v>168.09561845667241</v>
      </c>
      <c r="AE86" s="102">
        <v>198.55546197825629</v>
      </c>
      <c r="AF86" s="102">
        <v>240.39882635084675</v>
      </c>
      <c r="AG86" s="102">
        <v>275.24710302676624</v>
      </c>
      <c r="AH86" s="102">
        <v>290.40702266451137</v>
      </c>
      <c r="AI86" s="102">
        <v>290.40702266451137</v>
      </c>
      <c r="AJ86" s="178">
        <v>290.40702266451137</v>
      </c>
      <c r="AK86" s="182"/>
      <c r="AL86" s="180">
        <v>20.524025353786989</v>
      </c>
      <c r="AM86" s="102">
        <v>25.612342133173211</v>
      </c>
      <c r="AN86" s="102">
        <v>35.113522087661885</v>
      </c>
      <c r="AO86" s="102">
        <v>56.313107890582437</v>
      </c>
      <c r="AP86" s="102">
        <v>71.859580524225109</v>
      </c>
      <c r="AQ86" s="102">
        <v>77.754428777710856</v>
      </c>
      <c r="AR86" s="102">
        <v>111.10463188711684</v>
      </c>
      <c r="AS86" s="102">
        <v>162.20961750503452</v>
      </c>
      <c r="AT86" s="102">
        <v>198.81869963896361</v>
      </c>
      <c r="AU86" s="102">
        <v>210.03951070722061</v>
      </c>
      <c r="AV86" s="102">
        <v>239.31550600425021</v>
      </c>
      <c r="AW86" s="102">
        <v>272.58454505397992</v>
      </c>
      <c r="AX86" s="102">
        <v>331.4655081133543</v>
      </c>
      <c r="AY86" s="128"/>
      <c r="AZ86" s="102">
        <v>38.541109466422611</v>
      </c>
      <c r="BA86" s="102">
        <v>51.294854900961973</v>
      </c>
      <c r="BB86" s="102">
        <v>64.368557307835289</v>
      </c>
      <c r="BC86" s="102">
        <v>79.386696706901247</v>
      </c>
      <c r="BD86" s="102">
        <v>107.29492040631985</v>
      </c>
      <c r="BE86" s="102">
        <v>128.10645604916357</v>
      </c>
      <c r="BF86" s="102">
        <v>168.09561845667241</v>
      </c>
      <c r="BG86" s="102">
        <v>198.55546197825629</v>
      </c>
      <c r="BH86" s="102">
        <v>240.39882635084675</v>
      </c>
      <c r="BI86" s="102">
        <v>275.24710302676624</v>
      </c>
      <c r="BJ86" s="102">
        <v>290.40702266451137</v>
      </c>
      <c r="BK86" s="102">
        <v>290.40702266451137</v>
      </c>
      <c r="BL86" s="102">
        <v>290.40702266451137</v>
      </c>
      <c r="BM86" s="128"/>
      <c r="BN86" s="102">
        <v>20.524025353786989</v>
      </c>
      <c r="BO86" s="102">
        <v>25.612342133173211</v>
      </c>
      <c r="BP86" s="102">
        <v>35.113522087661885</v>
      </c>
      <c r="BQ86" s="102">
        <v>56.313107890582437</v>
      </c>
      <c r="BR86" s="102">
        <v>71.859580524225109</v>
      </c>
      <c r="BS86" s="102">
        <v>77.754428777710856</v>
      </c>
      <c r="BT86" s="102">
        <v>111.10463188711684</v>
      </c>
      <c r="BU86" s="102">
        <v>162.20961750503452</v>
      </c>
      <c r="BV86" s="102">
        <v>198.81869963896361</v>
      </c>
      <c r="BW86" s="102">
        <v>210.03951070722061</v>
      </c>
      <c r="BX86" s="102">
        <v>239.31550600425021</v>
      </c>
      <c r="BY86" s="102">
        <v>272.58454505397992</v>
      </c>
      <c r="BZ86" s="102">
        <v>331.4655081133543</v>
      </c>
    </row>
    <row r="87" spans="1:78" outlineLevel="1">
      <c r="A87" s="237" t="s">
        <v>218</v>
      </c>
      <c r="B87" s="236" t="s">
        <v>235</v>
      </c>
      <c r="C87" s="191" t="s">
        <v>38</v>
      </c>
      <c r="D87" s="190" t="s">
        <v>139</v>
      </c>
      <c r="E87" s="125">
        <f>HLOOKUP(INPUT!$Q$2,'Tracks Pull'!$X$8:$AJ$138,T87,FALSE)</f>
        <v>44.0924149340021</v>
      </c>
      <c r="F87" s="125">
        <f>HLOOKUP(INPUT!$Q$3,'Tracks Pull'!$X$8:$AJ$138,T87,FALSE)</f>
        <v>33.583185104883903</v>
      </c>
      <c r="G87" s="125">
        <f t="shared" si="13"/>
        <v>10.509229829118198</v>
      </c>
      <c r="I87" s="125">
        <f>HLOOKUP(INPUT!$Q$2,'Tracks Pull'!$AL$8:$AX$138,T87,FALSE)</f>
        <v>28.480584843588101</v>
      </c>
      <c r="J87" s="125">
        <f>HLOOKUP(INPUT!$Q$3,'Tracks Pull'!$AL$8:$AX$138,T87,FALSE)</f>
        <v>19.9315867228493</v>
      </c>
      <c r="K87" s="125">
        <f t="shared" si="14"/>
        <v>8.5489981207388013</v>
      </c>
      <c r="M87" s="125">
        <f>HLOOKUP(INPUT!$Q$2,'Tracks Pull'!$AZ$8:$BL$138,T87,FALSE)</f>
        <v>44.0924149340021</v>
      </c>
      <c r="N87" s="125">
        <f>HLOOKUP(INPUT!$Q$3,'Tracks Pull'!$AZ$8:$BL$138,T87,FALSE)</f>
        <v>33.583185104883903</v>
      </c>
      <c r="O87" s="125">
        <f t="shared" si="15"/>
        <v>10.509229829118198</v>
      </c>
      <c r="Q87" s="125">
        <f>HLOOKUP(INPUT!$Q$2,'Tracks Pull'!$BN$8:$BZ$138,T87,FALSE)</f>
        <v>28.480584843588101</v>
      </c>
      <c r="R87" s="125">
        <f>HLOOKUP(INPUT!$Q$3,'Tracks Pull'!$BN$8:$BZ$138,T87,FALSE)</f>
        <v>19.9315867228493</v>
      </c>
      <c r="S87" s="125">
        <f t="shared" si="16"/>
        <v>8.5489981207388013</v>
      </c>
      <c r="T87" s="199">
        <v>80</v>
      </c>
      <c r="U87" s="191" t="s">
        <v>38</v>
      </c>
      <c r="V87" s="191" t="s">
        <v>129</v>
      </c>
      <c r="W87" s="190" t="s">
        <v>299</v>
      </c>
      <c r="X87" s="102">
        <v>10.121612508383119</v>
      </c>
      <c r="Y87" s="102">
        <v>13.399647024246409</v>
      </c>
      <c r="Z87" s="102">
        <v>16.7987655569802</v>
      </c>
      <c r="AA87" s="102">
        <v>20.709387932064999</v>
      </c>
      <c r="AB87" s="102">
        <v>28.119498499780498</v>
      </c>
      <c r="AC87" s="102">
        <v>33.583185104883903</v>
      </c>
      <c r="AD87" s="102">
        <v>44.0924149340021</v>
      </c>
      <c r="AE87" s="102">
        <v>52.007978606863404</v>
      </c>
      <c r="AF87" s="102">
        <v>63.043053217588493</v>
      </c>
      <c r="AG87" s="102">
        <v>72.139694249330901</v>
      </c>
      <c r="AH87" s="102">
        <v>75.943972740190901</v>
      </c>
      <c r="AI87" s="102">
        <v>75.943972740190901</v>
      </c>
      <c r="AJ87" s="178">
        <v>75.943972740190901</v>
      </c>
      <c r="AK87" s="182"/>
      <c r="AL87" s="180">
        <v>5.2611330013169599</v>
      </c>
      <c r="AM87" s="102">
        <v>6.5654732010450898</v>
      </c>
      <c r="AN87" s="102">
        <v>9.0010076806781605</v>
      </c>
      <c r="AO87" s="102">
        <v>14.4353139904497</v>
      </c>
      <c r="AP87" s="102">
        <v>18.4205000744182</v>
      </c>
      <c r="AQ87" s="102">
        <v>19.9315867228493</v>
      </c>
      <c r="AR87" s="102">
        <v>28.480584843588101</v>
      </c>
      <c r="AS87" s="102">
        <v>41.580847668816197</v>
      </c>
      <c r="AT87" s="102">
        <v>50.9652275281599</v>
      </c>
      <c r="AU87" s="102">
        <v>53.841572611306901</v>
      </c>
      <c r="AV87" s="102">
        <v>61.346187439468899</v>
      </c>
      <c r="AW87" s="102">
        <v>69.874379947978895</v>
      </c>
      <c r="AX87" s="102">
        <v>84.967938475660205</v>
      </c>
      <c r="AY87" s="128"/>
      <c r="AZ87" s="102">
        <v>10.121612508383119</v>
      </c>
      <c r="BA87" s="102">
        <v>13.399647024246409</v>
      </c>
      <c r="BB87" s="102">
        <v>16.7987655569802</v>
      </c>
      <c r="BC87" s="102">
        <v>20.709387932064999</v>
      </c>
      <c r="BD87" s="102">
        <v>28.119498499780498</v>
      </c>
      <c r="BE87" s="102">
        <v>33.583185104883903</v>
      </c>
      <c r="BF87" s="102">
        <v>44.0924149340021</v>
      </c>
      <c r="BG87" s="102">
        <v>52.007978606863404</v>
      </c>
      <c r="BH87" s="102">
        <v>63.043053217588493</v>
      </c>
      <c r="BI87" s="102">
        <v>72.139694249330901</v>
      </c>
      <c r="BJ87" s="102">
        <v>75.943972740190901</v>
      </c>
      <c r="BK87" s="102">
        <v>75.943972740190901</v>
      </c>
      <c r="BL87" s="102">
        <v>75.943972740190901</v>
      </c>
      <c r="BM87" s="128"/>
      <c r="BN87" s="102">
        <v>5.2611330013169599</v>
      </c>
      <c r="BO87" s="102">
        <v>6.5654732010450898</v>
      </c>
      <c r="BP87" s="102">
        <v>9.0010076806781605</v>
      </c>
      <c r="BQ87" s="102">
        <v>14.4353139904497</v>
      </c>
      <c r="BR87" s="102">
        <v>18.4205000744182</v>
      </c>
      <c r="BS87" s="102">
        <v>19.9315867228493</v>
      </c>
      <c r="BT87" s="102">
        <v>28.480584843588101</v>
      </c>
      <c r="BU87" s="102">
        <v>41.580847668816197</v>
      </c>
      <c r="BV87" s="102">
        <v>50.9652275281599</v>
      </c>
      <c r="BW87" s="102">
        <v>53.841572611306901</v>
      </c>
      <c r="BX87" s="102">
        <v>61.346187439468899</v>
      </c>
      <c r="BY87" s="102">
        <v>69.874379947978895</v>
      </c>
      <c r="BZ87" s="102">
        <v>84.967938475660205</v>
      </c>
    </row>
    <row r="88" spans="1:78" outlineLevel="1">
      <c r="A88" s="237" t="s">
        <v>218</v>
      </c>
      <c r="B88" s="236" t="s">
        <v>106</v>
      </c>
      <c r="C88" s="191" t="s">
        <v>38</v>
      </c>
      <c r="D88" s="190" t="s">
        <v>27</v>
      </c>
      <c r="E88" s="125">
        <f>HLOOKUP(INPUT!$Q$2,'Tracks Pull'!$X$8:$AJ$138,T88,FALSE)</f>
        <v>13.978868608874691</v>
      </c>
      <c r="F88" s="125">
        <f>HLOOKUP(INPUT!$Q$3,'Tracks Pull'!$X$8:$AJ$138,T88,FALSE)</f>
        <v>10.67327115455392</v>
      </c>
      <c r="G88" s="125">
        <f t="shared" si="13"/>
        <v>3.3055974543207718</v>
      </c>
      <c r="I88" s="125">
        <f>HLOOKUP(INPUT!$Q$2,'Tracks Pull'!$AL$8:$AX$138,T88,FALSE)</f>
        <v>9.0213425164037595</v>
      </c>
      <c r="J88" s="125">
        <f>HLOOKUP(INPUT!$Q$3,'Tracks Pull'!$AL$8:$AX$138,T88,FALSE)</f>
        <v>6.3134121616435301</v>
      </c>
      <c r="K88" s="125">
        <f t="shared" si="14"/>
        <v>2.7079303547602294</v>
      </c>
      <c r="M88" s="125">
        <f>HLOOKUP(INPUT!$Q$2,'Tracks Pull'!$AZ$8:$BL$138,T88,FALSE)</f>
        <v>13.978868608874691</v>
      </c>
      <c r="N88" s="125">
        <f>HLOOKUP(INPUT!$Q$3,'Tracks Pull'!$AZ$8:$BL$138,T88,FALSE)</f>
        <v>10.67327115455392</v>
      </c>
      <c r="O88" s="125">
        <f t="shared" si="15"/>
        <v>3.3055974543207718</v>
      </c>
      <c r="Q88" s="125">
        <f>HLOOKUP(INPUT!$Q$2,'Tracks Pull'!$BN$8:$BZ$138,T88,FALSE)</f>
        <v>9.0213425164037595</v>
      </c>
      <c r="R88" s="125">
        <f>HLOOKUP(INPUT!$Q$3,'Tracks Pull'!$BN$8:$BZ$138,T88,FALSE)</f>
        <v>6.3134121616435301</v>
      </c>
      <c r="S88" s="125">
        <f t="shared" si="16"/>
        <v>2.7079303547602294</v>
      </c>
      <c r="T88" s="109">
        <v>81</v>
      </c>
      <c r="U88" s="191" t="s">
        <v>38</v>
      </c>
      <c r="V88" s="191" t="s">
        <v>129</v>
      </c>
      <c r="W88" s="190" t="s">
        <v>301</v>
      </c>
      <c r="X88" s="102">
        <v>3.19298549383522</v>
      </c>
      <c r="Y88" s="102">
        <v>4.3211364508603198</v>
      </c>
      <c r="Z88" s="102">
        <v>5.4386256295365696</v>
      </c>
      <c r="AA88" s="102">
        <v>6.7163429830606507</v>
      </c>
      <c r="AB88" s="102">
        <v>8.9472985908989813</v>
      </c>
      <c r="AC88" s="102">
        <v>10.67327115455392</v>
      </c>
      <c r="AD88" s="102">
        <v>13.978868608874691</v>
      </c>
      <c r="AE88" s="102">
        <v>16.586362076889621</v>
      </c>
      <c r="AF88" s="102">
        <v>20.006559138719641</v>
      </c>
      <c r="AG88" s="102">
        <v>22.948938437553302</v>
      </c>
      <c r="AH88" s="102">
        <v>24.382412324307701</v>
      </c>
      <c r="AI88" s="102">
        <v>24.382412324307701</v>
      </c>
      <c r="AJ88" s="178">
        <v>24.382412324307701</v>
      </c>
      <c r="AK88" s="182"/>
      <c r="AL88" s="180">
        <v>1.6664855405847101</v>
      </c>
      <c r="AM88" s="102">
        <v>2.0796406693956002</v>
      </c>
      <c r="AN88" s="102">
        <v>2.85110624399484</v>
      </c>
      <c r="AO88" s="102">
        <v>4.57244514306384</v>
      </c>
      <c r="AP88" s="102">
        <v>5.8347692439391601</v>
      </c>
      <c r="AQ88" s="102">
        <v>6.3134121616435301</v>
      </c>
      <c r="AR88" s="102">
        <v>9.0213425164037595</v>
      </c>
      <c r="AS88" s="102">
        <v>13.170904705886</v>
      </c>
      <c r="AT88" s="102">
        <v>16.143445665986398</v>
      </c>
      <c r="AU88" s="102">
        <v>17.0545398142614</v>
      </c>
      <c r="AV88" s="102">
        <v>19.431657460908799</v>
      </c>
      <c r="AW88" s="102">
        <v>22.132997552329702</v>
      </c>
      <c r="AX88" s="102">
        <v>26.913944362846301</v>
      </c>
      <c r="AY88" s="128"/>
      <c r="AZ88" s="102">
        <v>3.19298549383522</v>
      </c>
      <c r="BA88" s="102">
        <v>4.3211364508603198</v>
      </c>
      <c r="BB88" s="102">
        <v>5.4386256295365696</v>
      </c>
      <c r="BC88" s="102">
        <v>6.7163429830606507</v>
      </c>
      <c r="BD88" s="102">
        <v>8.9472985908989813</v>
      </c>
      <c r="BE88" s="102">
        <v>10.67327115455392</v>
      </c>
      <c r="BF88" s="102">
        <v>13.978868608874691</v>
      </c>
      <c r="BG88" s="102">
        <v>16.586362076889621</v>
      </c>
      <c r="BH88" s="102">
        <v>20.006559138719641</v>
      </c>
      <c r="BI88" s="102">
        <v>22.948938437553302</v>
      </c>
      <c r="BJ88" s="102">
        <v>24.382412324307701</v>
      </c>
      <c r="BK88" s="102">
        <v>24.382412324307701</v>
      </c>
      <c r="BL88" s="102">
        <v>24.382412324307701</v>
      </c>
      <c r="BM88" s="128"/>
      <c r="BN88" s="102">
        <v>1.6664855405847101</v>
      </c>
      <c r="BO88" s="102">
        <v>2.0796406693956002</v>
      </c>
      <c r="BP88" s="102">
        <v>2.85110624399484</v>
      </c>
      <c r="BQ88" s="102">
        <v>4.57244514306384</v>
      </c>
      <c r="BR88" s="102">
        <v>5.8347692439391601</v>
      </c>
      <c r="BS88" s="102">
        <v>6.3134121616435301</v>
      </c>
      <c r="BT88" s="102">
        <v>9.0213425164037595</v>
      </c>
      <c r="BU88" s="102">
        <v>13.170904705886</v>
      </c>
      <c r="BV88" s="102">
        <v>16.143445665986398</v>
      </c>
      <c r="BW88" s="102">
        <v>17.0545398142614</v>
      </c>
      <c r="BX88" s="102">
        <v>19.431657460908799</v>
      </c>
      <c r="BY88" s="102">
        <v>22.132997552329702</v>
      </c>
      <c r="BZ88" s="102">
        <v>26.913944362846301</v>
      </c>
    </row>
    <row r="89" spans="1:78" outlineLevel="1">
      <c r="A89" s="237" t="s">
        <v>218</v>
      </c>
      <c r="B89" s="236" t="s">
        <v>87</v>
      </c>
      <c r="C89" s="191" t="s">
        <v>38</v>
      </c>
      <c r="D89" s="190" t="s">
        <v>140</v>
      </c>
      <c r="E89" s="125">
        <f>HLOOKUP(INPUT!$Q$2,'Tracks Pull'!$X$8:$AJ$138,T89,FALSE)</f>
        <v>20.276924202880508</v>
      </c>
      <c r="F89" s="125">
        <f>HLOOKUP(INPUT!$Q$3,'Tracks Pull'!$X$8:$AJ$138,T89,FALSE)</f>
        <v>15.470000737140751</v>
      </c>
      <c r="G89" s="125">
        <f t="shared" si="13"/>
        <v>4.8069234657397573</v>
      </c>
      <c r="I89" s="125">
        <f>HLOOKUP(INPUT!$Q$2,'Tracks Pull'!$AL$8:$AX$138,T89,FALSE)</f>
        <v>11.982956472743</v>
      </c>
      <c r="J89" s="125">
        <f>HLOOKUP(INPUT!$Q$3,'Tracks Pull'!$AL$8:$AX$138,T89,FALSE)</f>
        <v>8.38604043576645</v>
      </c>
      <c r="K89" s="125">
        <f t="shared" si="14"/>
        <v>3.59691603697655</v>
      </c>
      <c r="M89" s="125">
        <f>HLOOKUP(INPUT!$Q$2,'Tracks Pull'!$AZ$8:$BL$138,T89,FALSE)</f>
        <v>20.276924202880508</v>
      </c>
      <c r="N89" s="125">
        <f>HLOOKUP(INPUT!$Q$3,'Tracks Pull'!$AZ$8:$BL$138,T89,FALSE)</f>
        <v>15.470000737140751</v>
      </c>
      <c r="O89" s="125">
        <f t="shared" si="15"/>
        <v>4.8069234657397573</v>
      </c>
      <c r="Q89" s="125">
        <f>HLOOKUP(INPUT!$Q$2,'Tracks Pull'!$BN$8:$BZ$138,T89,FALSE)</f>
        <v>11.982956472743</v>
      </c>
      <c r="R89" s="125">
        <f>HLOOKUP(INPUT!$Q$3,'Tracks Pull'!$BN$8:$BZ$138,T89,FALSE)</f>
        <v>8.38604043576645</v>
      </c>
      <c r="S89" s="125">
        <f t="shared" si="16"/>
        <v>3.59691603697655</v>
      </c>
      <c r="T89" s="199">
        <v>82</v>
      </c>
      <c r="U89" s="191" t="s">
        <v>38</v>
      </c>
      <c r="V89" s="191" t="s">
        <v>129</v>
      </c>
      <c r="W89" s="190" t="s">
        <v>300</v>
      </c>
      <c r="X89" s="102">
        <v>4.6388617762741404</v>
      </c>
      <c r="Y89" s="102">
        <v>6.23451798730013</v>
      </c>
      <c r="Z89" s="102">
        <v>7.8372058078222402</v>
      </c>
      <c r="AA89" s="102">
        <v>9.6731995114076099</v>
      </c>
      <c r="AB89" s="102">
        <v>12.96355778231127</v>
      </c>
      <c r="AC89" s="102">
        <v>15.470000737140751</v>
      </c>
      <c r="AD89" s="102">
        <v>20.276924202880508</v>
      </c>
      <c r="AE89" s="102">
        <v>24.0142628646392</v>
      </c>
      <c r="AF89" s="102">
        <v>29.011319239572799</v>
      </c>
      <c r="AG89" s="102">
        <v>33.252567019700805</v>
      </c>
      <c r="AH89" s="102">
        <v>35.227589802739502</v>
      </c>
      <c r="AI89" s="102">
        <v>35.227589802739502</v>
      </c>
      <c r="AJ89" s="178">
        <v>35.227589802739502</v>
      </c>
      <c r="AK89" s="182"/>
      <c r="AL89" s="180">
        <v>2.21357560240854</v>
      </c>
      <c r="AM89" s="102">
        <v>2.7623653103737502</v>
      </c>
      <c r="AN89" s="102">
        <v>3.7870950979672302</v>
      </c>
      <c r="AO89" s="102">
        <v>6.0735318522393502</v>
      </c>
      <c r="AP89" s="102">
        <v>7.7502639714088399</v>
      </c>
      <c r="AQ89" s="102">
        <v>8.38604043576645</v>
      </c>
      <c r="AR89" s="102">
        <v>11.982956472743</v>
      </c>
      <c r="AS89" s="102">
        <v>17.4947772474328</v>
      </c>
      <c r="AT89" s="102">
        <v>21.443172829748899</v>
      </c>
      <c r="AU89" s="102">
        <v>22.653369815563199</v>
      </c>
      <c r="AV89" s="102">
        <v>25.8108707350295</v>
      </c>
      <c r="AW89" s="102">
        <v>29.399032992998499</v>
      </c>
      <c r="AX89" s="102">
        <v>35.749515465507301</v>
      </c>
      <c r="AY89" s="128"/>
      <c r="AZ89" s="102">
        <v>4.6388617762741404</v>
      </c>
      <c r="BA89" s="102">
        <v>6.23451798730013</v>
      </c>
      <c r="BB89" s="102">
        <v>7.8372058078222402</v>
      </c>
      <c r="BC89" s="102">
        <v>9.6731995114076099</v>
      </c>
      <c r="BD89" s="102">
        <v>12.96355778231127</v>
      </c>
      <c r="BE89" s="102">
        <v>15.470000737140751</v>
      </c>
      <c r="BF89" s="102">
        <v>20.276924202880508</v>
      </c>
      <c r="BG89" s="102">
        <v>24.0142628646392</v>
      </c>
      <c r="BH89" s="102">
        <v>29.011319239572799</v>
      </c>
      <c r="BI89" s="102">
        <v>33.252567019700805</v>
      </c>
      <c r="BJ89" s="102">
        <v>35.227589802739502</v>
      </c>
      <c r="BK89" s="102">
        <v>35.227589802739502</v>
      </c>
      <c r="BL89" s="102">
        <v>35.227589802739502</v>
      </c>
      <c r="BM89" s="128"/>
      <c r="BN89" s="102">
        <v>2.21357560240854</v>
      </c>
      <c r="BO89" s="102">
        <v>2.7623653103737502</v>
      </c>
      <c r="BP89" s="102">
        <v>3.7870950979672302</v>
      </c>
      <c r="BQ89" s="102">
        <v>6.0735318522393502</v>
      </c>
      <c r="BR89" s="102">
        <v>7.7502639714088399</v>
      </c>
      <c r="BS89" s="102">
        <v>8.38604043576645</v>
      </c>
      <c r="BT89" s="102">
        <v>11.982956472743</v>
      </c>
      <c r="BU89" s="102">
        <v>17.4947772474328</v>
      </c>
      <c r="BV89" s="102">
        <v>21.443172829748899</v>
      </c>
      <c r="BW89" s="102">
        <v>22.653369815563199</v>
      </c>
      <c r="BX89" s="102">
        <v>25.8108707350295</v>
      </c>
      <c r="BY89" s="102">
        <v>29.399032992998499</v>
      </c>
      <c r="BZ89" s="102">
        <v>35.749515465507301</v>
      </c>
    </row>
    <row r="90" spans="1:78" outlineLevel="1">
      <c r="A90" s="237" t="s">
        <v>218</v>
      </c>
      <c r="B90" s="236" t="s">
        <v>107</v>
      </c>
      <c r="C90" s="191" t="s">
        <v>38</v>
      </c>
      <c r="D90" s="190" t="s">
        <v>29</v>
      </c>
      <c r="E90" s="125">
        <f>HLOOKUP(INPUT!$Q$2,'Tracks Pull'!$X$8:$AJ$138,T90,FALSE)</f>
        <v>11.993689778062251</v>
      </c>
      <c r="F90" s="125">
        <f>HLOOKUP(INPUT!$Q$3,'Tracks Pull'!$X$8:$AJ$138,T90,FALSE)</f>
        <v>9.1371122789608492</v>
      </c>
      <c r="G90" s="125">
        <f t="shared" si="13"/>
        <v>2.8565774991014017</v>
      </c>
      <c r="I90" s="125">
        <f>HLOOKUP(INPUT!$Q$2,'Tracks Pull'!$AL$8:$AX$138,T90,FALSE)</f>
        <v>7.4523222397632702</v>
      </c>
      <c r="J90" s="125">
        <f>HLOOKUP(INPUT!$Q$3,'Tracks Pull'!$AL$8:$AX$138,T90,FALSE)</f>
        <v>5.2153636529658902</v>
      </c>
      <c r="K90" s="125">
        <f t="shared" si="14"/>
        <v>2.23695858679738</v>
      </c>
      <c r="M90" s="125">
        <f>HLOOKUP(INPUT!$Q$2,'Tracks Pull'!$AZ$8:$BL$138,T90,FALSE)</f>
        <v>11.993689778062251</v>
      </c>
      <c r="N90" s="125">
        <f>HLOOKUP(INPUT!$Q$3,'Tracks Pull'!$AZ$8:$BL$138,T90,FALSE)</f>
        <v>9.1371122789608492</v>
      </c>
      <c r="O90" s="125">
        <f t="shared" si="15"/>
        <v>2.8565774991014017</v>
      </c>
      <c r="Q90" s="125">
        <f>HLOOKUP(INPUT!$Q$2,'Tracks Pull'!$BN$8:$BZ$138,T90,FALSE)</f>
        <v>7.4523222397632702</v>
      </c>
      <c r="R90" s="125">
        <f>HLOOKUP(INPUT!$Q$3,'Tracks Pull'!$BN$8:$BZ$138,T90,FALSE)</f>
        <v>5.2153636529658902</v>
      </c>
      <c r="S90" s="125">
        <f t="shared" si="16"/>
        <v>2.23695858679738</v>
      </c>
      <c r="T90" s="109">
        <v>83</v>
      </c>
      <c r="U90" s="191" t="s">
        <v>38</v>
      </c>
      <c r="V90" s="191" t="s">
        <v>129</v>
      </c>
      <c r="W90" s="190" t="s">
        <v>302</v>
      </c>
      <c r="X90" s="102">
        <v>2.7519505108207802</v>
      </c>
      <c r="Y90" s="102">
        <v>3.6506220146486701</v>
      </c>
      <c r="Z90" s="102">
        <v>4.5783648145296603</v>
      </c>
      <c r="AA90" s="102">
        <v>5.6450904562814701</v>
      </c>
      <c r="AB90" s="102">
        <v>7.65141043066245</v>
      </c>
      <c r="AC90" s="102">
        <v>9.1371122789608492</v>
      </c>
      <c r="AD90" s="102">
        <v>11.993689778062251</v>
      </c>
      <c r="AE90" s="102">
        <v>14.154542887690049</v>
      </c>
      <c r="AF90" s="102">
        <v>17.150050386559951</v>
      </c>
      <c r="AG90" s="102">
        <v>19.629054226940617</v>
      </c>
      <c r="AH90" s="102">
        <v>20.681783170430069</v>
      </c>
      <c r="AI90" s="102">
        <v>20.681783170430069</v>
      </c>
      <c r="AJ90" s="178">
        <v>20.681783170430069</v>
      </c>
      <c r="AK90" s="182"/>
      <c r="AL90" s="180">
        <v>1.37664513167095</v>
      </c>
      <c r="AM90" s="102">
        <v>1.7179430204620001</v>
      </c>
      <c r="AN90" s="102">
        <v>2.3552328748649098</v>
      </c>
      <c r="AO90" s="102">
        <v>3.7771910963132198</v>
      </c>
      <c r="AP90" s="102">
        <v>4.8199678175868996</v>
      </c>
      <c r="AQ90" s="102">
        <v>5.2153636529658902</v>
      </c>
      <c r="AR90" s="102">
        <v>7.4523222397632702</v>
      </c>
      <c r="AS90" s="102">
        <v>10.880179516408001</v>
      </c>
      <c r="AT90" s="102">
        <v>13.3357267994519</v>
      </c>
      <c r="AU90" s="102">
        <v>14.088360586647299</v>
      </c>
      <c r="AV90" s="102">
        <v>16.0520424524486</v>
      </c>
      <c r="AW90" s="102">
        <v>18.283556975243201</v>
      </c>
      <c r="AX90" s="102">
        <v>22.232986472943001</v>
      </c>
      <c r="AY90" s="128"/>
      <c r="AZ90" s="102">
        <v>2.7519505108207802</v>
      </c>
      <c r="BA90" s="102">
        <v>3.6506220146486701</v>
      </c>
      <c r="BB90" s="102">
        <v>4.5783648145296603</v>
      </c>
      <c r="BC90" s="102">
        <v>5.6450904562814701</v>
      </c>
      <c r="BD90" s="102">
        <v>7.65141043066245</v>
      </c>
      <c r="BE90" s="102">
        <v>9.1371122789608492</v>
      </c>
      <c r="BF90" s="102">
        <v>11.993689778062251</v>
      </c>
      <c r="BG90" s="102">
        <v>14.154542887690049</v>
      </c>
      <c r="BH90" s="102">
        <v>17.150050386559951</v>
      </c>
      <c r="BI90" s="102">
        <v>19.629054226940617</v>
      </c>
      <c r="BJ90" s="102">
        <v>20.681783170430069</v>
      </c>
      <c r="BK90" s="102">
        <v>20.681783170430069</v>
      </c>
      <c r="BL90" s="102">
        <v>20.681783170430069</v>
      </c>
      <c r="BM90" s="128"/>
      <c r="BN90" s="102">
        <v>1.37664513167095</v>
      </c>
      <c r="BO90" s="102">
        <v>1.7179430204620001</v>
      </c>
      <c r="BP90" s="102">
        <v>2.3552328748649098</v>
      </c>
      <c r="BQ90" s="102">
        <v>3.7771910963132198</v>
      </c>
      <c r="BR90" s="102">
        <v>4.8199678175868996</v>
      </c>
      <c r="BS90" s="102">
        <v>5.2153636529658902</v>
      </c>
      <c r="BT90" s="102">
        <v>7.4523222397632702</v>
      </c>
      <c r="BU90" s="102">
        <v>10.880179516408001</v>
      </c>
      <c r="BV90" s="102">
        <v>13.3357267994519</v>
      </c>
      <c r="BW90" s="102">
        <v>14.088360586647299</v>
      </c>
      <c r="BX90" s="102">
        <v>16.0520424524486</v>
      </c>
      <c r="BY90" s="102">
        <v>18.283556975243201</v>
      </c>
      <c r="BZ90" s="102">
        <v>22.232986472943001</v>
      </c>
    </row>
    <row r="91" spans="1:78" outlineLevel="1">
      <c r="A91" s="237" t="s">
        <v>218</v>
      </c>
      <c r="B91" s="236" t="s">
        <v>236</v>
      </c>
      <c r="C91" s="191" t="s">
        <v>38</v>
      </c>
      <c r="D91" s="190" t="s">
        <v>131</v>
      </c>
      <c r="E91" s="125">
        <f>HLOOKUP(INPUT!$Q$2,'Tracks Pull'!$X$8:$AJ$138,T91,FALSE)</f>
        <v>14.27808322288657</v>
      </c>
      <c r="F91" s="125">
        <f>HLOOKUP(INPUT!$Q$3,'Tracks Pull'!$X$8:$AJ$138,T91,FALSE)</f>
        <v>10.87742404130613</v>
      </c>
      <c r="G91" s="125">
        <f t="shared" si="13"/>
        <v>3.4006591815804406</v>
      </c>
      <c r="I91" s="125">
        <f>HLOOKUP(INPUT!$Q$2,'Tracks Pull'!$AL$8:$AX$138,T91,FALSE)</f>
        <v>9.2234375437770009</v>
      </c>
      <c r="J91" s="125">
        <f>HLOOKUP(INPUT!$Q$3,'Tracks Pull'!$AL$8:$AX$138,T91,FALSE)</f>
        <v>6.4548444596973802</v>
      </c>
      <c r="K91" s="125">
        <f t="shared" si="14"/>
        <v>2.7685930840796207</v>
      </c>
      <c r="M91" s="125">
        <f>HLOOKUP(INPUT!$Q$2,'Tracks Pull'!$AZ$8:$BL$138,T91,FALSE)</f>
        <v>14.27808322288657</v>
      </c>
      <c r="N91" s="125">
        <f>HLOOKUP(INPUT!$Q$3,'Tracks Pull'!$AZ$8:$BL$138,T91,FALSE)</f>
        <v>10.87742404130613</v>
      </c>
      <c r="O91" s="125">
        <f t="shared" si="15"/>
        <v>3.4006591815804406</v>
      </c>
      <c r="Q91" s="125">
        <f>HLOOKUP(INPUT!$Q$2,'Tracks Pull'!$BN$8:$BZ$138,T91,FALSE)</f>
        <v>9.2234375437770009</v>
      </c>
      <c r="R91" s="125">
        <f>HLOOKUP(INPUT!$Q$3,'Tracks Pull'!$BN$8:$BZ$138,T91,FALSE)</f>
        <v>6.4548444596973802</v>
      </c>
      <c r="S91" s="125">
        <f t="shared" si="16"/>
        <v>2.7685930840796207</v>
      </c>
      <c r="T91" s="199">
        <v>84</v>
      </c>
      <c r="U91" s="191" t="s">
        <v>38</v>
      </c>
      <c r="V91" s="191" t="s">
        <v>129</v>
      </c>
      <c r="W91" s="190" t="s">
        <v>303</v>
      </c>
      <c r="X91" s="102">
        <v>3.2761042803220297</v>
      </c>
      <c r="Y91" s="102">
        <v>4.3459424001274307</v>
      </c>
      <c r="Z91" s="102">
        <v>5.4503889175255704</v>
      </c>
      <c r="AA91" s="102">
        <v>6.7202898213140001</v>
      </c>
      <c r="AB91" s="102">
        <v>9.1087460925733001</v>
      </c>
      <c r="AC91" s="102">
        <v>10.87742404130613</v>
      </c>
      <c r="AD91" s="102">
        <v>14.27808322288657</v>
      </c>
      <c r="AE91" s="102">
        <v>16.85050598040463</v>
      </c>
      <c r="AF91" s="102">
        <v>20.416556641634571</v>
      </c>
      <c r="AG91" s="102">
        <v>23.367727115257502</v>
      </c>
      <c r="AH91" s="102">
        <v>24.6209654217691</v>
      </c>
      <c r="AI91" s="102">
        <v>24.6209654217691</v>
      </c>
      <c r="AJ91" s="178">
        <v>24.6209654217691</v>
      </c>
      <c r="AK91" s="182"/>
      <c r="AL91" s="180">
        <v>1.70381794874117</v>
      </c>
      <c r="AM91" s="102">
        <v>2.1262285289346599</v>
      </c>
      <c r="AN91" s="102">
        <v>2.9149763823225201</v>
      </c>
      <c r="AO91" s="102">
        <v>4.6748765078712298</v>
      </c>
      <c r="AP91" s="102">
        <v>5.9654790410593002</v>
      </c>
      <c r="AQ91" s="102">
        <v>6.4548444596973802</v>
      </c>
      <c r="AR91" s="102">
        <v>9.2234375437770009</v>
      </c>
      <c r="AS91" s="102">
        <v>13.465957725126399</v>
      </c>
      <c r="AT91" s="102">
        <v>16.5050891894236</v>
      </c>
      <c r="AU91" s="102">
        <v>17.436593558960102</v>
      </c>
      <c r="AV91" s="102">
        <v>19.866963108524899</v>
      </c>
      <c r="AW91" s="102">
        <v>22.628818294980402</v>
      </c>
      <c r="AX91" s="102">
        <v>27.5168672995202</v>
      </c>
      <c r="AY91" s="128"/>
      <c r="AZ91" s="102">
        <v>3.2761042803220297</v>
      </c>
      <c r="BA91" s="102">
        <v>4.3459424001274307</v>
      </c>
      <c r="BB91" s="102">
        <v>5.4503889175255704</v>
      </c>
      <c r="BC91" s="102">
        <v>6.7202898213140001</v>
      </c>
      <c r="BD91" s="102">
        <v>9.1087460925733001</v>
      </c>
      <c r="BE91" s="102">
        <v>10.87742404130613</v>
      </c>
      <c r="BF91" s="102">
        <v>14.27808322288657</v>
      </c>
      <c r="BG91" s="102">
        <v>16.85050598040463</v>
      </c>
      <c r="BH91" s="102">
        <v>20.416556641634571</v>
      </c>
      <c r="BI91" s="102">
        <v>23.367727115257502</v>
      </c>
      <c r="BJ91" s="102">
        <v>24.6209654217691</v>
      </c>
      <c r="BK91" s="102">
        <v>24.6209654217691</v>
      </c>
      <c r="BL91" s="102">
        <v>24.6209654217691</v>
      </c>
      <c r="BM91" s="128"/>
      <c r="BN91" s="102">
        <v>1.70381794874117</v>
      </c>
      <c r="BO91" s="102">
        <v>2.1262285289346599</v>
      </c>
      <c r="BP91" s="102">
        <v>2.9149763823225201</v>
      </c>
      <c r="BQ91" s="102">
        <v>4.6748765078712298</v>
      </c>
      <c r="BR91" s="102">
        <v>5.9654790410593002</v>
      </c>
      <c r="BS91" s="102">
        <v>6.4548444596973802</v>
      </c>
      <c r="BT91" s="102">
        <v>9.2234375437770009</v>
      </c>
      <c r="BU91" s="102">
        <v>13.465957725126399</v>
      </c>
      <c r="BV91" s="102">
        <v>16.5050891894236</v>
      </c>
      <c r="BW91" s="102">
        <v>17.436593558960102</v>
      </c>
      <c r="BX91" s="102">
        <v>19.866963108524899</v>
      </c>
      <c r="BY91" s="102">
        <v>22.628818294980402</v>
      </c>
      <c r="BZ91" s="102">
        <v>27.5168672995202</v>
      </c>
    </row>
    <row r="92" spans="1:78" outlineLevel="1">
      <c r="A92" s="237" t="s">
        <v>218</v>
      </c>
      <c r="B92" s="236" t="s">
        <v>237</v>
      </c>
      <c r="C92" s="191" t="s">
        <v>38</v>
      </c>
      <c r="D92" s="190" t="s">
        <v>138</v>
      </c>
      <c r="E92" s="125">
        <f>HLOOKUP(INPUT!$Q$2,'Tracks Pull'!$X$8:$AJ$138,T92,FALSE)</f>
        <v>43.606169581594401</v>
      </c>
      <c r="F92" s="125">
        <f>HLOOKUP(INPUT!$Q$3,'Tracks Pull'!$X$8:$AJ$138,T92,FALSE)</f>
        <v>33.2203412707251</v>
      </c>
      <c r="G92" s="125">
        <f t="shared" si="13"/>
        <v>10.3858283108693</v>
      </c>
      <c r="I92" s="125">
        <f>HLOOKUP(INPUT!$Q$2,'Tracks Pull'!$AL$8:$AX$138,T92,FALSE)</f>
        <v>30.301623918290002</v>
      </c>
      <c r="J92" s="125">
        <f>HLOOKUP(INPUT!$Q$3,'Tracks Pull'!$AL$8:$AX$138,T92,FALSE)</f>
        <v>21.2060057153824</v>
      </c>
      <c r="K92" s="125">
        <f t="shared" si="14"/>
        <v>9.0956182029076018</v>
      </c>
      <c r="M92" s="125">
        <f>HLOOKUP(INPUT!$Q$2,'Tracks Pull'!$AZ$8:$BL$138,T92,FALSE)</f>
        <v>43.606169581594401</v>
      </c>
      <c r="N92" s="125">
        <f>HLOOKUP(INPUT!$Q$3,'Tracks Pull'!$AZ$8:$BL$138,T92,FALSE)</f>
        <v>33.2203412707251</v>
      </c>
      <c r="O92" s="125">
        <f t="shared" si="15"/>
        <v>10.3858283108693</v>
      </c>
      <c r="Q92" s="125">
        <f>HLOOKUP(INPUT!$Q$2,'Tracks Pull'!$BN$8:$BZ$138,T92,FALSE)</f>
        <v>30.301623918290002</v>
      </c>
      <c r="R92" s="125">
        <f>HLOOKUP(INPUT!$Q$3,'Tracks Pull'!$BN$8:$BZ$138,T92,FALSE)</f>
        <v>21.2060057153824</v>
      </c>
      <c r="S92" s="125">
        <f t="shared" si="16"/>
        <v>9.0956182029076018</v>
      </c>
      <c r="T92" s="109">
        <v>85</v>
      </c>
      <c r="U92" s="191" t="s">
        <v>38</v>
      </c>
      <c r="V92" s="191" t="s">
        <v>129</v>
      </c>
      <c r="W92" s="190" t="s">
        <v>394</v>
      </c>
      <c r="X92" s="102">
        <v>10.005429761448639</v>
      </c>
      <c r="Y92" s="102">
        <v>13.272783071331979</v>
      </c>
      <c r="Z92" s="102">
        <v>16.64583261724491</v>
      </c>
      <c r="AA92" s="102">
        <v>20.5241903280094</v>
      </c>
      <c r="AB92" s="102">
        <v>27.818686905519797</v>
      </c>
      <c r="AC92" s="102">
        <v>33.2203412707251</v>
      </c>
      <c r="AD92" s="102">
        <v>43.606169581594401</v>
      </c>
      <c r="AE92" s="102">
        <v>51.462511448272998</v>
      </c>
      <c r="AF92" s="102">
        <v>62.353455802827</v>
      </c>
      <c r="AG92" s="102">
        <v>71.366517159040498</v>
      </c>
      <c r="AH92" s="102">
        <v>75.193986243426792</v>
      </c>
      <c r="AI92" s="102">
        <v>75.193986243426792</v>
      </c>
      <c r="AJ92" s="178">
        <v>75.193986243426792</v>
      </c>
      <c r="AK92" s="182"/>
      <c r="AL92" s="180">
        <v>5.5975280867837096</v>
      </c>
      <c r="AM92" s="102">
        <v>6.9852673628810198</v>
      </c>
      <c r="AN92" s="102">
        <v>9.5765291030163997</v>
      </c>
      <c r="AO92" s="102">
        <v>15.358303141710699</v>
      </c>
      <c r="AP92" s="102">
        <v>19.5983006917611</v>
      </c>
      <c r="AQ92" s="102">
        <v>21.2060057153824</v>
      </c>
      <c r="AR92" s="102">
        <v>30.301623918290002</v>
      </c>
      <c r="AS92" s="102">
        <v>44.239513169542001</v>
      </c>
      <c r="AT92" s="102">
        <v>54.223927140177999</v>
      </c>
      <c r="AU92" s="102">
        <v>57.284184766466403</v>
      </c>
      <c r="AV92" s="102">
        <v>65.268642158175595</v>
      </c>
      <c r="AW92" s="102">
        <v>74.342124444963204</v>
      </c>
      <c r="AX92" s="102">
        <v>90.400760059584897</v>
      </c>
      <c r="AY92" s="128"/>
      <c r="AZ92" s="102">
        <v>10.005429761448639</v>
      </c>
      <c r="BA92" s="102">
        <v>13.272783071331979</v>
      </c>
      <c r="BB92" s="102">
        <v>16.64583261724491</v>
      </c>
      <c r="BC92" s="102">
        <v>20.5241903280094</v>
      </c>
      <c r="BD92" s="102">
        <v>27.818686905519797</v>
      </c>
      <c r="BE92" s="102">
        <v>33.2203412707251</v>
      </c>
      <c r="BF92" s="102">
        <v>43.606169581594401</v>
      </c>
      <c r="BG92" s="102">
        <v>51.462511448272998</v>
      </c>
      <c r="BH92" s="102">
        <v>62.353455802827</v>
      </c>
      <c r="BI92" s="102">
        <v>71.366517159040498</v>
      </c>
      <c r="BJ92" s="102">
        <v>75.193986243426792</v>
      </c>
      <c r="BK92" s="102">
        <v>75.193986243426792</v>
      </c>
      <c r="BL92" s="102">
        <v>75.193986243426792</v>
      </c>
      <c r="BM92" s="128"/>
      <c r="BN92" s="102">
        <v>5.5975280867837096</v>
      </c>
      <c r="BO92" s="102">
        <v>6.9852673628810198</v>
      </c>
      <c r="BP92" s="102">
        <v>9.5765291030163997</v>
      </c>
      <c r="BQ92" s="102">
        <v>15.358303141710699</v>
      </c>
      <c r="BR92" s="102">
        <v>19.5983006917611</v>
      </c>
      <c r="BS92" s="102">
        <v>21.2060057153824</v>
      </c>
      <c r="BT92" s="102">
        <v>30.301623918290002</v>
      </c>
      <c r="BU92" s="102">
        <v>44.239513169542001</v>
      </c>
      <c r="BV92" s="102">
        <v>54.223927140177999</v>
      </c>
      <c r="BW92" s="102">
        <v>57.284184766466403</v>
      </c>
      <c r="BX92" s="102">
        <v>65.268642158175595</v>
      </c>
      <c r="BY92" s="102">
        <v>74.342124444963204</v>
      </c>
      <c r="BZ92" s="102">
        <v>90.400760059584897</v>
      </c>
    </row>
    <row r="93" spans="1:78" outlineLevel="1">
      <c r="A93" s="237" t="s">
        <v>218</v>
      </c>
      <c r="B93" s="236" t="s">
        <v>163</v>
      </c>
      <c r="C93" s="191" t="s">
        <v>38</v>
      </c>
      <c r="D93" s="190" t="s">
        <v>132</v>
      </c>
      <c r="E93" s="125">
        <f>HLOOKUP(INPUT!$Q$2,'Tracks Pull'!$X$8:$AJ$138,T93,FALSE)</f>
        <v>19.869468128371899</v>
      </c>
      <c r="F93" s="125">
        <f>HLOOKUP(INPUT!$Q$3,'Tracks Pull'!$X$8:$AJ$138,T93,FALSE)</f>
        <v>15.145121461592922</v>
      </c>
      <c r="G93" s="125">
        <f t="shared" si="13"/>
        <v>4.7243466667789775</v>
      </c>
      <c r="I93" s="125">
        <f>HLOOKUP(INPUT!$Q$2,'Tracks Pull'!$AL$8:$AX$138,T93,FALSE)</f>
        <v>14.6423643525517</v>
      </c>
      <c r="J93" s="125">
        <f>HLOOKUP(INPUT!$Q$3,'Tracks Pull'!$AL$8:$AX$138,T93,FALSE)</f>
        <v>10.2471756294059</v>
      </c>
      <c r="K93" s="125">
        <f t="shared" si="14"/>
        <v>4.3951887231458002</v>
      </c>
      <c r="M93" s="125">
        <f>HLOOKUP(INPUT!$Q$2,'Tracks Pull'!$AZ$8:$BL$138,T93,FALSE)</f>
        <v>19.869468128371899</v>
      </c>
      <c r="N93" s="125">
        <f>HLOOKUP(INPUT!$Q$3,'Tracks Pull'!$AZ$8:$BL$138,T93,FALSE)</f>
        <v>15.145121461592922</v>
      </c>
      <c r="O93" s="125">
        <f t="shared" si="15"/>
        <v>4.7243466667789775</v>
      </c>
      <c r="Q93" s="125">
        <f>HLOOKUP(INPUT!$Q$2,'Tracks Pull'!$BN$8:$BZ$138,T93,FALSE)</f>
        <v>14.6423643525517</v>
      </c>
      <c r="R93" s="125">
        <f>HLOOKUP(INPUT!$Q$3,'Tracks Pull'!$BN$8:$BZ$138,T93,FALSE)</f>
        <v>10.2471756294059</v>
      </c>
      <c r="S93" s="125">
        <f t="shared" si="16"/>
        <v>4.3951887231458002</v>
      </c>
      <c r="T93" s="199">
        <v>86</v>
      </c>
      <c r="U93" s="191" t="s">
        <v>38</v>
      </c>
      <c r="V93" s="191" t="s">
        <v>129</v>
      </c>
      <c r="W93" s="190" t="s">
        <v>403</v>
      </c>
      <c r="X93" s="102">
        <v>4.5541651353386801</v>
      </c>
      <c r="Y93" s="102">
        <v>6.07020595244704</v>
      </c>
      <c r="Z93" s="102">
        <v>7.6193739641961304</v>
      </c>
      <c r="AA93" s="102">
        <v>9.3981956747631088</v>
      </c>
      <c r="AB93" s="102">
        <v>12.68572210457355</v>
      </c>
      <c r="AC93" s="102">
        <v>15.145121461592922</v>
      </c>
      <c r="AD93" s="102">
        <v>19.869468128371899</v>
      </c>
      <c r="AE93" s="102">
        <v>23.479298113496398</v>
      </c>
      <c r="AF93" s="102">
        <v>28.417831923944298</v>
      </c>
      <c r="AG93" s="102">
        <v>32.5426048189426</v>
      </c>
      <c r="AH93" s="102">
        <v>34.356312961647305</v>
      </c>
      <c r="AI93" s="102">
        <v>34.356312961647305</v>
      </c>
      <c r="AJ93" s="178">
        <v>34.356312961647305</v>
      </c>
      <c r="AK93" s="182"/>
      <c r="AL93" s="180">
        <v>2.7048400422809502</v>
      </c>
      <c r="AM93" s="102">
        <v>3.3754240400810902</v>
      </c>
      <c r="AN93" s="102">
        <v>4.6275747048178202</v>
      </c>
      <c r="AO93" s="102">
        <v>7.4214461589344003</v>
      </c>
      <c r="AP93" s="102">
        <v>9.4702996840516107</v>
      </c>
      <c r="AQ93" s="102">
        <v>10.2471756294059</v>
      </c>
      <c r="AR93" s="102">
        <v>14.6423643525517</v>
      </c>
      <c r="AS93" s="102">
        <v>21.3774374718231</v>
      </c>
      <c r="AT93" s="102">
        <v>26.202110486014899</v>
      </c>
      <c r="AU93" s="102">
        <v>27.680889554015302</v>
      </c>
      <c r="AV93" s="102">
        <v>31.5391426496939</v>
      </c>
      <c r="AW93" s="102">
        <v>35.923634845485999</v>
      </c>
      <c r="AX93" s="102">
        <v>43.683495977292402</v>
      </c>
      <c r="AY93" s="128"/>
      <c r="AZ93" s="102">
        <v>4.5541651353386801</v>
      </c>
      <c r="BA93" s="102">
        <v>6.07020595244704</v>
      </c>
      <c r="BB93" s="102">
        <v>7.6193739641961304</v>
      </c>
      <c r="BC93" s="102">
        <v>9.3981956747631088</v>
      </c>
      <c r="BD93" s="102">
        <v>12.68572210457355</v>
      </c>
      <c r="BE93" s="102">
        <v>15.145121461592922</v>
      </c>
      <c r="BF93" s="102">
        <v>19.869468128371899</v>
      </c>
      <c r="BG93" s="102">
        <v>23.479298113496398</v>
      </c>
      <c r="BH93" s="102">
        <v>28.417831923944298</v>
      </c>
      <c r="BI93" s="102">
        <v>32.5426048189426</v>
      </c>
      <c r="BJ93" s="102">
        <v>34.356312961647305</v>
      </c>
      <c r="BK93" s="102">
        <v>34.356312961647305</v>
      </c>
      <c r="BL93" s="102">
        <v>34.356312961647305</v>
      </c>
      <c r="BM93" s="128"/>
      <c r="BN93" s="102">
        <v>2.7048400422809502</v>
      </c>
      <c r="BO93" s="102">
        <v>3.3754240400810902</v>
      </c>
      <c r="BP93" s="102">
        <v>4.6275747048178202</v>
      </c>
      <c r="BQ93" s="102">
        <v>7.4214461589344003</v>
      </c>
      <c r="BR93" s="102">
        <v>9.4702996840516107</v>
      </c>
      <c r="BS93" s="102">
        <v>10.2471756294059</v>
      </c>
      <c r="BT93" s="102">
        <v>14.6423643525517</v>
      </c>
      <c r="BU93" s="102">
        <v>21.3774374718231</v>
      </c>
      <c r="BV93" s="102">
        <v>26.202110486014899</v>
      </c>
      <c r="BW93" s="102">
        <v>27.680889554015302</v>
      </c>
      <c r="BX93" s="102">
        <v>31.5391426496939</v>
      </c>
      <c r="BY93" s="102">
        <v>35.923634845485999</v>
      </c>
      <c r="BZ93" s="102">
        <v>43.683495977292402</v>
      </c>
    </row>
    <row r="94" spans="1:78" outlineLevel="1">
      <c r="B94" s="236"/>
      <c r="C94" s="191"/>
      <c r="D94" s="190"/>
      <c r="E94" s="125"/>
      <c r="F94" s="125"/>
      <c r="G94" s="125"/>
      <c r="I94" s="125"/>
      <c r="J94" s="125"/>
      <c r="K94" s="125"/>
      <c r="M94" s="125"/>
      <c r="N94" s="125"/>
      <c r="O94" s="125"/>
      <c r="Q94" s="125"/>
      <c r="R94" s="125"/>
      <c r="S94" s="125"/>
      <c r="T94" s="109">
        <v>87</v>
      </c>
      <c r="U94" s="191" t="s">
        <v>38</v>
      </c>
      <c r="V94" s="191" t="s">
        <v>129</v>
      </c>
      <c r="W94" s="190" t="s">
        <v>395</v>
      </c>
      <c r="X94" s="102">
        <v>0</v>
      </c>
      <c r="Y94" s="102">
        <v>0</v>
      </c>
      <c r="Z94" s="102">
        <v>0</v>
      </c>
      <c r="AA94" s="102">
        <v>0</v>
      </c>
      <c r="AB94" s="102">
        <v>0</v>
      </c>
      <c r="AC94" s="102">
        <v>0</v>
      </c>
      <c r="AD94" s="102">
        <v>0</v>
      </c>
      <c r="AE94" s="102">
        <v>0</v>
      </c>
      <c r="AF94" s="102">
        <v>0</v>
      </c>
      <c r="AG94" s="102">
        <v>0</v>
      </c>
      <c r="AH94" s="102">
        <v>0</v>
      </c>
      <c r="AI94" s="102">
        <v>0</v>
      </c>
      <c r="AJ94" s="178">
        <v>0</v>
      </c>
      <c r="AK94" s="182"/>
      <c r="AL94" s="180">
        <v>0</v>
      </c>
      <c r="AM94" s="102">
        <v>0</v>
      </c>
      <c r="AN94" s="102">
        <v>0</v>
      </c>
      <c r="AO94" s="102">
        <v>0</v>
      </c>
      <c r="AP94" s="102">
        <v>0</v>
      </c>
      <c r="AQ94" s="102">
        <v>0</v>
      </c>
      <c r="AR94" s="102">
        <v>0</v>
      </c>
      <c r="AS94" s="102">
        <v>0</v>
      </c>
      <c r="AT94" s="102">
        <v>0</v>
      </c>
      <c r="AU94" s="102">
        <v>0</v>
      </c>
      <c r="AV94" s="102">
        <v>0</v>
      </c>
      <c r="AW94" s="102">
        <v>0</v>
      </c>
      <c r="AX94" s="102">
        <v>0</v>
      </c>
      <c r="AY94" s="128"/>
      <c r="AZ94" s="102">
        <v>0</v>
      </c>
      <c r="BA94" s="102">
        <v>0</v>
      </c>
      <c r="BB94" s="102">
        <v>0</v>
      </c>
      <c r="BC94" s="102">
        <v>0</v>
      </c>
      <c r="BD94" s="102">
        <v>0</v>
      </c>
      <c r="BE94" s="102">
        <v>0</v>
      </c>
      <c r="BF94" s="102">
        <v>0</v>
      </c>
      <c r="BG94" s="102">
        <v>0</v>
      </c>
      <c r="BH94" s="102">
        <v>0</v>
      </c>
      <c r="BI94" s="102">
        <v>0</v>
      </c>
      <c r="BJ94" s="102">
        <v>0</v>
      </c>
      <c r="BK94" s="102">
        <v>0</v>
      </c>
      <c r="BL94" s="102">
        <v>0</v>
      </c>
      <c r="BM94" s="128"/>
      <c r="BN94" s="102">
        <v>0</v>
      </c>
      <c r="BO94" s="102">
        <v>0</v>
      </c>
      <c r="BP94" s="102">
        <v>0</v>
      </c>
      <c r="BQ94" s="102">
        <v>0</v>
      </c>
      <c r="BR94" s="102">
        <v>0</v>
      </c>
      <c r="BS94" s="102">
        <v>0</v>
      </c>
      <c r="BT94" s="102">
        <v>0</v>
      </c>
      <c r="BU94" s="102">
        <v>0</v>
      </c>
      <c r="BV94" s="102">
        <v>0</v>
      </c>
      <c r="BW94" s="102">
        <v>0</v>
      </c>
      <c r="BX94" s="102">
        <v>0</v>
      </c>
      <c r="BY94" s="102">
        <v>0</v>
      </c>
      <c r="BZ94" s="102">
        <v>0</v>
      </c>
    </row>
    <row r="95" spans="1:78">
      <c r="A95" s="237" t="s">
        <v>218</v>
      </c>
      <c r="B95" s="236" t="s">
        <v>59</v>
      </c>
      <c r="C95" s="191" t="s">
        <v>38</v>
      </c>
      <c r="D95" s="191" t="s">
        <v>33</v>
      </c>
      <c r="E95" s="124">
        <f>HLOOKUP(INPUT!$Q$2,'Tracks Pull'!$X$8:$AJ$138,T95,FALSE)</f>
        <v>30.244255328782071</v>
      </c>
      <c r="F95" s="124">
        <f>HLOOKUP(INPUT!$Q$3,'Tracks Pull'!$X$8:$AJ$138,T95,FALSE)</f>
        <v>26.544253831382697</v>
      </c>
      <c r="G95" s="124">
        <f t="shared" si="13"/>
        <v>3.7000014973993736</v>
      </c>
      <c r="I95" s="124">
        <f>HLOOKUP(INPUT!$Q$2,'Tracks Pull'!$AL$8:$AX$138,T95,FALSE)</f>
        <v>7.6440108011957797</v>
      </c>
      <c r="J95" s="124">
        <f>HLOOKUP(INPUT!$Q$3,'Tracks Pull'!$AL$8:$AX$138,T95,FALSE)</f>
        <v>4.7898398439030601</v>
      </c>
      <c r="K95" s="124">
        <f t="shared" si="14"/>
        <v>2.8541709572927196</v>
      </c>
      <c r="M95" s="124">
        <f>HLOOKUP(INPUT!$Q$2,'Tracks Pull'!$AZ$8:$BL$138,T95,FALSE)</f>
        <v>30.244255328782071</v>
      </c>
      <c r="N95" s="124">
        <f>HLOOKUP(INPUT!$Q$3,'Tracks Pull'!$AZ$8:$BL$138,T95,FALSE)</f>
        <v>26.544253831382697</v>
      </c>
      <c r="O95" s="124">
        <f t="shared" si="15"/>
        <v>3.7000014973993736</v>
      </c>
      <c r="Q95" s="124">
        <f>HLOOKUP(INPUT!$Q$2,'Tracks Pull'!$BN$8:$BZ$138,T95,FALSE)</f>
        <v>7.6440108011957797</v>
      </c>
      <c r="R95" s="124">
        <f>HLOOKUP(INPUT!$Q$3,'Tracks Pull'!$BN$8:$BZ$138,T95,FALSE)</f>
        <v>4.7898398439030601</v>
      </c>
      <c r="S95" s="124">
        <f t="shared" si="16"/>
        <v>2.8541709572927196</v>
      </c>
      <c r="T95" s="199">
        <v>88</v>
      </c>
      <c r="U95" s="191" t="s">
        <v>38</v>
      </c>
      <c r="V95" s="191" t="s">
        <v>129</v>
      </c>
      <c r="W95" s="191" t="s">
        <v>90</v>
      </c>
      <c r="X95" s="102">
        <v>10.00967344030027</v>
      </c>
      <c r="Y95" s="102">
        <v>14.79314499416277</v>
      </c>
      <c r="Z95" s="102">
        <v>19.243058030528751</v>
      </c>
      <c r="AA95" s="102">
        <v>21.427848834263848</v>
      </c>
      <c r="AB95" s="102">
        <v>24.69174563133339</v>
      </c>
      <c r="AC95" s="102">
        <v>26.544253831382697</v>
      </c>
      <c r="AD95" s="102">
        <v>30.244255328782071</v>
      </c>
      <c r="AE95" s="102">
        <v>34.150908687993578</v>
      </c>
      <c r="AF95" s="102">
        <v>40.602390040124703</v>
      </c>
      <c r="AG95" s="102">
        <v>46.561153369973198</v>
      </c>
      <c r="AH95" s="102">
        <v>47.173502189234604</v>
      </c>
      <c r="AI95" s="102">
        <v>47.173502189234604</v>
      </c>
      <c r="AJ95" s="178">
        <v>47.173502189234604</v>
      </c>
      <c r="AK95" s="182"/>
      <c r="AL95" s="180">
        <v>1.3785535508763</v>
      </c>
      <c r="AM95" s="102">
        <v>1.50821747510825</v>
      </c>
      <c r="AN95" s="102">
        <v>3.6333627548035299</v>
      </c>
      <c r="AO95" s="102">
        <v>3.75884334187203</v>
      </c>
      <c r="AP95" s="102">
        <v>4.1033947826121002</v>
      </c>
      <c r="AQ95" s="102">
        <v>4.7898398439030601</v>
      </c>
      <c r="AR95" s="102">
        <v>7.6440108011957797</v>
      </c>
      <c r="AS95" s="102">
        <v>10.6096863918082</v>
      </c>
      <c r="AT95" s="102">
        <v>14.1479242000374</v>
      </c>
      <c r="AU95" s="102">
        <v>17.4943199780162</v>
      </c>
      <c r="AV95" s="102">
        <v>26.744392265308299</v>
      </c>
      <c r="AW95" s="102">
        <v>34.398126308413197</v>
      </c>
      <c r="AX95" s="102">
        <v>40.951315914322201</v>
      </c>
      <c r="AY95" s="128"/>
      <c r="AZ95" s="102">
        <v>10.00967344030027</v>
      </c>
      <c r="BA95" s="102">
        <v>14.79314499416277</v>
      </c>
      <c r="BB95" s="102">
        <v>19.243058030528751</v>
      </c>
      <c r="BC95" s="102">
        <v>21.427848834263848</v>
      </c>
      <c r="BD95" s="102">
        <v>24.69174563133339</v>
      </c>
      <c r="BE95" s="102">
        <v>26.544253831382697</v>
      </c>
      <c r="BF95" s="102">
        <v>30.244255328782071</v>
      </c>
      <c r="BG95" s="102">
        <v>34.150908687993578</v>
      </c>
      <c r="BH95" s="102">
        <v>40.602390040124703</v>
      </c>
      <c r="BI95" s="102">
        <v>46.561153369973198</v>
      </c>
      <c r="BJ95" s="102">
        <v>47.173502189234604</v>
      </c>
      <c r="BK95" s="102">
        <v>47.173502189234604</v>
      </c>
      <c r="BL95" s="102">
        <v>47.173502189234604</v>
      </c>
      <c r="BM95" s="128"/>
      <c r="BN95" s="102">
        <v>1.3785535508763</v>
      </c>
      <c r="BO95" s="102">
        <v>1.50821747510825</v>
      </c>
      <c r="BP95" s="102">
        <v>3.6333627548035299</v>
      </c>
      <c r="BQ95" s="102">
        <v>3.75884334187203</v>
      </c>
      <c r="BR95" s="102">
        <v>4.1033947826121002</v>
      </c>
      <c r="BS95" s="102">
        <v>4.7898398439030601</v>
      </c>
      <c r="BT95" s="102">
        <v>7.6440108011957797</v>
      </c>
      <c r="BU95" s="102">
        <v>10.6096863918082</v>
      </c>
      <c r="BV95" s="102">
        <v>14.1479242000374</v>
      </c>
      <c r="BW95" s="102">
        <v>17.4943199780162</v>
      </c>
      <c r="BX95" s="102">
        <v>26.744392265308299</v>
      </c>
      <c r="BY95" s="102">
        <v>34.398126308413197</v>
      </c>
      <c r="BZ95" s="102">
        <v>40.951315914322201</v>
      </c>
    </row>
    <row r="96" spans="1:78">
      <c r="A96" s="237" t="s">
        <v>218</v>
      </c>
      <c r="B96" s="236" t="s">
        <v>34</v>
      </c>
      <c r="C96" s="191" t="s">
        <v>38</v>
      </c>
      <c r="D96" s="190" t="s">
        <v>34</v>
      </c>
      <c r="E96" s="124">
        <f>HLOOKUP(INPUT!$Q$2,'Tracks Pull'!$X$8:$AJ$138,T96,FALSE)</f>
        <v>49.524748563658676</v>
      </c>
      <c r="F96" s="124">
        <f>HLOOKUP(INPUT!$Q$3,'Tracks Pull'!$X$8:$AJ$138,T96,FALSE)</f>
        <v>41.052020810193639</v>
      </c>
      <c r="G96" s="124">
        <f t="shared" si="13"/>
        <v>8.4727277534650369</v>
      </c>
      <c r="I96" s="124">
        <f>HLOOKUP(INPUT!$Q$2,'Tracks Pull'!$AL$8:$AX$138,T96,FALSE)</f>
        <v>36.003154882310177</v>
      </c>
      <c r="J96" s="124">
        <f>HLOOKUP(INPUT!$Q$3,'Tracks Pull'!$AL$8:$AX$138,T96,FALSE)</f>
        <v>27.846984825108901</v>
      </c>
      <c r="K96" s="124">
        <f t="shared" si="14"/>
        <v>8.1561700572012761</v>
      </c>
      <c r="M96" s="124">
        <f>HLOOKUP(INPUT!$Q$2,'Tracks Pull'!$AZ$8:$BL$138,T96,FALSE)</f>
        <v>49.524748563658676</v>
      </c>
      <c r="N96" s="124">
        <f>HLOOKUP(INPUT!$Q$3,'Tracks Pull'!$AZ$8:$BL$138,T96,FALSE)</f>
        <v>41.052020810193639</v>
      </c>
      <c r="O96" s="124">
        <f t="shared" si="15"/>
        <v>8.4727277534650369</v>
      </c>
      <c r="Q96" s="124">
        <f>HLOOKUP(INPUT!$Q$2,'Tracks Pull'!$BN$8:$BZ$138,T96,FALSE)</f>
        <v>36.003154882310177</v>
      </c>
      <c r="R96" s="124">
        <f>HLOOKUP(INPUT!$Q$3,'Tracks Pull'!$BN$8:$BZ$138,T96,FALSE)</f>
        <v>27.846984825108901</v>
      </c>
      <c r="S96" s="124">
        <f t="shared" si="16"/>
        <v>8.1561700572012761</v>
      </c>
      <c r="T96" s="109">
        <v>89</v>
      </c>
      <c r="U96" s="191" t="s">
        <v>38</v>
      </c>
      <c r="V96" s="191" t="s">
        <v>129</v>
      </c>
      <c r="W96" s="191" t="s">
        <v>34</v>
      </c>
      <c r="X96" s="102">
        <v>15.957456951907462</v>
      </c>
      <c r="Y96" s="102">
        <v>21.45850349990339</v>
      </c>
      <c r="Z96" s="102">
        <v>26.182324623110553</v>
      </c>
      <c r="AA96" s="102">
        <v>30.383594916084174</v>
      </c>
      <c r="AB96" s="102">
        <v>37.004162915816984</v>
      </c>
      <c r="AC96" s="102">
        <v>41.052020810193639</v>
      </c>
      <c r="AD96" s="102">
        <v>49.524748563658676</v>
      </c>
      <c r="AE96" s="102">
        <v>59.139374502861003</v>
      </c>
      <c r="AF96" s="102">
        <v>70.963549585287893</v>
      </c>
      <c r="AG96" s="102">
        <v>80.644292519707946</v>
      </c>
      <c r="AH96" s="102">
        <v>85.151446235837312</v>
      </c>
      <c r="AI96" s="102">
        <v>85.151446235837312</v>
      </c>
      <c r="AJ96" s="178">
        <v>85.151446235837312</v>
      </c>
      <c r="AK96" s="182"/>
      <c r="AL96" s="180">
        <v>10.102427251212582</v>
      </c>
      <c r="AM96" s="102">
        <v>11.7811561783589</v>
      </c>
      <c r="AN96" s="102">
        <v>14.59128480717923</v>
      </c>
      <c r="AO96" s="102">
        <v>22.622618768192659</v>
      </c>
      <c r="AP96" s="102">
        <v>25.788112671160821</v>
      </c>
      <c r="AQ96" s="102">
        <v>27.846984825108901</v>
      </c>
      <c r="AR96" s="102">
        <v>36.003154882310177</v>
      </c>
      <c r="AS96" s="102">
        <v>48.917620726559555</v>
      </c>
      <c r="AT96" s="102">
        <v>61.778033846838845</v>
      </c>
      <c r="AU96" s="102">
        <v>62.587966338591052</v>
      </c>
      <c r="AV96" s="102">
        <v>69.62053852190337</v>
      </c>
      <c r="AW96" s="102">
        <v>79.662322874664582</v>
      </c>
      <c r="AX96" s="102">
        <v>94.125723571512992</v>
      </c>
      <c r="AY96" s="128"/>
      <c r="AZ96" s="102">
        <v>15.957456951907462</v>
      </c>
      <c r="BA96" s="102">
        <v>21.45850349990339</v>
      </c>
      <c r="BB96" s="102">
        <v>26.182324623110553</v>
      </c>
      <c r="BC96" s="102">
        <v>30.383594916084174</v>
      </c>
      <c r="BD96" s="102">
        <v>37.004162915816984</v>
      </c>
      <c r="BE96" s="102">
        <v>41.052020810193639</v>
      </c>
      <c r="BF96" s="102">
        <v>49.524748563658676</v>
      </c>
      <c r="BG96" s="102">
        <v>59.139374502861003</v>
      </c>
      <c r="BH96" s="102">
        <v>70.963549585287893</v>
      </c>
      <c r="BI96" s="102">
        <v>80.644292519707946</v>
      </c>
      <c r="BJ96" s="102">
        <v>85.151446235837312</v>
      </c>
      <c r="BK96" s="102">
        <v>85.151446235837312</v>
      </c>
      <c r="BL96" s="102">
        <v>85.151446235837312</v>
      </c>
      <c r="BM96" s="128"/>
      <c r="BN96" s="102">
        <v>10.102427251212582</v>
      </c>
      <c r="BO96" s="102">
        <v>11.7811561783589</v>
      </c>
      <c r="BP96" s="102">
        <v>14.59128480717923</v>
      </c>
      <c r="BQ96" s="102">
        <v>22.622618768192659</v>
      </c>
      <c r="BR96" s="102">
        <v>25.788112671160821</v>
      </c>
      <c r="BS96" s="102">
        <v>27.846984825108901</v>
      </c>
      <c r="BT96" s="102">
        <v>36.003154882310177</v>
      </c>
      <c r="BU96" s="102">
        <v>48.917620726559555</v>
      </c>
      <c r="BV96" s="102">
        <v>61.778033846838845</v>
      </c>
      <c r="BW96" s="102">
        <v>62.587966338591052</v>
      </c>
      <c r="BX96" s="102">
        <v>69.62053852190337</v>
      </c>
      <c r="BY96" s="102">
        <v>79.662322874664582</v>
      </c>
      <c r="BZ96" s="102">
        <v>94.125723571512992</v>
      </c>
    </row>
    <row r="97" spans="1:78" outlineLevel="1">
      <c r="A97" s="237" t="s">
        <v>218</v>
      </c>
      <c r="B97" s="236" t="s">
        <v>414</v>
      </c>
      <c r="C97" s="191" t="s">
        <v>38</v>
      </c>
      <c r="D97" s="190" t="s">
        <v>296</v>
      </c>
      <c r="E97" s="125">
        <f>HLOOKUP(INPUT!$Q$2,'Tracks Pull'!$X$8:$AJ$138,T97,FALSE)</f>
        <v>12.64785545328732</v>
      </c>
      <c r="F97" s="125">
        <f>HLOOKUP(INPUT!$Q$3,'Tracks Pull'!$X$8:$AJ$138,T97,FALSE)</f>
        <v>10.49644013237671</v>
      </c>
      <c r="G97" s="125">
        <f t="shared" si="13"/>
        <v>2.1514153209106102</v>
      </c>
      <c r="I97" s="125">
        <f>HLOOKUP(INPUT!$Q$2,'Tracks Pull'!$AL$8:$AX$138,T97,FALSE)</f>
        <v>11.236692817397399</v>
      </c>
      <c r="J97" s="125">
        <f>HLOOKUP(INPUT!$Q$3,'Tracks Pull'!$AL$8:$AX$138,T97,FALSE)</f>
        <v>8.6911276357122702</v>
      </c>
      <c r="K97" s="125">
        <f t="shared" si="14"/>
        <v>2.545565181685129</v>
      </c>
      <c r="M97" s="125">
        <f>HLOOKUP(INPUT!$Q$2,'Tracks Pull'!$AZ$8:$BL$138,T97,FALSE)</f>
        <v>12.64785545328732</v>
      </c>
      <c r="N97" s="125">
        <f>HLOOKUP(INPUT!$Q$3,'Tracks Pull'!$AZ$8:$BL$138,T97,FALSE)</f>
        <v>10.49644013237671</v>
      </c>
      <c r="O97" s="125">
        <f t="shared" si="15"/>
        <v>2.1514153209106102</v>
      </c>
      <c r="Q97" s="125">
        <f>HLOOKUP(INPUT!$Q$2,'Tracks Pull'!$BN$8:$BZ$138,T97,FALSE)</f>
        <v>11.236692817397399</v>
      </c>
      <c r="R97" s="125">
        <f>HLOOKUP(INPUT!$Q$3,'Tracks Pull'!$BN$8:$BZ$138,T97,FALSE)</f>
        <v>8.6911276357122702</v>
      </c>
      <c r="S97" s="125">
        <f t="shared" si="16"/>
        <v>2.545565181685129</v>
      </c>
      <c r="T97" s="199">
        <v>90</v>
      </c>
      <c r="U97" s="427" t="s">
        <v>38</v>
      </c>
      <c r="V97" s="427" t="s">
        <v>129</v>
      </c>
      <c r="W97" s="500" t="s">
        <v>296</v>
      </c>
      <c r="X97" s="102">
        <v>4.1078627259933898</v>
      </c>
      <c r="Y97" s="102">
        <v>5.3592117181260797</v>
      </c>
      <c r="Z97" s="102">
        <v>6.5447564245183401</v>
      </c>
      <c r="AA97" s="102">
        <v>7.5815260046326101</v>
      </c>
      <c r="AB97" s="102">
        <v>9.4226798460345407</v>
      </c>
      <c r="AC97" s="102">
        <v>10.49644013237671</v>
      </c>
      <c r="AD97" s="102">
        <v>12.64785545328732</v>
      </c>
      <c r="AE97" s="102">
        <v>15.12838227029267</v>
      </c>
      <c r="AF97" s="102">
        <v>18.59769523910834</v>
      </c>
      <c r="AG97" s="102">
        <v>21.314699174527991</v>
      </c>
      <c r="AH97" s="102">
        <v>22.210477047806449</v>
      </c>
      <c r="AI97" s="102">
        <v>22.210477047806449</v>
      </c>
      <c r="AJ97" s="178">
        <v>22.210477047806449</v>
      </c>
      <c r="AK97" s="182"/>
      <c r="AL97" s="180">
        <v>3.1529978998522701</v>
      </c>
      <c r="AM97" s="102">
        <v>3.6769342420890601</v>
      </c>
      <c r="AN97" s="102">
        <v>4.5539838307333902</v>
      </c>
      <c r="AO97" s="102">
        <v>7.0605872917034302</v>
      </c>
      <c r="AP97" s="102">
        <v>8.04854745017483</v>
      </c>
      <c r="AQ97" s="102">
        <v>8.6911276357122702</v>
      </c>
      <c r="AR97" s="102">
        <v>11.236692817397399</v>
      </c>
      <c r="AS97" s="102">
        <v>15.2673364114648</v>
      </c>
      <c r="AT97" s="102">
        <v>19.281109987969</v>
      </c>
      <c r="AU97" s="102">
        <v>19.5338923522479</v>
      </c>
      <c r="AV97" s="102">
        <v>21.728779261419302</v>
      </c>
      <c r="AW97" s="102">
        <v>24.862850330451302</v>
      </c>
      <c r="AX97" s="102">
        <v>29.3769211460972</v>
      </c>
      <c r="AY97" s="128"/>
      <c r="AZ97" s="102">
        <v>4.1078627259933898</v>
      </c>
      <c r="BA97" s="102">
        <v>5.3592117181260797</v>
      </c>
      <c r="BB97" s="102">
        <v>6.5447564245183401</v>
      </c>
      <c r="BC97" s="102">
        <v>7.5815260046326101</v>
      </c>
      <c r="BD97" s="102">
        <v>9.4226798460345407</v>
      </c>
      <c r="BE97" s="102">
        <v>10.49644013237671</v>
      </c>
      <c r="BF97" s="102">
        <v>12.64785545328732</v>
      </c>
      <c r="BG97" s="102">
        <v>15.12838227029267</v>
      </c>
      <c r="BH97" s="102">
        <v>18.59769523910834</v>
      </c>
      <c r="BI97" s="102">
        <v>21.314699174527991</v>
      </c>
      <c r="BJ97" s="102">
        <v>22.210477047806449</v>
      </c>
      <c r="BK97" s="102">
        <v>22.210477047806449</v>
      </c>
      <c r="BL97" s="102">
        <v>22.210477047806449</v>
      </c>
      <c r="BM97" s="128"/>
      <c r="BN97" s="102">
        <v>3.1529978998522701</v>
      </c>
      <c r="BO97" s="102">
        <v>3.6769342420890601</v>
      </c>
      <c r="BP97" s="102">
        <v>4.5539838307333902</v>
      </c>
      <c r="BQ97" s="102">
        <v>7.0605872917034302</v>
      </c>
      <c r="BR97" s="102">
        <v>8.04854745017483</v>
      </c>
      <c r="BS97" s="102">
        <v>8.6911276357122702</v>
      </c>
      <c r="BT97" s="102">
        <v>11.236692817397399</v>
      </c>
      <c r="BU97" s="102">
        <v>15.2673364114648</v>
      </c>
      <c r="BV97" s="102">
        <v>19.281109987969</v>
      </c>
      <c r="BW97" s="102">
        <v>19.5338923522479</v>
      </c>
      <c r="BX97" s="102">
        <v>21.728779261419302</v>
      </c>
      <c r="BY97" s="102">
        <v>24.862850330451302</v>
      </c>
      <c r="BZ97" s="102">
        <v>29.3769211460972</v>
      </c>
    </row>
    <row r="98" spans="1:78" outlineLevel="1">
      <c r="A98" s="237" t="s">
        <v>218</v>
      </c>
      <c r="B98" s="236" t="s">
        <v>401</v>
      </c>
      <c r="C98" s="191"/>
      <c r="D98" s="190" t="s">
        <v>397</v>
      </c>
      <c r="E98" s="125"/>
      <c r="F98" s="125"/>
      <c r="G98" s="125"/>
      <c r="I98" s="125"/>
      <c r="J98" s="125"/>
      <c r="K98" s="125"/>
      <c r="M98" s="125"/>
      <c r="N98" s="125"/>
      <c r="O98" s="125"/>
      <c r="Q98" s="125"/>
      <c r="R98" s="125"/>
      <c r="S98" s="125"/>
      <c r="T98" s="109">
        <v>91</v>
      </c>
      <c r="U98" s="427" t="s">
        <v>38</v>
      </c>
      <c r="V98" s="427" t="s">
        <v>129</v>
      </c>
      <c r="W98" s="500" t="s">
        <v>397</v>
      </c>
      <c r="X98" s="102">
        <v>2.5785652713862799</v>
      </c>
      <c r="Y98" s="102">
        <v>3.5080552278330899</v>
      </c>
      <c r="Z98" s="102">
        <v>4.2788859557782697</v>
      </c>
      <c r="AA98" s="102">
        <v>4.9687887542693101</v>
      </c>
      <c r="AB98" s="102">
        <v>6.0049048570546404</v>
      </c>
      <c r="AC98" s="102">
        <v>6.6511823828325607</v>
      </c>
      <c r="AD98" s="102">
        <v>8.0276006530903903</v>
      </c>
      <c r="AE98" s="102">
        <v>9.5798800930498302</v>
      </c>
      <c r="AF98" s="102">
        <v>11.38576998381539</v>
      </c>
      <c r="AG98" s="102">
        <v>12.894687937911289</v>
      </c>
      <c r="AH98" s="102">
        <v>13.688132013945911</v>
      </c>
      <c r="AI98" s="102">
        <v>13.688132013945911</v>
      </c>
      <c r="AJ98" s="178">
        <v>13.688132013945911</v>
      </c>
      <c r="AK98" s="182"/>
      <c r="AL98" s="180">
        <v>1.5805472062039001</v>
      </c>
      <c r="AM98" s="102">
        <v>1.84318807951049</v>
      </c>
      <c r="AN98" s="102">
        <v>2.2828389518117498</v>
      </c>
      <c r="AO98" s="102">
        <v>3.5393590076871</v>
      </c>
      <c r="AP98" s="102">
        <v>4.0346075672836301</v>
      </c>
      <c r="AQ98" s="102">
        <v>4.3567226936720003</v>
      </c>
      <c r="AR98" s="102">
        <v>5.63277363436905</v>
      </c>
      <c r="AS98" s="102">
        <v>7.6532705310226898</v>
      </c>
      <c r="AT98" s="102">
        <v>9.6653107588249298</v>
      </c>
      <c r="AU98" s="102">
        <v>9.7920264980448408</v>
      </c>
      <c r="AV98" s="102">
        <v>10.892288053051599</v>
      </c>
      <c r="AW98" s="102">
        <v>12.463347542953199</v>
      </c>
      <c r="AX98" s="102">
        <v>14.726178741353401</v>
      </c>
      <c r="AY98" s="128"/>
      <c r="AZ98" s="102">
        <v>2.5785652713862799</v>
      </c>
      <c r="BA98" s="102">
        <v>3.5080552278330899</v>
      </c>
      <c r="BB98" s="102">
        <v>4.2788859557782697</v>
      </c>
      <c r="BC98" s="102">
        <v>4.9687887542693101</v>
      </c>
      <c r="BD98" s="102">
        <v>6.0049048570546404</v>
      </c>
      <c r="BE98" s="102">
        <v>6.6511823828325607</v>
      </c>
      <c r="BF98" s="102">
        <v>8.0276006530903903</v>
      </c>
      <c r="BG98" s="102">
        <v>9.5798800930498302</v>
      </c>
      <c r="BH98" s="102">
        <v>11.38576998381539</v>
      </c>
      <c r="BI98" s="102">
        <v>12.894687937911289</v>
      </c>
      <c r="BJ98" s="102">
        <v>13.688132013945911</v>
      </c>
      <c r="BK98" s="102">
        <v>13.688132013945911</v>
      </c>
      <c r="BL98" s="102">
        <v>13.688132013945911</v>
      </c>
      <c r="BM98" s="128"/>
      <c r="BN98" s="102">
        <v>1.5805472062039001</v>
      </c>
      <c r="BO98" s="102">
        <v>1.84318807951049</v>
      </c>
      <c r="BP98" s="102">
        <v>2.2828389518117498</v>
      </c>
      <c r="BQ98" s="102">
        <v>3.5393590076871</v>
      </c>
      <c r="BR98" s="102">
        <v>4.0346075672836301</v>
      </c>
      <c r="BS98" s="102">
        <v>4.3567226936720003</v>
      </c>
      <c r="BT98" s="102">
        <v>5.63277363436905</v>
      </c>
      <c r="BU98" s="102">
        <v>7.6532705310226898</v>
      </c>
      <c r="BV98" s="102">
        <v>9.6653107588249298</v>
      </c>
      <c r="BW98" s="102">
        <v>9.7920264980448408</v>
      </c>
      <c r="BX98" s="102">
        <v>10.892288053051599</v>
      </c>
      <c r="BY98" s="102">
        <v>12.463347542953199</v>
      </c>
      <c r="BZ98" s="102">
        <v>14.726178741353401</v>
      </c>
    </row>
    <row r="99" spans="1:78" outlineLevel="1">
      <c r="A99" s="237" t="s">
        <v>218</v>
      </c>
      <c r="B99" s="236" t="s">
        <v>409</v>
      </c>
      <c r="C99" s="191"/>
      <c r="D99" s="190" t="s">
        <v>396</v>
      </c>
      <c r="E99" s="125"/>
      <c r="F99" s="125"/>
      <c r="G99" s="125"/>
      <c r="I99" s="125"/>
      <c r="J99" s="125"/>
      <c r="K99" s="125"/>
      <c r="M99" s="125"/>
      <c r="N99" s="125"/>
      <c r="O99" s="125"/>
      <c r="Q99" s="125"/>
      <c r="R99" s="125"/>
      <c r="S99" s="125"/>
      <c r="T99" s="199">
        <v>92</v>
      </c>
      <c r="U99" s="427" t="s">
        <v>38</v>
      </c>
      <c r="V99" s="427" t="s">
        <v>129</v>
      </c>
      <c r="W99" s="500" t="s">
        <v>396</v>
      </c>
      <c r="X99" s="102">
        <v>1.60662000064335</v>
      </c>
      <c r="Y99" s="102">
        <v>2.1037079367875799</v>
      </c>
      <c r="Z99" s="102">
        <v>2.5688047390209099</v>
      </c>
      <c r="AA99" s="102">
        <v>2.97637842270171</v>
      </c>
      <c r="AB99" s="102">
        <v>3.6900948874462198</v>
      </c>
      <c r="AC99" s="102">
        <v>4.1085733416521197</v>
      </c>
      <c r="AD99" s="102">
        <v>4.9513928496207402</v>
      </c>
      <c r="AE99" s="102">
        <v>5.92129301713444</v>
      </c>
      <c r="AF99" s="102">
        <v>7.258352506256351</v>
      </c>
      <c r="AG99" s="102">
        <v>8.3105184972534296</v>
      </c>
      <c r="AH99" s="102">
        <v>8.6731844217603005</v>
      </c>
      <c r="AI99" s="102">
        <v>8.6731844217603005</v>
      </c>
      <c r="AJ99" s="178">
        <v>8.6731844217603005</v>
      </c>
      <c r="AK99" s="182"/>
      <c r="AL99" s="180">
        <v>1.1180921329274101</v>
      </c>
      <c r="AM99" s="102">
        <v>1.3038864534492101</v>
      </c>
      <c r="AN99" s="102">
        <v>1.61489910756369</v>
      </c>
      <c r="AO99" s="102">
        <v>2.5037717611771102</v>
      </c>
      <c r="AP99" s="102">
        <v>2.8541146779562001</v>
      </c>
      <c r="AQ99" s="102">
        <v>3.0819815757610201</v>
      </c>
      <c r="AR99" s="102">
        <v>3.9846705384239498</v>
      </c>
      <c r="AS99" s="102">
        <v>5.4139867118892804</v>
      </c>
      <c r="AT99" s="102">
        <v>6.8373205680429701</v>
      </c>
      <c r="AU99" s="102">
        <v>6.9269603273514901</v>
      </c>
      <c r="AV99" s="102">
        <v>7.7052944283431</v>
      </c>
      <c r="AW99" s="102">
        <v>8.8166748724861801</v>
      </c>
      <c r="AX99" s="102">
        <v>10.4174203302258</v>
      </c>
      <c r="AY99" s="128"/>
      <c r="AZ99" s="102">
        <v>1.60662000064335</v>
      </c>
      <c r="BA99" s="102">
        <v>2.1037079367875799</v>
      </c>
      <c r="BB99" s="102">
        <v>2.5688047390209099</v>
      </c>
      <c r="BC99" s="102">
        <v>2.97637842270171</v>
      </c>
      <c r="BD99" s="102">
        <v>3.6900948874462198</v>
      </c>
      <c r="BE99" s="102">
        <v>4.1085733416521197</v>
      </c>
      <c r="BF99" s="102">
        <v>4.9513928496207402</v>
      </c>
      <c r="BG99" s="102">
        <v>5.92129301713444</v>
      </c>
      <c r="BH99" s="102">
        <v>7.258352506256351</v>
      </c>
      <c r="BI99" s="102">
        <v>8.3105184972534296</v>
      </c>
      <c r="BJ99" s="102">
        <v>8.6731844217603005</v>
      </c>
      <c r="BK99" s="102">
        <v>8.6731844217603005</v>
      </c>
      <c r="BL99" s="102">
        <v>8.6731844217603005</v>
      </c>
      <c r="BM99" s="128"/>
      <c r="BN99" s="102">
        <v>1.1180921329274101</v>
      </c>
      <c r="BO99" s="102">
        <v>1.3038864534492101</v>
      </c>
      <c r="BP99" s="102">
        <v>1.61489910756369</v>
      </c>
      <c r="BQ99" s="102">
        <v>2.5037717611771102</v>
      </c>
      <c r="BR99" s="102">
        <v>2.8541146779562001</v>
      </c>
      <c r="BS99" s="102">
        <v>3.0819815757610201</v>
      </c>
      <c r="BT99" s="102">
        <v>3.9846705384239498</v>
      </c>
      <c r="BU99" s="102">
        <v>5.4139867118892804</v>
      </c>
      <c r="BV99" s="102">
        <v>6.8373205680429701</v>
      </c>
      <c r="BW99" s="102">
        <v>6.9269603273514901</v>
      </c>
      <c r="BX99" s="102">
        <v>7.7052944283431</v>
      </c>
      <c r="BY99" s="102">
        <v>8.8166748724861801</v>
      </c>
      <c r="BZ99" s="102">
        <v>10.4174203302258</v>
      </c>
    </row>
    <row r="100" spans="1:78" outlineLevel="1">
      <c r="A100" s="237" t="s">
        <v>218</v>
      </c>
      <c r="B100" s="236" t="s">
        <v>93</v>
      </c>
      <c r="C100" s="191" t="s">
        <v>38</v>
      </c>
      <c r="D100" s="190" t="s">
        <v>133</v>
      </c>
      <c r="E100" s="125">
        <f>HLOOKUP(INPUT!$Q$2,'Tracks Pull'!$X$8:$AJ$138,T100,FALSE)</f>
        <v>8.9621839377902184</v>
      </c>
      <c r="F100" s="125">
        <f>HLOOKUP(INPUT!$Q$3,'Tracks Pull'!$X$8:$AJ$138,T100,FALSE)</f>
        <v>7.4323015127071805</v>
      </c>
      <c r="G100" s="125">
        <f t="shared" si="13"/>
        <v>1.5298824250830378</v>
      </c>
      <c r="I100" s="125">
        <f>HLOOKUP(INPUT!$Q$2,'Tracks Pull'!$AL$8:$AX$138,T100,FALSE)</f>
        <v>5.0429600558292798</v>
      </c>
      <c r="J100" s="125">
        <f>HLOOKUP(INPUT!$Q$3,'Tracks Pull'!$AL$8:$AX$138,T100,FALSE)</f>
        <v>3.90052573468521</v>
      </c>
      <c r="K100" s="125">
        <f t="shared" si="14"/>
        <v>1.1424343211440697</v>
      </c>
      <c r="M100" s="125">
        <f>HLOOKUP(INPUT!$Q$2,'Tracks Pull'!$AZ$8:$BL$138,T100,FALSE)</f>
        <v>8.9621839377902184</v>
      </c>
      <c r="N100" s="125">
        <f>HLOOKUP(INPUT!$Q$3,'Tracks Pull'!$AZ$8:$BL$138,T100,FALSE)</f>
        <v>7.4323015127071805</v>
      </c>
      <c r="O100" s="125">
        <f t="shared" si="15"/>
        <v>1.5298824250830378</v>
      </c>
      <c r="Q100" s="125">
        <f>HLOOKUP(INPUT!$Q$2,'Tracks Pull'!$BN$8:$BZ$138,T100,FALSE)</f>
        <v>5.0429600558292798</v>
      </c>
      <c r="R100" s="125">
        <f>HLOOKUP(INPUT!$Q$3,'Tracks Pull'!$BN$8:$BZ$138,T100,FALSE)</f>
        <v>3.90052573468521</v>
      </c>
      <c r="S100" s="125">
        <f t="shared" si="16"/>
        <v>1.1424343211440697</v>
      </c>
      <c r="T100" s="109">
        <v>93</v>
      </c>
      <c r="U100" s="191" t="s">
        <v>38</v>
      </c>
      <c r="V100" s="191" t="s">
        <v>129</v>
      </c>
      <c r="W100" s="190" t="s">
        <v>297</v>
      </c>
      <c r="X100" s="102">
        <v>2.89659325236167</v>
      </c>
      <c r="Y100" s="102">
        <v>3.8502668394520598</v>
      </c>
      <c r="Z100" s="102">
        <v>4.6994295147677301</v>
      </c>
      <c r="AA100" s="102">
        <v>5.4498558601831997</v>
      </c>
      <c r="AB100" s="102">
        <v>6.6888915918512897</v>
      </c>
      <c r="AC100" s="102">
        <v>7.4323015127071805</v>
      </c>
      <c r="AD100" s="102">
        <v>8.9621839377902184</v>
      </c>
      <c r="AE100" s="102">
        <v>10.708918876753049</v>
      </c>
      <c r="AF100" s="102">
        <v>12.97111950462547</v>
      </c>
      <c r="AG100" s="102">
        <v>14.78962735916901</v>
      </c>
      <c r="AH100" s="102">
        <v>15.535730724368531</v>
      </c>
      <c r="AI100" s="102">
        <v>15.535730724368531</v>
      </c>
      <c r="AJ100" s="178">
        <v>15.535730724368531</v>
      </c>
      <c r="AK100" s="182"/>
      <c r="AL100" s="180">
        <v>1.4150464663811499</v>
      </c>
      <c r="AM100" s="102">
        <v>1.65018594101435</v>
      </c>
      <c r="AN100" s="102">
        <v>2.04380051377075</v>
      </c>
      <c r="AO100" s="102">
        <v>3.1687490493313399</v>
      </c>
      <c r="AP100" s="102">
        <v>3.6121396177918599</v>
      </c>
      <c r="AQ100" s="102">
        <v>3.90052573468521</v>
      </c>
      <c r="AR100" s="102">
        <v>5.0429600558292798</v>
      </c>
      <c r="AS100" s="102">
        <v>6.8518886235565803</v>
      </c>
      <c r="AT100" s="102">
        <v>8.6532460290126405</v>
      </c>
      <c r="AU100" s="102">
        <v>8.7666932315474195</v>
      </c>
      <c r="AV100" s="102">
        <v>9.7517452561855702</v>
      </c>
      <c r="AW100" s="102">
        <v>11.158297474894299</v>
      </c>
      <c r="AX100" s="102">
        <v>13.184185267897</v>
      </c>
      <c r="AY100" s="128"/>
      <c r="AZ100" s="102">
        <v>2.89659325236167</v>
      </c>
      <c r="BA100" s="102">
        <v>3.8502668394520598</v>
      </c>
      <c r="BB100" s="102">
        <v>4.6994295147677301</v>
      </c>
      <c r="BC100" s="102">
        <v>5.4498558601831997</v>
      </c>
      <c r="BD100" s="102">
        <v>6.6888915918512897</v>
      </c>
      <c r="BE100" s="102">
        <v>7.4323015127071805</v>
      </c>
      <c r="BF100" s="102">
        <v>8.9621839377902184</v>
      </c>
      <c r="BG100" s="102">
        <v>10.708918876753049</v>
      </c>
      <c r="BH100" s="102">
        <v>12.97111950462547</v>
      </c>
      <c r="BI100" s="102">
        <v>14.78962735916901</v>
      </c>
      <c r="BJ100" s="102">
        <v>15.535730724368531</v>
      </c>
      <c r="BK100" s="102">
        <v>15.535730724368531</v>
      </c>
      <c r="BL100" s="102">
        <v>15.535730724368531</v>
      </c>
      <c r="BM100" s="128"/>
      <c r="BN100" s="102">
        <v>1.4150464663811499</v>
      </c>
      <c r="BO100" s="102">
        <v>1.65018594101435</v>
      </c>
      <c r="BP100" s="102">
        <v>2.04380051377075</v>
      </c>
      <c r="BQ100" s="102">
        <v>3.1687490493313399</v>
      </c>
      <c r="BR100" s="102">
        <v>3.6121396177918599</v>
      </c>
      <c r="BS100" s="102">
        <v>3.90052573468521</v>
      </c>
      <c r="BT100" s="102">
        <v>5.0429600558292798</v>
      </c>
      <c r="BU100" s="102">
        <v>6.8518886235565803</v>
      </c>
      <c r="BV100" s="102">
        <v>8.6532460290126405</v>
      </c>
      <c r="BW100" s="102">
        <v>8.7666932315474195</v>
      </c>
      <c r="BX100" s="102">
        <v>9.7517452561855702</v>
      </c>
      <c r="BY100" s="102">
        <v>11.158297474894299</v>
      </c>
      <c r="BZ100" s="102">
        <v>13.184185267897</v>
      </c>
    </row>
    <row r="101" spans="1:78" outlineLevel="1">
      <c r="A101" s="237" t="s">
        <v>218</v>
      </c>
      <c r="B101" s="236" t="s">
        <v>238</v>
      </c>
      <c r="C101" s="191" t="s">
        <v>38</v>
      </c>
      <c r="D101" s="190" t="s">
        <v>134</v>
      </c>
      <c r="E101" s="125">
        <f>HLOOKUP(INPUT!$Q$2,'Tracks Pull'!$X$8:$AJ$138,T101,FALSE)</f>
        <v>16.07281157784471</v>
      </c>
      <c r="F101" s="125">
        <f>HLOOKUP(INPUT!$Q$3,'Tracks Pull'!$X$8:$AJ$138,T101,FALSE)</f>
        <v>13.306407515832969</v>
      </c>
      <c r="G101" s="125">
        <f t="shared" si="13"/>
        <v>2.7664040620117412</v>
      </c>
      <c r="I101" s="125">
        <f>HLOOKUP(INPUT!$Q$2,'Tracks Pull'!$AL$8:$AX$138,T101,FALSE)</f>
        <v>10.1060578362905</v>
      </c>
      <c r="J101" s="125">
        <f>HLOOKUP(INPUT!$Q$3,'Tracks Pull'!$AL$8:$AX$138,T101,FALSE)</f>
        <v>7.8166271852784002</v>
      </c>
      <c r="K101" s="125">
        <f t="shared" si="14"/>
        <v>2.2894306510120996</v>
      </c>
      <c r="M101" s="125">
        <f>HLOOKUP(INPUT!$Q$2,'Tracks Pull'!$AZ$8:$BL$138,T101,FALSE)</f>
        <v>16.07281157784471</v>
      </c>
      <c r="N101" s="125">
        <f>HLOOKUP(INPUT!$Q$3,'Tracks Pull'!$AZ$8:$BL$138,T101,FALSE)</f>
        <v>13.306407515832969</v>
      </c>
      <c r="O101" s="125">
        <f t="shared" si="15"/>
        <v>2.7664040620117412</v>
      </c>
      <c r="Q101" s="125">
        <f>HLOOKUP(INPUT!$Q$2,'Tracks Pull'!$BN$8:$BZ$138,T101,FALSE)</f>
        <v>10.1060578362905</v>
      </c>
      <c r="R101" s="125">
        <f>HLOOKUP(INPUT!$Q$3,'Tracks Pull'!$BN$8:$BZ$138,T101,FALSE)</f>
        <v>7.8166271852784002</v>
      </c>
      <c r="S101" s="125">
        <f t="shared" si="16"/>
        <v>2.2894306510120996</v>
      </c>
      <c r="T101" s="199">
        <v>94</v>
      </c>
      <c r="U101" s="191" t="s">
        <v>38</v>
      </c>
      <c r="V101" s="191" t="s">
        <v>129</v>
      </c>
      <c r="W101" s="190" t="s">
        <v>298</v>
      </c>
      <c r="X101" s="102">
        <v>5.13505151955854</v>
      </c>
      <c r="Y101" s="102">
        <v>7.1267955946836006</v>
      </c>
      <c r="Z101" s="102">
        <v>8.6878974311634494</v>
      </c>
      <c r="AA101" s="102">
        <v>10.100013177924319</v>
      </c>
      <c r="AB101" s="102">
        <v>12.046492452803079</v>
      </c>
      <c r="AC101" s="102">
        <v>13.306407515832969</v>
      </c>
      <c r="AD101" s="102">
        <v>16.07281157784471</v>
      </c>
      <c r="AE101" s="102">
        <v>19.15940450965245</v>
      </c>
      <c r="AF101" s="102">
        <v>22.392335121887641</v>
      </c>
      <c r="AG101" s="102">
        <v>25.205139601034841</v>
      </c>
      <c r="AH101" s="102">
        <v>27.011124788957339</v>
      </c>
      <c r="AI101" s="102">
        <v>27.011124788957339</v>
      </c>
      <c r="AJ101" s="178">
        <v>27.011124788957339</v>
      </c>
      <c r="AK101" s="182"/>
      <c r="AL101" s="180">
        <v>2.8357435458478499</v>
      </c>
      <c r="AM101" s="102">
        <v>3.3069614622957899</v>
      </c>
      <c r="AN101" s="102">
        <v>4.0957624032996502</v>
      </c>
      <c r="AO101" s="102">
        <v>6.3501516582936803</v>
      </c>
      <c r="AP101" s="102">
        <v>7.2387033579543001</v>
      </c>
      <c r="AQ101" s="102">
        <v>7.8166271852784002</v>
      </c>
      <c r="AR101" s="102">
        <v>10.1060578362905</v>
      </c>
      <c r="AS101" s="102">
        <v>13.731138448626201</v>
      </c>
      <c r="AT101" s="102">
        <v>17.3410465029893</v>
      </c>
      <c r="AU101" s="102">
        <v>17.568393929399399</v>
      </c>
      <c r="AV101" s="102">
        <v>19.542431522903801</v>
      </c>
      <c r="AW101" s="102">
        <v>22.3611526538796</v>
      </c>
      <c r="AX101" s="102">
        <v>26.4210180859396</v>
      </c>
      <c r="AY101" s="128"/>
      <c r="AZ101" s="102">
        <v>5.13505151955854</v>
      </c>
      <c r="BA101" s="102">
        <v>7.1267955946836006</v>
      </c>
      <c r="BB101" s="102">
        <v>8.6878974311634494</v>
      </c>
      <c r="BC101" s="102">
        <v>10.100013177924319</v>
      </c>
      <c r="BD101" s="102">
        <v>12.046492452803079</v>
      </c>
      <c r="BE101" s="102">
        <v>13.306407515832969</v>
      </c>
      <c r="BF101" s="102">
        <v>16.07281157784471</v>
      </c>
      <c r="BG101" s="102">
        <v>19.15940450965245</v>
      </c>
      <c r="BH101" s="102">
        <v>22.392335121887641</v>
      </c>
      <c r="BI101" s="102">
        <v>25.205139601034841</v>
      </c>
      <c r="BJ101" s="102">
        <v>27.011124788957339</v>
      </c>
      <c r="BK101" s="102">
        <v>27.011124788957339</v>
      </c>
      <c r="BL101" s="102">
        <v>27.011124788957339</v>
      </c>
      <c r="BM101" s="128"/>
      <c r="BN101" s="102">
        <v>2.8357435458478499</v>
      </c>
      <c r="BO101" s="102">
        <v>3.3069614622957899</v>
      </c>
      <c r="BP101" s="102">
        <v>4.0957624032996502</v>
      </c>
      <c r="BQ101" s="102">
        <v>6.3501516582936803</v>
      </c>
      <c r="BR101" s="102">
        <v>7.2387033579543001</v>
      </c>
      <c r="BS101" s="102">
        <v>7.8166271852784002</v>
      </c>
      <c r="BT101" s="102">
        <v>10.1060578362905</v>
      </c>
      <c r="BU101" s="102">
        <v>13.731138448626201</v>
      </c>
      <c r="BV101" s="102">
        <v>17.3410465029893</v>
      </c>
      <c r="BW101" s="102">
        <v>17.568393929399399</v>
      </c>
      <c r="BX101" s="102">
        <v>19.542431522903801</v>
      </c>
      <c r="BY101" s="102">
        <v>22.3611526538796</v>
      </c>
      <c r="BZ101" s="102">
        <v>26.4210180859396</v>
      </c>
    </row>
    <row r="102" spans="1:78">
      <c r="C102" s="191"/>
      <c r="D102" s="190"/>
      <c r="E102" s="125"/>
      <c r="F102" s="125"/>
      <c r="G102" s="125"/>
      <c r="I102" s="125"/>
      <c r="J102" s="125"/>
      <c r="K102" s="125"/>
      <c r="M102" s="125"/>
      <c r="N102" s="125"/>
      <c r="O102" s="125"/>
      <c r="Q102" s="125"/>
      <c r="R102" s="125"/>
      <c r="S102" s="125"/>
      <c r="T102" s="109">
        <v>95</v>
      </c>
      <c r="U102" s="583"/>
      <c r="V102" s="583"/>
      <c r="W102" s="583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78"/>
      <c r="AK102" s="182"/>
      <c r="AL102" s="180"/>
      <c r="AM102" s="102"/>
      <c r="AN102" s="102"/>
      <c r="AO102" s="102"/>
      <c r="AP102" s="102"/>
      <c r="AQ102" s="102"/>
      <c r="AR102" s="102"/>
      <c r="AS102" s="102"/>
      <c r="AT102" s="102"/>
      <c r="AU102" s="102"/>
      <c r="AV102" s="102"/>
      <c r="AW102" s="102"/>
      <c r="AX102" s="102"/>
      <c r="AY102" s="128"/>
      <c r="AZ102" s="102"/>
      <c r="BA102" s="102"/>
      <c r="BB102" s="102"/>
      <c r="BC102" s="102"/>
      <c r="BD102" s="102"/>
      <c r="BE102" s="102"/>
      <c r="BF102" s="102"/>
      <c r="BG102" s="102"/>
      <c r="BH102" s="102"/>
      <c r="BI102" s="102"/>
      <c r="BJ102" s="102"/>
      <c r="BK102" s="102"/>
      <c r="BL102" s="102"/>
      <c r="BM102" s="128"/>
      <c r="BN102" s="102"/>
      <c r="BO102" s="102"/>
      <c r="BP102" s="102"/>
      <c r="BQ102" s="102"/>
      <c r="BR102" s="102"/>
      <c r="BS102" s="102"/>
      <c r="BT102" s="102"/>
      <c r="BU102" s="102"/>
      <c r="BV102" s="102"/>
      <c r="BW102" s="102"/>
      <c r="BX102" s="102"/>
      <c r="BY102" s="102"/>
      <c r="BZ102" s="102"/>
    </row>
    <row r="103" spans="1:78">
      <c r="A103" s="237" t="s">
        <v>57</v>
      </c>
      <c r="B103" s="236" t="s">
        <v>13</v>
      </c>
      <c r="C103" s="191"/>
      <c r="D103" s="190"/>
      <c r="E103" s="125">
        <f>HLOOKUP(INPUT!$Q$2,'Tracks Pull'!$X$8:$AJ$138,T103,FALSE)</f>
        <v>0</v>
      </c>
      <c r="F103" s="125">
        <f>HLOOKUP(INPUT!$Q$3,'Tracks Pull'!$X$8:$AJ$138,T103,FALSE)</f>
        <v>0</v>
      </c>
      <c r="G103" s="125">
        <f t="shared" si="13"/>
        <v>0</v>
      </c>
      <c r="I103" s="125">
        <f>HLOOKUP(INPUT!$Q$2,'Tracks Pull'!$AL$8:$AX$138,T103,FALSE)</f>
        <v>0</v>
      </c>
      <c r="J103" s="125">
        <f>HLOOKUP(INPUT!$Q$3,'Tracks Pull'!$AL$8:$AX$138,T103,FALSE)</f>
        <v>0</v>
      </c>
      <c r="K103" s="125">
        <f t="shared" si="14"/>
        <v>0</v>
      </c>
      <c r="M103" s="125">
        <f>HLOOKUP(INPUT!$Q$2,'Tracks Pull'!$AZ$8:$BL$138,T103,FALSE)</f>
        <v>0</v>
      </c>
      <c r="N103" s="125">
        <f>HLOOKUP(INPUT!$Q$3,'Tracks Pull'!$AZ$8:$BL$138,T103,FALSE)</f>
        <v>0</v>
      </c>
      <c r="O103" s="125">
        <f t="shared" si="15"/>
        <v>0</v>
      </c>
      <c r="Q103" s="125">
        <f>HLOOKUP(INPUT!$Q$2,'Tracks Pull'!$BN$8:$BZ$138,T103,FALSE)</f>
        <v>0</v>
      </c>
      <c r="R103" s="125">
        <f>HLOOKUP(INPUT!$Q$3,'Tracks Pull'!$BN$8:$BZ$138,T103,FALSE)</f>
        <v>0</v>
      </c>
      <c r="S103" s="125">
        <f t="shared" si="16"/>
        <v>0</v>
      </c>
      <c r="T103" s="199">
        <v>96</v>
      </c>
      <c r="U103" s="583"/>
      <c r="V103" s="583"/>
      <c r="W103" s="583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78"/>
      <c r="AK103" s="182"/>
      <c r="AL103" s="180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28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28"/>
      <c r="BN103" s="102"/>
      <c r="BO103" s="102"/>
      <c r="BP103" s="102"/>
      <c r="BQ103" s="102"/>
      <c r="BR103" s="102"/>
      <c r="BS103" s="102"/>
      <c r="BT103" s="102"/>
      <c r="BU103" s="102"/>
      <c r="BV103" s="102"/>
      <c r="BW103" s="102"/>
      <c r="BX103" s="102"/>
      <c r="BY103" s="102"/>
      <c r="BZ103" s="102"/>
    </row>
    <row r="104" spans="1:78">
      <c r="A104" s="237" t="s">
        <v>39</v>
      </c>
      <c r="B104" s="236" t="s">
        <v>13</v>
      </c>
      <c r="C104" s="194" t="s">
        <v>39</v>
      </c>
      <c r="D104" s="194" t="s">
        <v>141</v>
      </c>
      <c r="E104" s="123">
        <f>HLOOKUP(INPUT!$Q$2,'Tracks Pull'!$X$8:$AJ$138,T104,FALSE)</f>
        <v>0</v>
      </c>
      <c r="F104" s="123">
        <f>HLOOKUP(INPUT!$Q$3,'Tracks Pull'!$X$8:$AJ$138,T104,FALSE)</f>
        <v>0</v>
      </c>
      <c r="G104" s="123">
        <f t="shared" si="13"/>
        <v>0</v>
      </c>
      <c r="I104" s="123">
        <f>HLOOKUP(INPUT!$Q$2,'Tracks Pull'!$AL$8:$AX$138,T104,FALSE)</f>
        <v>0</v>
      </c>
      <c r="J104" s="123">
        <f>HLOOKUP(INPUT!$Q$3,'Tracks Pull'!$AL$8:$AX$138,T104,FALSE)</f>
        <v>0</v>
      </c>
      <c r="K104" s="123">
        <f t="shared" si="14"/>
        <v>0</v>
      </c>
      <c r="M104" s="335">
        <f>HLOOKUP(INPUT!$Q$2,'Tracks Pull'!$AZ$8:$BL$138,T104,FALSE)</f>
        <v>0</v>
      </c>
      <c r="N104" s="123">
        <f>HLOOKUP(INPUT!$Q$3,'Tracks Pull'!$AZ$8:$BL$138,T104,FALSE)</f>
        <v>0</v>
      </c>
      <c r="O104" s="123">
        <f t="shared" si="15"/>
        <v>0</v>
      </c>
      <c r="Q104" s="123">
        <f>HLOOKUP(INPUT!$Q$2,'Tracks Pull'!$BN$8:$BZ$138,T104,FALSE)</f>
        <v>0</v>
      </c>
      <c r="R104" s="123">
        <f>HLOOKUP(INPUT!$Q$3,'Tracks Pull'!$BN$8:$BZ$138,T104,FALSE)</f>
        <v>0</v>
      </c>
      <c r="S104" s="123">
        <f t="shared" si="16"/>
        <v>0</v>
      </c>
      <c r="T104" s="109">
        <v>97</v>
      </c>
      <c r="U104" s="191" t="s">
        <v>217</v>
      </c>
      <c r="V104" s="191" t="s">
        <v>129</v>
      </c>
      <c r="W104" s="192" t="s">
        <v>141</v>
      </c>
      <c r="X104" s="102">
        <v>0</v>
      </c>
      <c r="Y104" s="102">
        <v>0</v>
      </c>
      <c r="Z104" s="102">
        <v>0</v>
      </c>
      <c r="AA104" s="102">
        <v>0</v>
      </c>
      <c r="AB104" s="102">
        <v>0</v>
      </c>
      <c r="AC104" s="102">
        <v>0</v>
      </c>
      <c r="AD104" s="102">
        <v>0</v>
      </c>
      <c r="AE104" s="102">
        <v>0</v>
      </c>
      <c r="AF104" s="102">
        <v>0</v>
      </c>
      <c r="AG104" s="102">
        <v>0</v>
      </c>
      <c r="AH104" s="102">
        <v>0</v>
      </c>
      <c r="AI104" s="102">
        <v>0</v>
      </c>
      <c r="AJ104" s="178">
        <v>0</v>
      </c>
      <c r="AK104" s="182"/>
      <c r="AL104" s="180">
        <v>0</v>
      </c>
      <c r="AM104" s="102">
        <v>0</v>
      </c>
      <c r="AN104" s="102">
        <v>0</v>
      </c>
      <c r="AO104" s="102">
        <v>0</v>
      </c>
      <c r="AP104" s="102">
        <v>0</v>
      </c>
      <c r="AQ104" s="102">
        <v>0</v>
      </c>
      <c r="AR104" s="102">
        <v>0</v>
      </c>
      <c r="AS104" s="102">
        <v>0</v>
      </c>
      <c r="AT104" s="102">
        <v>0</v>
      </c>
      <c r="AU104" s="102">
        <v>0</v>
      </c>
      <c r="AV104" s="102">
        <v>0</v>
      </c>
      <c r="AW104" s="102">
        <v>0</v>
      </c>
      <c r="AX104" s="102">
        <v>0</v>
      </c>
      <c r="AY104" s="128"/>
      <c r="AZ104" s="102">
        <v>0</v>
      </c>
      <c r="BA104" s="102">
        <v>0</v>
      </c>
      <c r="BB104" s="102">
        <v>0</v>
      </c>
      <c r="BC104" s="102">
        <v>0</v>
      </c>
      <c r="BD104" s="102">
        <v>0</v>
      </c>
      <c r="BE104" s="102">
        <v>0</v>
      </c>
      <c r="BF104" s="102">
        <v>0</v>
      </c>
      <c r="BG104" s="102">
        <v>0</v>
      </c>
      <c r="BH104" s="102">
        <v>0</v>
      </c>
      <c r="BI104" s="102">
        <v>0</v>
      </c>
      <c r="BJ104" s="102">
        <v>0</v>
      </c>
      <c r="BK104" s="102">
        <v>0</v>
      </c>
      <c r="BL104" s="102">
        <v>0</v>
      </c>
      <c r="BM104" s="128"/>
      <c r="BN104" s="102">
        <v>0</v>
      </c>
      <c r="BO104" s="102">
        <v>0</v>
      </c>
      <c r="BP104" s="102">
        <v>0</v>
      </c>
      <c r="BQ104" s="102">
        <v>0</v>
      </c>
      <c r="BR104" s="102">
        <v>0</v>
      </c>
      <c r="BS104" s="102">
        <v>0</v>
      </c>
      <c r="BT104" s="102">
        <v>0</v>
      </c>
      <c r="BU104" s="102">
        <v>0</v>
      </c>
      <c r="BV104" s="102">
        <v>0</v>
      </c>
      <c r="BW104" s="102">
        <v>0</v>
      </c>
      <c r="BX104" s="102">
        <v>0</v>
      </c>
      <c r="BY104" s="102">
        <v>0</v>
      </c>
      <c r="BZ104" s="102">
        <v>0</v>
      </c>
    </row>
    <row r="105" spans="1:78">
      <c r="A105" s="237" t="s">
        <v>239</v>
      </c>
      <c r="B105" s="236" t="s">
        <v>13</v>
      </c>
      <c r="C105" s="194"/>
      <c r="D105" s="194"/>
      <c r="E105" s="125">
        <f>HLOOKUP(INPUT!$Q$2,'Tracks Pull'!$X$8:$AJ$138,T105,FALSE)</f>
        <v>0</v>
      </c>
      <c r="F105" s="125">
        <f>HLOOKUP(INPUT!$Q$3,'Tracks Pull'!$X$8:$AJ$138,T105,FALSE)</f>
        <v>0</v>
      </c>
      <c r="G105" s="125">
        <f t="shared" si="13"/>
        <v>0</v>
      </c>
      <c r="I105" s="125">
        <f>HLOOKUP(INPUT!$Q$2,'Tracks Pull'!$AL$8:$AX$138,T105,FALSE)</f>
        <v>0</v>
      </c>
      <c r="J105" s="125">
        <f>HLOOKUP(INPUT!$Q$3,'Tracks Pull'!$AL$8:$AX$138,T105,FALSE)</f>
        <v>0</v>
      </c>
      <c r="K105" s="125">
        <f t="shared" si="14"/>
        <v>0</v>
      </c>
      <c r="M105" s="125">
        <f>HLOOKUP(INPUT!$Q$2,'Tracks Pull'!$AZ$8:$BL$138,T105,FALSE)</f>
        <v>0</v>
      </c>
      <c r="N105" s="125">
        <f>HLOOKUP(INPUT!$Q$3,'Tracks Pull'!$AZ$8:$BL$138,T105,FALSE)</f>
        <v>0</v>
      </c>
      <c r="O105" s="125">
        <f t="shared" si="15"/>
        <v>0</v>
      </c>
      <c r="Q105" s="125">
        <f>HLOOKUP(INPUT!$Q$2,'Tracks Pull'!$BN$8:$BZ$138,T105,FALSE)</f>
        <v>0</v>
      </c>
      <c r="R105" s="125">
        <f>HLOOKUP(INPUT!$Q$3,'Tracks Pull'!$BN$8:$BZ$138,T105,FALSE)</f>
        <v>0</v>
      </c>
      <c r="S105" s="125">
        <f t="shared" si="16"/>
        <v>0</v>
      </c>
      <c r="T105" s="199">
        <v>98</v>
      </c>
      <c r="U105" s="583"/>
      <c r="V105" s="583"/>
      <c r="W105" s="583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78"/>
      <c r="AK105" s="182"/>
      <c r="AL105" s="180"/>
      <c r="AM105" s="102"/>
      <c r="AN105" s="102"/>
      <c r="AO105" s="102"/>
      <c r="AP105" s="102"/>
      <c r="AQ105" s="102"/>
      <c r="AR105" s="102"/>
      <c r="AS105" s="102"/>
      <c r="AT105" s="102"/>
      <c r="AU105" s="102"/>
      <c r="AV105" s="102"/>
      <c r="AW105" s="102"/>
      <c r="AX105" s="102"/>
      <c r="AY105" s="128"/>
      <c r="AZ105" s="102"/>
      <c r="BA105" s="102"/>
      <c r="BB105" s="102"/>
      <c r="BC105" s="102"/>
      <c r="BD105" s="102"/>
      <c r="BE105" s="102"/>
      <c r="BF105" s="102"/>
      <c r="BG105" s="102"/>
      <c r="BH105" s="102"/>
      <c r="BI105" s="102"/>
      <c r="BJ105" s="102"/>
      <c r="BK105" s="102"/>
      <c r="BL105" s="102"/>
      <c r="BM105" s="128"/>
      <c r="BN105" s="102"/>
      <c r="BO105" s="102"/>
      <c r="BP105" s="102"/>
      <c r="BQ105" s="102"/>
      <c r="BR105" s="102"/>
      <c r="BS105" s="102"/>
      <c r="BT105" s="102"/>
      <c r="BU105" s="102"/>
      <c r="BV105" s="102"/>
      <c r="BW105" s="102"/>
      <c r="BX105" s="102"/>
      <c r="BY105" s="102"/>
      <c r="BZ105" s="102"/>
    </row>
    <row r="106" spans="1:78">
      <c r="B106" s="236"/>
      <c r="C106" s="194"/>
      <c r="D106" s="194"/>
      <c r="E106" s="125"/>
      <c r="F106" s="125"/>
      <c r="G106" s="125"/>
      <c r="I106" s="125"/>
      <c r="J106" s="125"/>
      <c r="K106" s="125"/>
      <c r="M106" s="125"/>
      <c r="N106" s="125"/>
      <c r="O106" s="125"/>
      <c r="Q106" s="125"/>
      <c r="R106" s="125"/>
      <c r="S106" s="125"/>
      <c r="T106" s="109">
        <v>99</v>
      </c>
      <c r="U106" s="583"/>
      <c r="V106" s="583"/>
      <c r="W106" s="583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78"/>
      <c r="AK106" s="182"/>
      <c r="AL106" s="180"/>
      <c r="AM106" s="102"/>
      <c r="AN106" s="102"/>
      <c r="AO106" s="102"/>
      <c r="AP106" s="102"/>
      <c r="AQ106" s="102"/>
      <c r="AR106" s="102"/>
      <c r="AS106" s="102"/>
      <c r="AT106" s="102"/>
      <c r="AU106" s="102"/>
      <c r="AV106" s="102"/>
      <c r="AW106" s="102"/>
      <c r="AX106" s="102"/>
      <c r="AY106" s="128"/>
      <c r="AZ106" s="102"/>
      <c r="BA106" s="102"/>
      <c r="BB106" s="102"/>
      <c r="BC106" s="102"/>
      <c r="BD106" s="102"/>
      <c r="BE106" s="102"/>
      <c r="BF106" s="102"/>
      <c r="BG106" s="102"/>
      <c r="BH106" s="102"/>
      <c r="BI106" s="102"/>
      <c r="BJ106" s="102"/>
      <c r="BK106" s="102"/>
      <c r="BL106" s="102"/>
      <c r="BM106" s="128"/>
      <c r="BN106" s="102"/>
      <c r="BO106" s="102"/>
      <c r="BP106" s="102"/>
      <c r="BQ106" s="102"/>
      <c r="BR106" s="102"/>
      <c r="BS106" s="102"/>
      <c r="BT106" s="102"/>
      <c r="BU106" s="102"/>
      <c r="BV106" s="102"/>
      <c r="BW106" s="102"/>
      <c r="BX106" s="102"/>
      <c r="BY106" s="102"/>
      <c r="BZ106" s="102"/>
    </row>
    <row r="107" spans="1:78" ht="15" thickBot="1">
      <c r="A107" s="237" t="s">
        <v>242</v>
      </c>
      <c r="B107" s="236" t="s">
        <v>13</v>
      </c>
      <c r="C107" s="194" t="s">
        <v>40</v>
      </c>
      <c r="D107" s="202" t="s">
        <v>231</v>
      </c>
      <c r="E107" s="123">
        <f>HLOOKUP(INPUT!$Q$2,'Tracks Pull'!$X$8:$AJ$138,T107,FALSE)</f>
        <v>660.5824442612228</v>
      </c>
      <c r="F107" s="123">
        <f>HLOOKUP(INPUT!$Q$3,'Tracks Pull'!$X$8:$AJ$138,T107,FALSE)</f>
        <v>532.44685707008489</v>
      </c>
      <c r="G107" s="123">
        <f t="shared" si="13"/>
        <v>128.13558719113792</v>
      </c>
      <c r="I107" s="123">
        <f>HLOOKUP(INPUT!$Q$2,'Tracks Pull'!$AL$8:$AX$138,T107,FALSE)</f>
        <v>406.39621910456526</v>
      </c>
      <c r="J107" s="123">
        <f>HLOOKUP(INPUT!$Q$3,'Tracks Pull'!$AL$8:$AX$138,T107,FALSE)</f>
        <v>293.10102731764835</v>
      </c>
      <c r="K107" s="123">
        <f t="shared" si="14"/>
        <v>113.29519178691692</v>
      </c>
      <c r="M107" s="123">
        <f>HLOOKUP(INPUT!$Q$2,'Tracks Pull'!$AZ$8:$BL$138,T107,FALSE)</f>
        <v>660.5824442612228</v>
      </c>
      <c r="N107" s="123">
        <f>HLOOKUP(INPUT!$Q$3,'Tracks Pull'!$AZ$8:$BL$138,T107,FALSE)</f>
        <v>532.44685707008489</v>
      </c>
      <c r="O107" s="123">
        <f t="shared" si="15"/>
        <v>128.13558719113792</v>
      </c>
      <c r="Q107" s="123">
        <f>HLOOKUP(INPUT!$Q$2,'Tracks Pull'!$BN$8:$BZ$138,T107,FALSE)</f>
        <v>406.39621910456526</v>
      </c>
      <c r="R107" s="123">
        <f>HLOOKUP(INPUT!$Q$3,'Tracks Pull'!$BN$8:$BZ$138,T107,FALSE)</f>
        <v>293.10102731764835</v>
      </c>
      <c r="S107" s="123">
        <f t="shared" si="16"/>
        <v>113.29519178691692</v>
      </c>
      <c r="T107" s="199">
        <v>100</v>
      </c>
      <c r="U107" s="194" t="s">
        <v>40</v>
      </c>
      <c r="V107" s="191" t="s">
        <v>129</v>
      </c>
      <c r="W107" s="194" t="s">
        <v>13</v>
      </c>
      <c r="X107" s="102">
        <v>146.22326822476711</v>
      </c>
      <c r="Y107" s="102">
        <v>210.57538820155534</v>
      </c>
      <c r="Z107" s="102">
        <v>281.11779803376749</v>
      </c>
      <c r="AA107" s="102">
        <v>346.47533027880593</v>
      </c>
      <c r="AB107" s="102">
        <v>448.17492996906623</v>
      </c>
      <c r="AC107" s="102">
        <v>532.44685707008489</v>
      </c>
      <c r="AD107" s="102">
        <v>660.5824442612228</v>
      </c>
      <c r="AE107" s="102">
        <v>870.20814960735208</v>
      </c>
      <c r="AF107" s="102">
        <v>1144.8914451346898</v>
      </c>
      <c r="AG107" s="102">
        <v>1484.2852222453548</v>
      </c>
      <c r="AH107" s="102">
        <v>1757.7513946785543</v>
      </c>
      <c r="AI107" s="102">
        <v>2024.5911352926419</v>
      </c>
      <c r="AJ107" s="289">
        <v>2701.9325537425775</v>
      </c>
      <c r="AK107" s="182"/>
      <c r="AL107" s="180">
        <v>93.730383233791272</v>
      </c>
      <c r="AM107" s="102">
        <v>97.127219073832777</v>
      </c>
      <c r="AN107" s="102">
        <v>140.86845723155747</v>
      </c>
      <c r="AO107" s="102">
        <v>212.25819544305173</v>
      </c>
      <c r="AP107" s="102">
        <v>256.35966503906553</v>
      </c>
      <c r="AQ107" s="102">
        <v>293.10102731764835</v>
      </c>
      <c r="AR107" s="102">
        <v>406.39621910456526</v>
      </c>
      <c r="AS107" s="102">
        <v>584.17224530062776</v>
      </c>
      <c r="AT107" s="102">
        <v>755.21351640305318</v>
      </c>
      <c r="AU107" s="102">
        <v>941.8943853591536</v>
      </c>
      <c r="AV107" s="102">
        <v>1227.7349688457737</v>
      </c>
      <c r="AW107" s="102">
        <v>1662.638055632317</v>
      </c>
      <c r="AX107" s="102">
        <v>2229.8544372088086</v>
      </c>
      <c r="AY107" s="128"/>
      <c r="AZ107" s="102">
        <v>146.22326822476711</v>
      </c>
      <c r="BA107" s="102">
        <v>210.57538820155534</v>
      </c>
      <c r="BB107" s="102">
        <v>281.11779803376749</v>
      </c>
      <c r="BC107" s="102">
        <v>346.47533027880593</v>
      </c>
      <c r="BD107" s="102">
        <v>448.17492996906623</v>
      </c>
      <c r="BE107" s="102">
        <v>532.44685707008489</v>
      </c>
      <c r="BF107" s="102">
        <v>660.5824442612228</v>
      </c>
      <c r="BG107" s="102">
        <v>870.20814960735208</v>
      </c>
      <c r="BH107" s="102">
        <v>1144.8914451346898</v>
      </c>
      <c r="BI107" s="102">
        <v>1484.2852222453548</v>
      </c>
      <c r="BJ107" s="102">
        <v>1757.7513946785543</v>
      </c>
      <c r="BK107" s="102">
        <v>2024.5911352926419</v>
      </c>
      <c r="BL107" s="290">
        <v>2701.9325537425775</v>
      </c>
      <c r="BM107" s="128"/>
      <c r="BN107" s="102">
        <v>93.730383233791272</v>
      </c>
      <c r="BO107" s="102">
        <v>97.127219073832777</v>
      </c>
      <c r="BP107" s="102">
        <v>140.86845723155747</v>
      </c>
      <c r="BQ107" s="102">
        <v>212.25819544305173</v>
      </c>
      <c r="BR107" s="102">
        <v>256.35966503906553</v>
      </c>
      <c r="BS107" s="102">
        <v>293.10102731764835</v>
      </c>
      <c r="BT107" s="102">
        <v>406.39621910456526</v>
      </c>
      <c r="BU107" s="102">
        <v>584.17224530062776</v>
      </c>
      <c r="BV107" s="102">
        <v>755.21351640305318</v>
      </c>
      <c r="BW107" s="102">
        <v>941.8943853591536</v>
      </c>
      <c r="BX107" s="102">
        <v>1227.7349688457737</v>
      </c>
      <c r="BY107" s="102">
        <v>1662.638055632317</v>
      </c>
      <c r="BZ107" s="102">
        <v>2229.8544372088086</v>
      </c>
    </row>
    <row r="108" spans="1:78" ht="15" thickBot="1">
      <c r="A108" s="237" t="s">
        <v>242</v>
      </c>
      <c r="B108" s="236" t="s">
        <v>243</v>
      </c>
      <c r="C108" s="194"/>
      <c r="D108" s="202"/>
      <c r="E108" s="125">
        <f>HLOOKUP(INPUT!$Q$2,'Tracks Pull'!$X$8:$AJ$138,T108,FALSE)</f>
        <v>0</v>
      </c>
      <c r="F108" s="125">
        <f>HLOOKUP(INPUT!$Q$3,'Tracks Pull'!$X$8:$AJ$138,T108,FALSE)</f>
        <v>0</v>
      </c>
      <c r="G108" s="125">
        <f t="shared" si="13"/>
        <v>0</v>
      </c>
      <c r="I108" s="125">
        <f>HLOOKUP(INPUT!$Q$2,'Tracks Pull'!$AL$8:$AX$138,T108,FALSE)</f>
        <v>0</v>
      </c>
      <c r="J108" s="125">
        <f>HLOOKUP(INPUT!$Q$3,'Tracks Pull'!$AL$8:$AX$138,T108,FALSE)</f>
        <v>0</v>
      </c>
      <c r="K108" s="125">
        <f t="shared" si="14"/>
        <v>0</v>
      </c>
      <c r="M108" s="125">
        <f>HLOOKUP(INPUT!$Q$2,'Tracks Pull'!$AZ$8:$BL$138,T108,FALSE)</f>
        <v>0</v>
      </c>
      <c r="N108" s="125">
        <f>HLOOKUP(INPUT!$Q$3,'Tracks Pull'!$AZ$8:$BL$138,T108,FALSE)</f>
        <v>0</v>
      </c>
      <c r="O108" s="125">
        <f t="shared" si="15"/>
        <v>0</v>
      </c>
      <c r="Q108" s="125">
        <f>HLOOKUP(INPUT!$Q$2,'Tracks Pull'!$BN$8:$BZ$138,T108,FALSE)</f>
        <v>0</v>
      </c>
      <c r="R108" s="125">
        <f>HLOOKUP(INPUT!$Q$3,'Tracks Pull'!$BN$8:$BZ$138,T108,FALSE)</f>
        <v>0</v>
      </c>
      <c r="S108" s="125">
        <f t="shared" si="16"/>
        <v>0</v>
      </c>
      <c r="T108" s="109">
        <v>101</v>
      </c>
      <c r="U108" s="583"/>
      <c r="V108" s="583"/>
      <c r="W108" s="583"/>
      <c r="X108" s="287"/>
      <c r="Y108" s="287"/>
      <c r="Z108" s="287"/>
      <c r="AA108" s="287"/>
      <c r="AB108" s="287"/>
      <c r="AC108" s="287"/>
      <c r="AD108" s="287"/>
      <c r="AE108" s="287"/>
      <c r="AF108" s="287"/>
      <c r="AG108" s="287"/>
      <c r="AH108" s="287"/>
      <c r="AI108" s="287"/>
      <c r="AJ108" s="293"/>
      <c r="AK108" s="182"/>
      <c r="AL108" s="287"/>
      <c r="AM108" s="287"/>
      <c r="AN108" s="287"/>
      <c r="AO108" s="287"/>
      <c r="AP108" s="287"/>
      <c r="AQ108" s="287"/>
      <c r="AR108" s="287"/>
      <c r="AS108" s="287"/>
      <c r="AT108" s="287"/>
      <c r="AU108" s="287"/>
      <c r="AV108" s="287"/>
      <c r="AW108" s="287"/>
      <c r="AX108" s="287"/>
      <c r="AY108" s="128"/>
      <c r="AZ108" s="287"/>
      <c r="BA108" s="287"/>
      <c r="BB108" s="287"/>
      <c r="BC108" s="287"/>
      <c r="BD108" s="287"/>
      <c r="BE108" s="287"/>
      <c r="BF108" s="287"/>
      <c r="BG108" s="287"/>
      <c r="BH108" s="287"/>
      <c r="BI108" s="287"/>
      <c r="BJ108" s="287"/>
      <c r="BK108" s="287"/>
      <c r="BL108" s="293"/>
      <c r="BM108" s="288"/>
      <c r="BN108" s="287"/>
      <c r="BO108" s="287"/>
      <c r="BP108" s="287"/>
      <c r="BQ108" s="287"/>
      <c r="BR108" s="287"/>
      <c r="BS108" s="287"/>
      <c r="BT108" s="287"/>
      <c r="BU108" s="287"/>
      <c r="BV108" s="287"/>
      <c r="BW108" s="287"/>
      <c r="BX108" s="287"/>
      <c r="BY108" s="287"/>
      <c r="BZ108" s="293"/>
    </row>
    <row r="109" spans="1:78">
      <c r="A109" s="237" t="s">
        <v>242</v>
      </c>
      <c r="B109" s="236" t="s">
        <v>234</v>
      </c>
      <c r="C109" s="194" t="s">
        <v>40</v>
      </c>
      <c r="D109" s="194" t="s">
        <v>141</v>
      </c>
      <c r="E109" s="124">
        <f>HLOOKUP(INPUT!$Q$2,'Tracks Pull'!$X$8:$AJ$138,T109,FALSE)</f>
        <v>0</v>
      </c>
      <c r="F109" s="124">
        <f>HLOOKUP(INPUT!$Q$3,'Tracks Pull'!$X$8:$AJ$138,T109,FALSE)</f>
        <v>0</v>
      </c>
      <c r="G109" s="124">
        <f t="shared" si="13"/>
        <v>0</v>
      </c>
      <c r="I109" s="124">
        <f>HLOOKUP(INPUT!$Q$2,'Tracks Pull'!$AL$8:$AX$138,T109,FALSE)</f>
        <v>8.1647390888011998E-2</v>
      </c>
      <c r="J109" s="124">
        <f>HLOOKUP(INPUT!$Q$3,'Tracks Pull'!$AL$8:$AX$138,T109,FALSE)</f>
        <v>6.2118339666037997E-2</v>
      </c>
      <c r="K109" s="124">
        <f t="shared" si="14"/>
        <v>1.9529051221974E-2</v>
      </c>
      <c r="M109" s="124">
        <f>HLOOKUP(INPUT!$Q$2,'Tracks Pull'!$AZ$8:$BL$138,T109,FALSE)</f>
        <v>0</v>
      </c>
      <c r="N109" s="124">
        <f>HLOOKUP(INPUT!$Q$3,'Tracks Pull'!$AZ$8:$BL$138,T109,FALSE)</f>
        <v>0</v>
      </c>
      <c r="O109" s="124">
        <f t="shared" si="15"/>
        <v>0</v>
      </c>
      <c r="Q109" s="124">
        <f>HLOOKUP(INPUT!$Q$2,'Tracks Pull'!$BN$8:$BZ$138,T109,FALSE)</f>
        <v>8.1647390888011998E-2</v>
      </c>
      <c r="R109" s="124">
        <f>HLOOKUP(INPUT!$Q$3,'Tracks Pull'!$BN$8:$BZ$138,T109,FALSE)</f>
        <v>6.2118339666037997E-2</v>
      </c>
      <c r="S109" s="124">
        <f t="shared" si="16"/>
        <v>1.9529051221974E-2</v>
      </c>
      <c r="T109" s="199">
        <v>102</v>
      </c>
      <c r="U109" s="194" t="s">
        <v>40</v>
      </c>
      <c r="V109" s="191" t="s">
        <v>129</v>
      </c>
      <c r="W109" s="192" t="s">
        <v>75</v>
      </c>
      <c r="X109" s="102">
        <v>0</v>
      </c>
      <c r="Y109" s="102">
        <v>0</v>
      </c>
      <c r="Z109" s="102">
        <v>0</v>
      </c>
      <c r="AA109" s="102">
        <v>0</v>
      </c>
      <c r="AB109" s="102">
        <v>0</v>
      </c>
      <c r="AC109" s="102">
        <v>0</v>
      </c>
      <c r="AD109" s="102">
        <v>0</v>
      </c>
      <c r="AE109" s="102">
        <v>0</v>
      </c>
      <c r="AF109" s="102">
        <v>0</v>
      </c>
      <c r="AG109" s="102">
        <v>0</v>
      </c>
      <c r="AH109" s="102">
        <v>0</v>
      </c>
      <c r="AI109" s="102">
        <v>0</v>
      </c>
      <c r="AJ109" s="291">
        <v>0</v>
      </c>
      <c r="AK109" s="182"/>
      <c r="AL109" s="180">
        <v>1.9476465463748E-2</v>
      </c>
      <c r="AM109" s="102">
        <v>2.1934322613045999E-2</v>
      </c>
      <c r="AN109" s="102">
        <v>3.4278057492473001E-2</v>
      </c>
      <c r="AO109" s="102">
        <v>4.9900414326315999E-2</v>
      </c>
      <c r="AP109" s="102">
        <v>5.7183732560941003E-2</v>
      </c>
      <c r="AQ109" s="102">
        <v>6.2118339666037997E-2</v>
      </c>
      <c r="AR109" s="102">
        <v>8.1647390888011998E-2</v>
      </c>
      <c r="AS109" s="102">
        <v>0.114505767811628</v>
      </c>
      <c r="AT109" s="102">
        <v>0.149590969333212</v>
      </c>
      <c r="AU109" s="102">
        <v>0.172717441461025</v>
      </c>
      <c r="AV109" s="102">
        <v>0.233457916154618</v>
      </c>
      <c r="AW109" s="102">
        <v>0.29823774745514098</v>
      </c>
      <c r="AX109" s="102">
        <v>0.35028434161267802</v>
      </c>
      <c r="AY109" s="128"/>
      <c r="AZ109" s="102">
        <v>0</v>
      </c>
      <c r="BA109" s="102">
        <v>0</v>
      </c>
      <c r="BB109" s="102">
        <v>0</v>
      </c>
      <c r="BC109" s="102">
        <v>0</v>
      </c>
      <c r="BD109" s="102">
        <v>0</v>
      </c>
      <c r="BE109" s="102">
        <v>0</v>
      </c>
      <c r="BF109" s="102">
        <v>0</v>
      </c>
      <c r="BG109" s="102">
        <v>0</v>
      </c>
      <c r="BH109" s="102">
        <v>0</v>
      </c>
      <c r="BI109" s="102">
        <v>0</v>
      </c>
      <c r="BJ109" s="102">
        <v>0</v>
      </c>
      <c r="BK109" s="102">
        <v>0</v>
      </c>
      <c r="BL109" s="292">
        <v>0</v>
      </c>
      <c r="BM109" s="128"/>
      <c r="BN109" s="102">
        <v>1.9476465463748E-2</v>
      </c>
      <c r="BO109" s="102">
        <v>2.1934322613045999E-2</v>
      </c>
      <c r="BP109" s="102">
        <v>3.4278057492473001E-2</v>
      </c>
      <c r="BQ109" s="102">
        <v>4.9900414326315999E-2</v>
      </c>
      <c r="BR109" s="102">
        <v>5.7183732560941003E-2</v>
      </c>
      <c r="BS109" s="102">
        <v>6.2118339666037997E-2</v>
      </c>
      <c r="BT109" s="102">
        <v>8.1647390888011998E-2</v>
      </c>
      <c r="BU109" s="102">
        <v>0.114505767811628</v>
      </c>
      <c r="BV109" s="102">
        <v>0.149590969333212</v>
      </c>
      <c r="BW109" s="102">
        <v>0.172717441461025</v>
      </c>
      <c r="BX109" s="102">
        <v>0.233457916154618</v>
      </c>
      <c r="BY109" s="102">
        <v>0.29823774745514098</v>
      </c>
      <c r="BZ109" s="102">
        <v>0.35028434161267802</v>
      </c>
    </row>
    <row r="110" spans="1:78">
      <c r="A110" s="237" t="s">
        <v>242</v>
      </c>
      <c r="B110" s="236" t="s">
        <v>58</v>
      </c>
      <c r="C110" s="194" t="s">
        <v>40</v>
      </c>
      <c r="D110" s="191" t="s">
        <v>15</v>
      </c>
      <c r="E110" s="123">
        <f>HLOOKUP(INPUT!$Q$2,'Tracks Pull'!$X$8:$AJ$138,T110,FALSE)</f>
        <v>250.82297742489416</v>
      </c>
      <c r="F110" s="123">
        <f>HLOOKUP(INPUT!$Q$3,'Tracks Pull'!$X$8:$AJ$138,T110,FALSE)</f>
        <v>205.32826643135689</v>
      </c>
      <c r="G110" s="123">
        <f t="shared" si="13"/>
        <v>45.494710993537268</v>
      </c>
      <c r="I110" s="123">
        <f>HLOOKUP(INPUT!$Q$2,'Tracks Pull'!$AL$8:$AX$138,T110,FALSE)</f>
        <v>162.02213881243063</v>
      </c>
      <c r="J110" s="123">
        <f>HLOOKUP(INPUT!$Q$3,'Tracks Pull'!$AL$8:$AX$138,T110,FALSE)</f>
        <v>114.47550712267024</v>
      </c>
      <c r="K110" s="123">
        <f t="shared" si="14"/>
        <v>47.546631689760389</v>
      </c>
      <c r="M110" s="123">
        <f>HLOOKUP(INPUT!$Q$2,'Tracks Pull'!$AZ$8:$BL$138,T110,FALSE)</f>
        <v>250.82297742489416</v>
      </c>
      <c r="N110" s="123">
        <f>HLOOKUP(INPUT!$Q$3,'Tracks Pull'!$AZ$8:$BL$138,T110,FALSE)</f>
        <v>205.32826643135689</v>
      </c>
      <c r="O110" s="123">
        <f t="shared" si="15"/>
        <v>45.494710993537268</v>
      </c>
      <c r="Q110" s="123">
        <f>HLOOKUP(INPUT!$Q$2,'Tracks Pull'!$BN$8:$BZ$138,T110,FALSE)</f>
        <v>162.02213881243063</v>
      </c>
      <c r="R110" s="123">
        <f>HLOOKUP(INPUT!$Q$3,'Tracks Pull'!$BN$8:$BZ$138,T110,FALSE)</f>
        <v>114.47550712267024</v>
      </c>
      <c r="S110" s="123">
        <f t="shared" si="16"/>
        <v>47.546631689760389</v>
      </c>
      <c r="T110" s="109">
        <v>103</v>
      </c>
      <c r="U110" s="194" t="s">
        <v>40</v>
      </c>
      <c r="V110" s="191" t="s">
        <v>129</v>
      </c>
      <c r="W110" s="191" t="s">
        <v>15</v>
      </c>
      <c r="X110" s="102">
        <v>59.197648745331882</v>
      </c>
      <c r="Y110" s="102">
        <v>82.791663956866287</v>
      </c>
      <c r="Z110" s="102">
        <v>103.2460853565086</v>
      </c>
      <c r="AA110" s="102">
        <v>124.4064618988678</v>
      </c>
      <c r="AB110" s="102">
        <v>166.00379439467173</v>
      </c>
      <c r="AC110" s="102">
        <v>205.32826643135689</v>
      </c>
      <c r="AD110" s="102">
        <v>250.82297742489416</v>
      </c>
      <c r="AE110" s="102">
        <v>360.34594296302333</v>
      </c>
      <c r="AF110" s="102">
        <v>477.06111539715204</v>
      </c>
      <c r="AG110" s="102">
        <v>668.51951474310715</v>
      </c>
      <c r="AH110" s="102">
        <v>829.03108272535985</v>
      </c>
      <c r="AI110" s="102">
        <v>977.50841263669849</v>
      </c>
      <c r="AJ110" s="178">
        <v>1363.4667010753074</v>
      </c>
      <c r="AK110" s="182"/>
      <c r="AL110" s="180">
        <v>44.385539788035636</v>
      </c>
      <c r="AM110" s="102">
        <v>34.869982052756058</v>
      </c>
      <c r="AN110" s="102">
        <v>55.083796175033513</v>
      </c>
      <c r="AO110" s="102">
        <v>84.489155246100964</v>
      </c>
      <c r="AP110" s="102">
        <v>99.88844189098576</v>
      </c>
      <c r="AQ110" s="102">
        <v>114.47550712267024</v>
      </c>
      <c r="AR110" s="102">
        <v>162.02213881243063</v>
      </c>
      <c r="AS110" s="102">
        <v>249.89537947885782</v>
      </c>
      <c r="AT110" s="102">
        <v>327.94206252529762</v>
      </c>
      <c r="AU110" s="102">
        <v>450.85603084153036</v>
      </c>
      <c r="AV110" s="102">
        <v>623.35298798485576</v>
      </c>
      <c r="AW110" s="102">
        <v>906.18285038055944</v>
      </c>
      <c r="AX110" s="102">
        <v>1231.397894198798</v>
      </c>
      <c r="AY110" s="128"/>
      <c r="AZ110" s="102">
        <v>59.197648745331882</v>
      </c>
      <c r="BA110" s="102">
        <v>82.791663956866287</v>
      </c>
      <c r="BB110" s="102">
        <v>103.2460853565086</v>
      </c>
      <c r="BC110" s="102">
        <v>124.4064618988678</v>
      </c>
      <c r="BD110" s="102">
        <v>166.00379439467173</v>
      </c>
      <c r="BE110" s="102">
        <v>205.32826643135689</v>
      </c>
      <c r="BF110" s="102">
        <v>250.82297742489416</v>
      </c>
      <c r="BG110" s="102">
        <v>360.34594296302333</v>
      </c>
      <c r="BH110" s="102">
        <v>477.06111539715204</v>
      </c>
      <c r="BI110" s="102">
        <v>668.51951474310715</v>
      </c>
      <c r="BJ110" s="102">
        <v>829.03108272535985</v>
      </c>
      <c r="BK110" s="102">
        <v>977.50841263669849</v>
      </c>
      <c r="BL110" s="102">
        <v>1363.4667010753074</v>
      </c>
      <c r="BM110" s="128"/>
      <c r="BN110" s="102">
        <v>44.385539788035636</v>
      </c>
      <c r="BO110" s="102">
        <v>34.869982052756058</v>
      </c>
      <c r="BP110" s="102">
        <v>55.083796175033513</v>
      </c>
      <c r="BQ110" s="102">
        <v>84.489155246100964</v>
      </c>
      <c r="BR110" s="102">
        <v>99.88844189098576</v>
      </c>
      <c r="BS110" s="102">
        <v>114.47550712267024</v>
      </c>
      <c r="BT110" s="102">
        <v>162.02213881243063</v>
      </c>
      <c r="BU110" s="102">
        <v>249.89537947885782</v>
      </c>
      <c r="BV110" s="102">
        <v>327.94206252529762</v>
      </c>
      <c r="BW110" s="102">
        <v>450.85603084153036</v>
      </c>
      <c r="BX110" s="102">
        <v>623.35298798485576</v>
      </c>
      <c r="BY110" s="102">
        <v>906.18285038055944</v>
      </c>
      <c r="BZ110" s="102">
        <v>1231.397894198798</v>
      </c>
    </row>
    <row r="111" spans="1:78" outlineLevel="1">
      <c r="A111" s="237" t="s">
        <v>242</v>
      </c>
      <c r="B111" s="236" t="s">
        <v>17</v>
      </c>
      <c r="C111" s="194" t="s">
        <v>40</v>
      </c>
      <c r="D111" s="192" t="s">
        <v>101</v>
      </c>
      <c r="E111" s="125">
        <f>HLOOKUP(INPUT!$Q$2,'Tracks Pull'!$X$8:$AJ$138,T111,FALSE)</f>
        <v>37.578609759316436</v>
      </c>
      <c r="F111" s="125">
        <f>HLOOKUP(INPUT!$Q$3,'Tracks Pull'!$X$8:$AJ$138,T111,FALSE)</f>
        <v>30.600033152358023</v>
      </c>
      <c r="G111" s="125">
        <f t="shared" si="13"/>
        <v>6.9785766069584128</v>
      </c>
      <c r="I111" s="125">
        <f>HLOOKUP(INPUT!$Q$2,'Tracks Pull'!$AL$8:$AX$138,T111,FALSE)</f>
        <v>18.769557616233101</v>
      </c>
      <c r="J111" s="125">
        <f>HLOOKUP(INPUT!$Q$3,'Tracks Pull'!$AL$8:$AX$138,T111,FALSE)</f>
        <v>13.252010672139232</v>
      </c>
      <c r="K111" s="125">
        <f t="shared" si="14"/>
        <v>5.5175469440938691</v>
      </c>
      <c r="M111" s="125">
        <f>HLOOKUP(INPUT!$Q$2,'Tracks Pull'!$AZ$8:$BL$138,T111,FALSE)</f>
        <v>37.578609759316436</v>
      </c>
      <c r="N111" s="125">
        <f>HLOOKUP(INPUT!$Q$3,'Tracks Pull'!$AZ$8:$BL$138,T111,FALSE)</f>
        <v>30.600033152358023</v>
      </c>
      <c r="O111" s="125">
        <f t="shared" si="15"/>
        <v>6.9785766069584128</v>
      </c>
      <c r="Q111" s="125">
        <f>HLOOKUP(INPUT!$Q$2,'Tracks Pull'!$BN$8:$BZ$138,T111,FALSE)</f>
        <v>18.769557616233101</v>
      </c>
      <c r="R111" s="125">
        <f>HLOOKUP(INPUT!$Q$3,'Tracks Pull'!$BN$8:$BZ$138,T111,FALSE)</f>
        <v>13.252010672139232</v>
      </c>
      <c r="S111" s="125">
        <f t="shared" si="16"/>
        <v>5.5175469440938691</v>
      </c>
      <c r="T111" s="199">
        <v>104</v>
      </c>
      <c r="U111" s="194" t="s">
        <v>40</v>
      </c>
      <c r="V111" s="191" t="s">
        <v>129</v>
      </c>
      <c r="W111" s="193" t="s">
        <v>17</v>
      </c>
      <c r="X111" s="102">
        <v>8.5039621506504659</v>
      </c>
      <c r="Y111" s="102">
        <v>11.941915676257333</v>
      </c>
      <c r="Z111" s="102">
        <v>15.114644020627738</v>
      </c>
      <c r="AA111" s="102">
        <v>18.213762480695522</v>
      </c>
      <c r="AB111" s="102">
        <v>24.554022884385802</v>
      </c>
      <c r="AC111" s="102">
        <v>30.600033152358023</v>
      </c>
      <c r="AD111" s="102">
        <v>37.578609759316436</v>
      </c>
      <c r="AE111" s="102">
        <v>54.619610665912589</v>
      </c>
      <c r="AF111" s="102">
        <v>72.760479678855347</v>
      </c>
      <c r="AG111" s="102">
        <v>103.03642194134031</v>
      </c>
      <c r="AH111" s="102">
        <v>129.24217920900998</v>
      </c>
      <c r="AI111" s="102">
        <v>152.84039351112972</v>
      </c>
      <c r="AJ111" s="178">
        <v>214.18259576983309</v>
      </c>
      <c r="AK111" s="182"/>
      <c r="AL111" s="180">
        <v>5.0690525142589493</v>
      </c>
      <c r="AM111" s="102">
        <v>3.9378680754688751</v>
      </c>
      <c r="AN111" s="102">
        <v>6.4377321600958872</v>
      </c>
      <c r="AO111" s="102">
        <v>9.8655748541281802</v>
      </c>
      <c r="AP111" s="102">
        <v>11.618400111349771</v>
      </c>
      <c r="AQ111" s="102">
        <v>13.252010672139232</v>
      </c>
      <c r="AR111" s="102">
        <v>18.769557616233101</v>
      </c>
      <c r="AS111" s="102">
        <v>28.945068164789319</v>
      </c>
      <c r="AT111" s="102">
        <v>38.066271731574687</v>
      </c>
      <c r="AU111" s="102">
        <v>51.358783461108402</v>
      </c>
      <c r="AV111" s="102">
        <v>70.749386340763706</v>
      </c>
      <c r="AW111" s="102">
        <v>102.202310792486</v>
      </c>
      <c r="AX111" s="102">
        <v>137.82628597366022</v>
      </c>
      <c r="AY111" s="128"/>
      <c r="AZ111" s="102">
        <v>8.5039621506504659</v>
      </c>
      <c r="BA111" s="102">
        <v>11.941915676257333</v>
      </c>
      <c r="BB111" s="102">
        <v>15.114644020627738</v>
      </c>
      <c r="BC111" s="102">
        <v>18.213762480695522</v>
      </c>
      <c r="BD111" s="102">
        <v>24.554022884385802</v>
      </c>
      <c r="BE111" s="102">
        <v>30.600033152358023</v>
      </c>
      <c r="BF111" s="102">
        <v>37.578609759316436</v>
      </c>
      <c r="BG111" s="102">
        <v>54.619610665912589</v>
      </c>
      <c r="BH111" s="102">
        <v>72.760479678855347</v>
      </c>
      <c r="BI111" s="102">
        <v>103.03642194134031</v>
      </c>
      <c r="BJ111" s="102">
        <v>129.24217920900998</v>
      </c>
      <c r="BK111" s="102">
        <v>152.84039351112972</v>
      </c>
      <c r="BL111" s="102">
        <v>214.18259576983309</v>
      </c>
      <c r="BM111" s="128"/>
      <c r="BN111" s="102">
        <v>5.0690525142589493</v>
      </c>
      <c r="BO111" s="102">
        <v>3.9378680754688751</v>
      </c>
      <c r="BP111" s="102">
        <v>6.4377321600958872</v>
      </c>
      <c r="BQ111" s="102">
        <v>9.8655748541281802</v>
      </c>
      <c r="BR111" s="102">
        <v>11.618400111349771</v>
      </c>
      <c r="BS111" s="102">
        <v>13.252010672139232</v>
      </c>
      <c r="BT111" s="102">
        <v>18.769557616233101</v>
      </c>
      <c r="BU111" s="102">
        <v>28.945068164789319</v>
      </c>
      <c r="BV111" s="102">
        <v>38.066271731574687</v>
      </c>
      <c r="BW111" s="102">
        <v>51.358783461108402</v>
      </c>
      <c r="BX111" s="102">
        <v>70.749386340763706</v>
      </c>
      <c r="BY111" s="102">
        <v>102.202310792486</v>
      </c>
      <c r="BZ111" s="102">
        <v>137.82628597366022</v>
      </c>
    </row>
    <row r="112" spans="1:78" outlineLevel="1">
      <c r="A112" s="237" t="s">
        <v>242</v>
      </c>
      <c r="B112" s="236" t="s">
        <v>18</v>
      </c>
      <c r="C112" s="194" t="s">
        <v>40</v>
      </c>
      <c r="D112" s="192" t="s">
        <v>102</v>
      </c>
      <c r="E112" s="125">
        <f>HLOOKUP(INPUT!$Q$2,'Tracks Pull'!$X$8:$AJ$138,T112,FALSE)</f>
        <v>0.23040801503466699</v>
      </c>
      <c r="F112" s="125">
        <f>HLOOKUP(INPUT!$Q$3,'Tracks Pull'!$X$8:$AJ$138,T112,FALSE)</f>
        <v>0.20085854072158102</v>
      </c>
      <c r="G112" s="125">
        <f t="shared" si="13"/>
        <v>2.9549474313085966E-2</v>
      </c>
      <c r="I112" s="125">
        <f>HLOOKUP(INPUT!$Q$2,'Tracks Pull'!$AL$8:$AX$138,T112,FALSE)</f>
        <v>10.46727999152283</v>
      </c>
      <c r="J112" s="125">
        <f>HLOOKUP(INPUT!$Q$3,'Tracks Pull'!$AL$8:$AX$138,T112,FALSE)</f>
        <v>7.481130440535491</v>
      </c>
      <c r="K112" s="125">
        <f t="shared" si="14"/>
        <v>2.9861495509873386</v>
      </c>
      <c r="M112" s="125">
        <f>HLOOKUP(INPUT!$Q$2,'Tracks Pull'!$AZ$8:$BL$138,T112,FALSE)</f>
        <v>0.23040801503466699</v>
      </c>
      <c r="N112" s="125">
        <f>HLOOKUP(INPUT!$Q$3,'Tracks Pull'!$AZ$8:$BL$138,T112,FALSE)</f>
        <v>0.20085854072158102</v>
      </c>
      <c r="O112" s="125">
        <f t="shared" si="15"/>
        <v>2.9549474313085966E-2</v>
      </c>
      <c r="Q112" s="125">
        <f>HLOOKUP(INPUT!$Q$2,'Tracks Pull'!$BN$8:$BZ$138,T112,FALSE)</f>
        <v>10.46727999152283</v>
      </c>
      <c r="R112" s="125">
        <f>HLOOKUP(INPUT!$Q$3,'Tracks Pull'!$BN$8:$BZ$138,T112,FALSE)</f>
        <v>7.481130440535491</v>
      </c>
      <c r="S112" s="125">
        <f t="shared" si="16"/>
        <v>2.9861495509873386</v>
      </c>
      <c r="T112" s="109">
        <v>105</v>
      </c>
      <c r="U112" s="194" t="s">
        <v>40</v>
      </c>
      <c r="V112" s="191" t="s">
        <v>129</v>
      </c>
      <c r="W112" s="193" t="s">
        <v>18</v>
      </c>
      <c r="X112" s="102">
        <v>4.9225977174311999E-2</v>
      </c>
      <c r="Y112" s="102">
        <v>7.0487993118854009E-2</v>
      </c>
      <c r="Z112" s="102">
        <v>8.7732750639369E-2</v>
      </c>
      <c r="AA112" s="102">
        <v>0.10522503291594999</v>
      </c>
      <c r="AB112" s="102">
        <v>0.14007329683685998</v>
      </c>
      <c r="AC112" s="102">
        <v>0.20085854072158102</v>
      </c>
      <c r="AD112" s="102">
        <v>0.23040801503466699</v>
      </c>
      <c r="AE112" s="102">
        <v>0.40681312661927904</v>
      </c>
      <c r="AF112" s="102">
        <v>0.52079418142872391</v>
      </c>
      <c r="AG112" s="102">
        <v>0.81397940972525007</v>
      </c>
      <c r="AH112" s="102">
        <v>1.2476994054895099</v>
      </c>
      <c r="AI112" s="102">
        <v>1.708730162568918</v>
      </c>
      <c r="AJ112" s="178">
        <v>2.9071531273823279</v>
      </c>
      <c r="AK112" s="182"/>
      <c r="AL112" s="180">
        <v>2.8289349129222607</v>
      </c>
      <c r="AM112" s="102">
        <v>2.1567812739930359</v>
      </c>
      <c r="AN112" s="102">
        <v>3.5274777660302932</v>
      </c>
      <c r="AO112" s="102">
        <v>5.5677541316096626</v>
      </c>
      <c r="AP112" s="102">
        <v>6.5189279163326299</v>
      </c>
      <c r="AQ112" s="102">
        <v>7.481130440535491</v>
      </c>
      <c r="AR112" s="102">
        <v>10.46727999152283</v>
      </c>
      <c r="AS112" s="102">
        <v>16.540733191342568</v>
      </c>
      <c r="AT112" s="102">
        <v>21.77261191422927</v>
      </c>
      <c r="AU112" s="102">
        <v>30.164638822363322</v>
      </c>
      <c r="AV112" s="102">
        <v>42.015402484857198</v>
      </c>
      <c r="AW112" s="102">
        <v>61.520048750902298</v>
      </c>
      <c r="AX112" s="102">
        <v>83.670876334293396</v>
      </c>
      <c r="AY112" s="128"/>
      <c r="AZ112" s="102">
        <v>4.9225977174311999E-2</v>
      </c>
      <c r="BA112" s="102">
        <v>7.0487993118854009E-2</v>
      </c>
      <c r="BB112" s="102">
        <v>8.7732750639369E-2</v>
      </c>
      <c r="BC112" s="102">
        <v>0.10522503291594999</v>
      </c>
      <c r="BD112" s="102">
        <v>0.14007329683685998</v>
      </c>
      <c r="BE112" s="102">
        <v>0.20085854072158102</v>
      </c>
      <c r="BF112" s="102">
        <v>0.23040801503466699</v>
      </c>
      <c r="BG112" s="102">
        <v>0.40681312661927904</v>
      </c>
      <c r="BH112" s="102">
        <v>0.52079418142872391</v>
      </c>
      <c r="BI112" s="102">
        <v>0.81397940972525007</v>
      </c>
      <c r="BJ112" s="102">
        <v>1.2476994054895099</v>
      </c>
      <c r="BK112" s="102">
        <v>1.708730162568918</v>
      </c>
      <c r="BL112" s="102">
        <v>2.9071531273823279</v>
      </c>
      <c r="BM112" s="128"/>
      <c r="BN112" s="102">
        <v>2.8289349129222607</v>
      </c>
      <c r="BO112" s="102">
        <v>2.1567812739930359</v>
      </c>
      <c r="BP112" s="102">
        <v>3.5274777660302932</v>
      </c>
      <c r="BQ112" s="102">
        <v>5.5677541316096626</v>
      </c>
      <c r="BR112" s="102">
        <v>6.5189279163326299</v>
      </c>
      <c r="BS112" s="102">
        <v>7.481130440535491</v>
      </c>
      <c r="BT112" s="102">
        <v>10.46727999152283</v>
      </c>
      <c r="BU112" s="102">
        <v>16.540733191342568</v>
      </c>
      <c r="BV112" s="102">
        <v>21.77261191422927</v>
      </c>
      <c r="BW112" s="102">
        <v>30.164638822363322</v>
      </c>
      <c r="BX112" s="102">
        <v>42.015402484857198</v>
      </c>
      <c r="BY112" s="102">
        <v>61.520048750902298</v>
      </c>
      <c r="BZ112" s="102">
        <v>83.670876334293396</v>
      </c>
    </row>
    <row r="113" spans="1:78" outlineLevel="1">
      <c r="A113" s="237" t="s">
        <v>242</v>
      </c>
      <c r="B113" s="236" t="s">
        <v>19</v>
      </c>
      <c r="C113" s="194" t="s">
        <v>40</v>
      </c>
      <c r="D113" s="192" t="s">
        <v>103</v>
      </c>
      <c r="E113" s="125">
        <f>HLOOKUP(INPUT!$Q$2,'Tracks Pull'!$X$8:$AJ$138,T113,FALSE)</f>
        <v>48.582037831020081</v>
      </c>
      <c r="F113" s="125">
        <f>HLOOKUP(INPUT!$Q$3,'Tracks Pull'!$X$8:$AJ$138,T113,FALSE)</f>
        <v>37.984949266945996</v>
      </c>
      <c r="G113" s="125">
        <f t="shared" si="13"/>
        <v>10.597088564074085</v>
      </c>
      <c r="I113" s="125">
        <f>HLOOKUP(INPUT!$Q$2,'Tracks Pull'!$AL$8:$AX$138,T113,FALSE)</f>
        <v>33.964270176915882</v>
      </c>
      <c r="J113" s="125">
        <f>HLOOKUP(INPUT!$Q$3,'Tracks Pull'!$AL$8:$AX$138,T113,FALSE)</f>
        <v>23.72732541742041</v>
      </c>
      <c r="K113" s="125">
        <f t="shared" si="14"/>
        <v>10.236944759495472</v>
      </c>
      <c r="M113" s="125">
        <f>HLOOKUP(INPUT!$Q$2,'Tracks Pull'!$AZ$8:$BL$138,T113,FALSE)</f>
        <v>48.582037831020081</v>
      </c>
      <c r="N113" s="125">
        <f>HLOOKUP(INPUT!$Q$3,'Tracks Pull'!$AZ$8:$BL$138,T113,FALSE)</f>
        <v>37.984949266945996</v>
      </c>
      <c r="O113" s="125">
        <f t="shared" si="15"/>
        <v>10.597088564074085</v>
      </c>
      <c r="Q113" s="125">
        <f>HLOOKUP(INPUT!$Q$2,'Tracks Pull'!$BN$8:$BZ$138,T113,FALSE)</f>
        <v>33.964270176915882</v>
      </c>
      <c r="R113" s="125">
        <f>HLOOKUP(INPUT!$Q$3,'Tracks Pull'!$BN$8:$BZ$138,T113,FALSE)</f>
        <v>23.72732541742041</v>
      </c>
      <c r="S113" s="125">
        <f t="shared" si="16"/>
        <v>10.236944759495472</v>
      </c>
      <c r="T113" s="199">
        <v>106</v>
      </c>
      <c r="U113" s="194" t="s">
        <v>40</v>
      </c>
      <c r="V113" s="191" t="s">
        <v>129</v>
      </c>
      <c r="W113" s="193" t="s">
        <v>19</v>
      </c>
      <c r="X113" s="102">
        <v>10.437824366069906</v>
      </c>
      <c r="Y113" s="102">
        <v>15.505706744509229</v>
      </c>
      <c r="Z113" s="102">
        <v>20.792185810932004</v>
      </c>
      <c r="AA113" s="102">
        <v>24.86294392346057</v>
      </c>
      <c r="AB113" s="102">
        <v>32.104465968380282</v>
      </c>
      <c r="AC113" s="102">
        <v>37.984949266945996</v>
      </c>
      <c r="AD113" s="102">
        <v>48.582037831020081</v>
      </c>
      <c r="AE113" s="102">
        <v>67.661425792829291</v>
      </c>
      <c r="AF113" s="102">
        <v>87.799084345836548</v>
      </c>
      <c r="AG113" s="102">
        <v>117.82672641870087</v>
      </c>
      <c r="AH113" s="102">
        <v>140.84902629107671</v>
      </c>
      <c r="AI113" s="102">
        <v>147.91236422137209</v>
      </c>
      <c r="AJ113" s="178">
        <v>166.27310535180752</v>
      </c>
      <c r="AK113" s="182"/>
      <c r="AL113" s="180">
        <v>8.4449871849927547</v>
      </c>
      <c r="AM113" s="102">
        <v>6.1833007797834956</v>
      </c>
      <c r="AN113" s="102">
        <v>12.320636901238803</v>
      </c>
      <c r="AO113" s="102">
        <v>18.511380697302027</v>
      </c>
      <c r="AP113" s="102">
        <v>21.419734138409829</v>
      </c>
      <c r="AQ113" s="102">
        <v>23.72732541742041</v>
      </c>
      <c r="AR113" s="102">
        <v>33.964270176915882</v>
      </c>
      <c r="AS113" s="102">
        <v>51.639441139749522</v>
      </c>
      <c r="AT113" s="102">
        <v>68.685101682970028</v>
      </c>
      <c r="AU113" s="102">
        <v>81.618233027319008</v>
      </c>
      <c r="AV113" s="102">
        <v>109.0061099738458</v>
      </c>
      <c r="AW113" s="102">
        <v>149.4518148940098</v>
      </c>
      <c r="AX113" s="102">
        <v>189.53759521738971</v>
      </c>
      <c r="AY113" s="128"/>
      <c r="AZ113" s="102">
        <v>10.437824366069906</v>
      </c>
      <c r="BA113" s="102">
        <v>15.505706744509229</v>
      </c>
      <c r="BB113" s="102">
        <v>20.792185810932004</v>
      </c>
      <c r="BC113" s="102">
        <v>24.86294392346057</v>
      </c>
      <c r="BD113" s="102">
        <v>32.104465968380282</v>
      </c>
      <c r="BE113" s="102">
        <v>37.984949266945996</v>
      </c>
      <c r="BF113" s="102">
        <v>48.582037831020081</v>
      </c>
      <c r="BG113" s="102">
        <v>67.661425792829291</v>
      </c>
      <c r="BH113" s="102">
        <v>87.799084345836548</v>
      </c>
      <c r="BI113" s="102">
        <v>117.82672641870087</v>
      </c>
      <c r="BJ113" s="102">
        <v>140.84902629107671</v>
      </c>
      <c r="BK113" s="102">
        <v>147.91236422137209</v>
      </c>
      <c r="BL113" s="102">
        <v>166.27310535180752</v>
      </c>
      <c r="BM113" s="128"/>
      <c r="BN113" s="102">
        <v>8.4449871849927547</v>
      </c>
      <c r="BO113" s="102">
        <v>6.1833007797834956</v>
      </c>
      <c r="BP113" s="102">
        <v>12.320636901238803</v>
      </c>
      <c r="BQ113" s="102">
        <v>18.511380697302027</v>
      </c>
      <c r="BR113" s="102">
        <v>21.419734138409829</v>
      </c>
      <c r="BS113" s="102">
        <v>23.72732541742041</v>
      </c>
      <c r="BT113" s="102">
        <v>33.964270176915882</v>
      </c>
      <c r="BU113" s="102">
        <v>51.639441139749522</v>
      </c>
      <c r="BV113" s="102">
        <v>68.685101682970028</v>
      </c>
      <c r="BW113" s="102">
        <v>81.618233027319008</v>
      </c>
      <c r="BX113" s="102">
        <v>109.0061099738458</v>
      </c>
      <c r="BY113" s="102">
        <v>149.4518148940098</v>
      </c>
      <c r="BZ113" s="102">
        <v>189.53759521738971</v>
      </c>
    </row>
    <row r="114" spans="1:78" outlineLevel="1">
      <c r="A114" s="237" t="s">
        <v>242</v>
      </c>
      <c r="B114" s="236" t="s">
        <v>77</v>
      </c>
      <c r="C114" s="194" t="s">
        <v>40</v>
      </c>
      <c r="D114" s="192" t="s">
        <v>20</v>
      </c>
      <c r="E114" s="125">
        <f>HLOOKUP(INPUT!$Q$2,'Tracks Pull'!$X$8:$AJ$138,T114,FALSE)</f>
        <v>68.316857866028627</v>
      </c>
      <c r="F114" s="125">
        <f>HLOOKUP(INPUT!$Q$3,'Tracks Pull'!$X$8:$AJ$138,T114,FALSE)</f>
        <v>58.119374557878587</v>
      </c>
      <c r="G114" s="125">
        <f t="shared" si="13"/>
        <v>10.197483308150041</v>
      </c>
      <c r="I114" s="125">
        <f>HLOOKUP(INPUT!$Q$2,'Tracks Pull'!$AL$8:$AX$138,T114,FALSE)</f>
        <v>47.660239907609402</v>
      </c>
      <c r="J114" s="125">
        <f>HLOOKUP(INPUT!$Q$3,'Tracks Pull'!$AL$8:$AX$138,T114,FALSE)</f>
        <v>33.774787550957186</v>
      </c>
      <c r="K114" s="125">
        <f t="shared" si="14"/>
        <v>13.885452356652216</v>
      </c>
      <c r="M114" s="125">
        <f>HLOOKUP(INPUT!$Q$2,'Tracks Pull'!$AZ$8:$BL$138,T114,FALSE)</f>
        <v>68.316857866028627</v>
      </c>
      <c r="N114" s="125">
        <f>HLOOKUP(INPUT!$Q$3,'Tracks Pull'!$AZ$8:$BL$138,T114,FALSE)</f>
        <v>58.119374557878587</v>
      </c>
      <c r="O114" s="125">
        <f t="shared" si="15"/>
        <v>10.197483308150041</v>
      </c>
      <c r="Q114" s="125">
        <f>HLOOKUP(INPUT!$Q$2,'Tracks Pull'!$BN$8:$BZ$138,T114,FALSE)</f>
        <v>47.660239907609402</v>
      </c>
      <c r="R114" s="125">
        <f>HLOOKUP(INPUT!$Q$3,'Tracks Pull'!$BN$8:$BZ$138,T114,FALSE)</f>
        <v>33.774787550957186</v>
      </c>
      <c r="S114" s="125">
        <f t="shared" si="16"/>
        <v>13.885452356652216</v>
      </c>
      <c r="T114" s="109">
        <v>107</v>
      </c>
      <c r="U114" s="194" t="s">
        <v>40</v>
      </c>
      <c r="V114" s="191" t="s">
        <v>129</v>
      </c>
      <c r="W114" s="193" t="s">
        <v>77</v>
      </c>
      <c r="X114" s="102">
        <v>16.478493348879411</v>
      </c>
      <c r="Y114" s="102">
        <v>21.894534700389027</v>
      </c>
      <c r="Z114" s="102">
        <v>25.851783671564171</v>
      </c>
      <c r="AA114" s="102">
        <v>31.413933822082488</v>
      </c>
      <c r="AB114" s="102">
        <v>44.212934939333429</v>
      </c>
      <c r="AC114" s="102">
        <v>58.119374557878587</v>
      </c>
      <c r="AD114" s="102">
        <v>68.316857866028627</v>
      </c>
      <c r="AE114" s="102">
        <v>103.92939962938354</v>
      </c>
      <c r="AF114" s="102">
        <v>141.33324183202575</v>
      </c>
      <c r="AG114" s="102">
        <v>209.67645571562949</v>
      </c>
      <c r="AH114" s="102">
        <v>274.13736878579027</v>
      </c>
      <c r="AI114" s="102">
        <v>353.15558214813331</v>
      </c>
      <c r="AJ114" s="178">
        <v>558.55888784482227</v>
      </c>
      <c r="AK114" s="182"/>
      <c r="AL114" s="180">
        <v>13.776639564875381</v>
      </c>
      <c r="AM114" s="102">
        <v>11.259603966781693</v>
      </c>
      <c r="AN114" s="102">
        <v>15.639633415475021</v>
      </c>
      <c r="AO114" s="102">
        <v>24.088298068173689</v>
      </c>
      <c r="AP114" s="102">
        <v>28.92376445887939</v>
      </c>
      <c r="AQ114" s="102">
        <v>33.774787550957186</v>
      </c>
      <c r="AR114" s="102">
        <v>47.660239907609402</v>
      </c>
      <c r="AS114" s="102">
        <v>73.581802125040767</v>
      </c>
      <c r="AT114" s="102">
        <v>95.761784342078698</v>
      </c>
      <c r="AU114" s="102">
        <v>141.35445325266301</v>
      </c>
      <c r="AV114" s="102">
        <v>198.03515115621261</v>
      </c>
      <c r="AW114" s="102">
        <v>294.35620354595972</v>
      </c>
      <c r="AX114" s="102">
        <v>410.47883731926436</v>
      </c>
      <c r="AY114" s="128"/>
      <c r="AZ114" s="102">
        <v>16.478493348879411</v>
      </c>
      <c r="BA114" s="102">
        <v>21.894534700389027</v>
      </c>
      <c r="BB114" s="102">
        <v>25.851783671564171</v>
      </c>
      <c r="BC114" s="102">
        <v>31.413933822082488</v>
      </c>
      <c r="BD114" s="102">
        <v>44.212934939333429</v>
      </c>
      <c r="BE114" s="102">
        <v>58.119374557878587</v>
      </c>
      <c r="BF114" s="102">
        <v>68.316857866028627</v>
      </c>
      <c r="BG114" s="102">
        <v>103.92939962938354</v>
      </c>
      <c r="BH114" s="102">
        <v>141.33324183202575</v>
      </c>
      <c r="BI114" s="102">
        <v>209.67645571562949</v>
      </c>
      <c r="BJ114" s="102">
        <v>274.13736878579027</v>
      </c>
      <c r="BK114" s="102">
        <v>353.15558214813331</v>
      </c>
      <c r="BL114" s="102">
        <v>558.55888784482227</v>
      </c>
      <c r="BM114" s="128"/>
      <c r="BN114" s="102">
        <v>13.776639564875381</v>
      </c>
      <c r="BO114" s="102">
        <v>11.259603966781693</v>
      </c>
      <c r="BP114" s="102">
        <v>15.639633415475021</v>
      </c>
      <c r="BQ114" s="102">
        <v>24.088298068173689</v>
      </c>
      <c r="BR114" s="102">
        <v>28.92376445887939</v>
      </c>
      <c r="BS114" s="102">
        <v>33.774787550957186</v>
      </c>
      <c r="BT114" s="102">
        <v>47.660239907609402</v>
      </c>
      <c r="BU114" s="102">
        <v>73.581802125040767</v>
      </c>
      <c r="BV114" s="102">
        <v>95.761784342078698</v>
      </c>
      <c r="BW114" s="102">
        <v>141.35445325266301</v>
      </c>
      <c r="BX114" s="102">
        <v>198.03515115621261</v>
      </c>
      <c r="BY114" s="102">
        <v>294.35620354595972</v>
      </c>
      <c r="BZ114" s="102">
        <v>410.47883731926436</v>
      </c>
    </row>
    <row r="115" spans="1:78" outlineLevel="1">
      <c r="A115" s="237" t="s">
        <v>242</v>
      </c>
      <c r="B115" s="236" t="s">
        <v>393</v>
      </c>
      <c r="C115" s="194" t="s">
        <v>40</v>
      </c>
      <c r="D115" s="192" t="s">
        <v>393</v>
      </c>
      <c r="E115" s="125">
        <f>HLOOKUP(INPUT!$Q$2,'Tracks Pull'!$X$8:$AJ$138,T115,FALSE)</f>
        <v>10.431241383893088</v>
      </c>
      <c r="F115" s="125">
        <f>HLOOKUP(INPUT!$Q$3,'Tracks Pull'!$X$8:$AJ$138,T115,FALSE)</f>
        <v>8.6108040399389019</v>
      </c>
      <c r="G115" s="125">
        <f t="shared" si="13"/>
        <v>1.8204373439541861</v>
      </c>
      <c r="I115" s="125">
        <f>HLOOKUP(INPUT!$Q$2,'Tracks Pull'!$AL$8:$AX$138,T115,FALSE)</f>
        <v>8.231108422783759</v>
      </c>
      <c r="J115" s="125">
        <f>HLOOKUP(INPUT!$Q$3,'Tracks Pull'!$AL$8:$AX$138,T115,FALSE)</f>
        <v>5.8062940218748551</v>
      </c>
      <c r="K115" s="125">
        <f t="shared" si="14"/>
        <v>2.4248144009089039</v>
      </c>
      <c r="M115" s="125">
        <f>HLOOKUP(INPUT!$Q$2,'Tracks Pull'!$AZ$8:$BL$138,T115,FALSE)</f>
        <v>10.431241383893088</v>
      </c>
      <c r="N115" s="125">
        <f>HLOOKUP(INPUT!$Q$3,'Tracks Pull'!$AZ$8:$BL$138,T115,FALSE)</f>
        <v>8.6108040399389019</v>
      </c>
      <c r="O115" s="125">
        <f t="shared" si="15"/>
        <v>1.8204373439541861</v>
      </c>
      <c r="Q115" s="125">
        <f>HLOOKUP(INPUT!$Q$2,'Tracks Pull'!$BN$8:$BZ$138,T115,FALSE)</f>
        <v>8.231108422783759</v>
      </c>
      <c r="R115" s="125">
        <f>HLOOKUP(INPUT!$Q$3,'Tracks Pull'!$BN$8:$BZ$138,T115,FALSE)</f>
        <v>5.8062940218748551</v>
      </c>
      <c r="S115" s="125">
        <f t="shared" si="16"/>
        <v>2.4248144009089039</v>
      </c>
      <c r="T115" s="199">
        <v>108</v>
      </c>
      <c r="U115" s="501" t="s">
        <v>40</v>
      </c>
      <c r="V115" s="427" t="s">
        <v>129</v>
      </c>
      <c r="W115" s="502" t="s">
        <v>393</v>
      </c>
      <c r="X115" s="102">
        <v>2.7914583961106199</v>
      </c>
      <c r="Y115" s="102">
        <v>3.977538267740552</v>
      </c>
      <c r="Z115" s="102">
        <v>4.8528833058670484</v>
      </c>
      <c r="AA115" s="102">
        <v>5.8156765217327102</v>
      </c>
      <c r="AB115" s="102">
        <v>7.250233956167583</v>
      </c>
      <c r="AC115" s="102">
        <v>8.6108040399389019</v>
      </c>
      <c r="AD115" s="102">
        <v>10.431241383893088</v>
      </c>
      <c r="AE115" s="102">
        <v>14.363522266602899</v>
      </c>
      <c r="AF115" s="102">
        <v>17.988134641426839</v>
      </c>
      <c r="AG115" s="102">
        <v>23.5841138079399</v>
      </c>
      <c r="AH115" s="102">
        <v>28.273751380582716</v>
      </c>
      <c r="AI115" s="102">
        <v>31.936004288593999</v>
      </c>
      <c r="AJ115" s="178">
        <v>41.455820310672195</v>
      </c>
      <c r="AK115" s="182"/>
      <c r="AL115" s="180">
        <v>2.282875290722667</v>
      </c>
      <c r="AM115" s="102">
        <v>1.816585872461836</v>
      </c>
      <c r="AN115" s="102">
        <v>2.7854176957927712</v>
      </c>
      <c r="AO115" s="102">
        <v>4.2525524115957021</v>
      </c>
      <c r="AP115" s="102">
        <v>5.0507284423366876</v>
      </c>
      <c r="AQ115" s="102">
        <v>5.8062940218748551</v>
      </c>
      <c r="AR115" s="102">
        <v>8.231108422783759</v>
      </c>
      <c r="AS115" s="102">
        <v>12.63977855345933</v>
      </c>
      <c r="AT115" s="102">
        <v>16.55292463147326</v>
      </c>
      <c r="AU115" s="102">
        <v>23.02457040317563</v>
      </c>
      <c r="AV115" s="102">
        <v>31.8693156576911</v>
      </c>
      <c r="AW115" s="102">
        <v>46.46575957949026</v>
      </c>
      <c r="AX115" s="102">
        <v>63.45664664688536</v>
      </c>
      <c r="AY115" s="128"/>
      <c r="AZ115" s="102">
        <v>2.7914583961106199</v>
      </c>
      <c r="BA115" s="102">
        <v>3.977538267740552</v>
      </c>
      <c r="BB115" s="102">
        <v>4.8528833058670484</v>
      </c>
      <c r="BC115" s="102">
        <v>5.8156765217327102</v>
      </c>
      <c r="BD115" s="102">
        <v>7.250233956167583</v>
      </c>
      <c r="BE115" s="102">
        <v>8.6108040399389019</v>
      </c>
      <c r="BF115" s="102">
        <v>10.431241383893088</v>
      </c>
      <c r="BG115" s="102">
        <v>14.363522266602899</v>
      </c>
      <c r="BH115" s="102">
        <v>17.988134641426839</v>
      </c>
      <c r="BI115" s="102">
        <v>23.5841138079399</v>
      </c>
      <c r="BJ115" s="102">
        <v>28.273751380582716</v>
      </c>
      <c r="BK115" s="102">
        <v>31.936004288593999</v>
      </c>
      <c r="BL115" s="102">
        <v>41.455820310672195</v>
      </c>
      <c r="BM115" s="128"/>
      <c r="BN115" s="102">
        <v>2.282875290722667</v>
      </c>
      <c r="BO115" s="102">
        <v>1.816585872461836</v>
      </c>
      <c r="BP115" s="102">
        <v>2.7854176957927712</v>
      </c>
      <c r="BQ115" s="102">
        <v>4.2525524115957021</v>
      </c>
      <c r="BR115" s="102">
        <v>5.0507284423366876</v>
      </c>
      <c r="BS115" s="102">
        <v>5.8062940218748551</v>
      </c>
      <c r="BT115" s="102">
        <v>8.231108422783759</v>
      </c>
      <c r="BU115" s="102">
        <v>12.63977855345933</v>
      </c>
      <c r="BV115" s="102">
        <v>16.55292463147326</v>
      </c>
      <c r="BW115" s="102">
        <v>23.02457040317563</v>
      </c>
      <c r="BX115" s="102">
        <v>31.8693156576911</v>
      </c>
      <c r="BY115" s="102">
        <v>46.46575957949026</v>
      </c>
      <c r="BZ115" s="102">
        <v>63.45664664688536</v>
      </c>
    </row>
    <row r="116" spans="1:78" outlineLevel="1">
      <c r="A116" s="237" t="s">
        <v>242</v>
      </c>
      <c r="B116" s="236" t="s">
        <v>78</v>
      </c>
      <c r="C116" s="194"/>
      <c r="D116" s="192" t="s">
        <v>78</v>
      </c>
      <c r="E116" s="125"/>
      <c r="F116" s="125"/>
      <c r="G116" s="125"/>
      <c r="I116" s="125"/>
      <c r="J116" s="125"/>
      <c r="K116" s="125"/>
      <c r="M116" s="125"/>
      <c r="N116" s="125"/>
      <c r="O116" s="125"/>
      <c r="Q116" s="125"/>
      <c r="R116" s="125"/>
      <c r="S116" s="125"/>
      <c r="T116" s="109">
        <v>109</v>
      </c>
      <c r="U116" s="501" t="s">
        <v>40</v>
      </c>
      <c r="V116" s="427" t="s">
        <v>129</v>
      </c>
      <c r="W116" s="502" t="s">
        <v>78</v>
      </c>
      <c r="X116" s="102">
        <v>5.046730542309013</v>
      </c>
      <c r="Y116" s="102">
        <v>6.9892287276463971</v>
      </c>
      <c r="Z116" s="102">
        <v>8.5414914866187157</v>
      </c>
      <c r="AA116" s="102">
        <v>10.300905875449978</v>
      </c>
      <c r="AB116" s="102">
        <v>13.671541761119911</v>
      </c>
      <c r="AC116" s="102">
        <v>16.80331860343631</v>
      </c>
      <c r="AD116" s="102">
        <v>20.370390643454748</v>
      </c>
      <c r="AE116" s="102">
        <v>28.857118504393529</v>
      </c>
      <c r="AF116" s="102">
        <v>38.109198709521337</v>
      </c>
      <c r="AG116" s="102">
        <v>52.894426353781604</v>
      </c>
      <c r="AH116" s="102">
        <v>64.4889921924715</v>
      </c>
      <c r="AI116" s="102">
        <v>76.019951296784399</v>
      </c>
      <c r="AJ116" s="178">
        <v>105.99401698488479</v>
      </c>
      <c r="AK116" s="182"/>
      <c r="AL116" s="180">
        <v>4.5504125163064337</v>
      </c>
      <c r="AM116" s="102">
        <v>3.52728127783837</v>
      </c>
      <c r="AN116" s="102">
        <v>5.9378302293786369</v>
      </c>
      <c r="AO116" s="102">
        <v>8.9848287842043106</v>
      </c>
      <c r="AP116" s="102">
        <v>10.571730744326871</v>
      </c>
      <c r="AQ116" s="102">
        <v>11.979197200121479</v>
      </c>
      <c r="AR116" s="102">
        <v>17.062872696852811</v>
      </c>
      <c r="AS116" s="102">
        <v>26.04425436851022</v>
      </c>
      <c r="AT116" s="102">
        <v>34.301141394566393</v>
      </c>
      <c r="AU116" s="102">
        <v>45.00046092641805</v>
      </c>
      <c r="AV116" s="102">
        <v>61.478778539558704</v>
      </c>
      <c r="AW116" s="102">
        <v>87.748646203275698</v>
      </c>
      <c r="AX116" s="102">
        <v>117.0252087568837</v>
      </c>
      <c r="AY116" s="128"/>
      <c r="AZ116" s="102">
        <v>5.046730542309013</v>
      </c>
      <c r="BA116" s="102">
        <v>6.9892287276463971</v>
      </c>
      <c r="BB116" s="102">
        <v>8.5414914866187157</v>
      </c>
      <c r="BC116" s="102">
        <v>10.300905875449978</v>
      </c>
      <c r="BD116" s="102">
        <v>13.671541761119911</v>
      </c>
      <c r="BE116" s="102">
        <v>16.80331860343631</v>
      </c>
      <c r="BF116" s="102">
        <v>20.370390643454748</v>
      </c>
      <c r="BG116" s="102">
        <v>28.857118504393529</v>
      </c>
      <c r="BH116" s="102">
        <v>38.109198709521337</v>
      </c>
      <c r="BI116" s="102">
        <v>52.894426353781604</v>
      </c>
      <c r="BJ116" s="102">
        <v>64.4889921924715</v>
      </c>
      <c r="BK116" s="102">
        <v>76.019951296784399</v>
      </c>
      <c r="BL116" s="102">
        <v>105.99401698488479</v>
      </c>
      <c r="BM116" s="128"/>
      <c r="BN116" s="102">
        <v>4.5504125163064337</v>
      </c>
      <c r="BO116" s="102">
        <v>3.52728127783837</v>
      </c>
      <c r="BP116" s="102">
        <v>5.9378302293786369</v>
      </c>
      <c r="BQ116" s="102">
        <v>8.9848287842043106</v>
      </c>
      <c r="BR116" s="102">
        <v>10.571730744326871</v>
      </c>
      <c r="BS116" s="102">
        <v>11.979197200121479</v>
      </c>
      <c r="BT116" s="102">
        <v>17.062872696852811</v>
      </c>
      <c r="BU116" s="102">
        <v>26.04425436851022</v>
      </c>
      <c r="BV116" s="102">
        <v>34.301141394566393</v>
      </c>
      <c r="BW116" s="102">
        <v>45.00046092641805</v>
      </c>
      <c r="BX116" s="102">
        <v>61.478778539558704</v>
      </c>
      <c r="BY116" s="102">
        <v>87.748646203275698</v>
      </c>
      <c r="BZ116" s="102">
        <v>117.0252087568837</v>
      </c>
    </row>
    <row r="117" spans="1:78" outlineLevel="1">
      <c r="A117" s="237" t="s">
        <v>242</v>
      </c>
      <c r="B117" s="236" t="s">
        <v>80</v>
      </c>
      <c r="C117" s="194" t="s">
        <v>40</v>
      </c>
      <c r="D117" s="193" t="s">
        <v>80</v>
      </c>
      <c r="E117" s="125">
        <f>HLOOKUP(INPUT!$Q$2,'Tracks Pull'!$X$8:$AJ$138,T117,FALSE)</f>
        <v>1.6556500365560192</v>
      </c>
      <c r="F117" s="125">
        <f>HLOOKUP(INPUT!$Q$3,'Tracks Pull'!$X$8:$AJ$138,T117,FALSE)</f>
        <v>1.2668272725967689</v>
      </c>
      <c r="G117" s="125">
        <f t="shared" si="13"/>
        <v>0.38882276395925031</v>
      </c>
      <c r="I117" s="125">
        <f>HLOOKUP(INPUT!$Q$2,'Tracks Pull'!$AL$8:$AX$138,T117,FALSE)</f>
        <v>-5.4244979158915747</v>
      </c>
      <c r="J117" s="125">
        <f>HLOOKUP(INPUT!$Q$3,'Tracks Pull'!$AL$8:$AX$138,T117,FALSE)</f>
        <v>-3.7773640740807379</v>
      </c>
      <c r="K117" s="125">
        <f t="shared" si="14"/>
        <v>-1.6471338418108368</v>
      </c>
      <c r="M117" s="125">
        <f>HLOOKUP(INPUT!$Q$2,'Tracks Pull'!$AZ$8:$BL$138,T117,FALSE)</f>
        <v>1.6556500365560192</v>
      </c>
      <c r="N117" s="125">
        <f>HLOOKUP(INPUT!$Q$3,'Tracks Pull'!$AZ$8:$BL$138,T117,FALSE)</f>
        <v>1.2668272725967689</v>
      </c>
      <c r="O117" s="125">
        <f t="shared" si="15"/>
        <v>0.38882276395925031</v>
      </c>
      <c r="Q117" s="125">
        <f>HLOOKUP(INPUT!$Q$2,'Tracks Pull'!$BN$8:$BZ$138,T117,FALSE)</f>
        <v>-5.4244979158915747</v>
      </c>
      <c r="R117" s="125">
        <f>HLOOKUP(INPUT!$Q$3,'Tracks Pull'!$BN$8:$BZ$138,T117,FALSE)</f>
        <v>-3.7773640740807379</v>
      </c>
      <c r="S117" s="125">
        <f t="shared" si="16"/>
        <v>-1.6471338418108368</v>
      </c>
      <c r="T117" s="199">
        <v>110</v>
      </c>
      <c r="U117" s="194" t="s">
        <v>40</v>
      </c>
      <c r="V117" s="191" t="s">
        <v>129</v>
      </c>
      <c r="W117" s="193" t="s">
        <v>80</v>
      </c>
      <c r="X117" s="102">
        <v>0.29809570552951598</v>
      </c>
      <c r="Y117" s="102">
        <v>0.45087541226759797</v>
      </c>
      <c r="Z117" s="102">
        <v>0.65300355776013597</v>
      </c>
      <c r="AA117" s="102">
        <v>0.78990442050832299</v>
      </c>
      <c r="AB117" s="102">
        <v>1.0635812072541089</v>
      </c>
      <c r="AC117" s="102">
        <v>1.2668272725967689</v>
      </c>
      <c r="AD117" s="102">
        <v>1.6556500365560192</v>
      </c>
      <c r="AE117" s="102">
        <v>2.2467581933026239</v>
      </c>
      <c r="AF117" s="102">
        <v>3.025923315563094</v>
      </c>
      <c r="AG117" s="102">
        <v>4.0828216155029553</v>
      </c>
      <c r="AH117" s="102">
        <v>4.9024560038765905</v>
      </c>
      <c r="AI117" s="102">
        <v>4.9045430737359599</v>
      </c>
      <c r="AJ117" s="178">
        <v>4.9099682919241872</v>
      </c>
      <c r="AK117" s="182"/>
      <c r="AL117" s="180">
        <v>-1.278991054948589</v>
      </c>
      <c r="AM117" s="102">
        <v>-0.89156859369319008</v>
      </c>
      <c r="AN117" s="102">
        <v>-2.0239884478330623</v>
      </c>
      <c r="AO117" s="102">
        <v>-3.028779273368114</v>
      </c>
      <c r="AP117" s="102">
        <v>-3.4643926572813641</v>
      </c>
      <c r="AQ117" s="102">
        <v>-3.7773640740807379</v>
      </c>
      <c r="AR117" s="102">
        <v>-5.4244979158915747</v>
      </c>
      <c r="AS117" s="102">
        <v>-8.229780544415032</v>
      </c>
      <c r="AT117" s="102">
        <v>-11.023639589173689</v>
      </c>
      <c r="AU117" s="102">
        <v>-12.149752670052203</v>
      </c>
      <c r="AV117" s="102">
        <v>-15.921451209426603</v>
      </c>
      <c r="AW117" s="102">
        <v>-21.05850545277886</v>
      </c>
      <c r="AX117" s="102">
        <v>-25.41967973200882</v>
      </c>
      <c r="AY117" s="128"/>
      <c r="AZ117" s="102">
        <v>0.29809570552951598</v>
      </c>
      <c r="BA117" s="102">
        <v>0.45087541226759797</v>
      </c>
      <c r="BB117" s="102">
        <v>0.65300355776013597</v>
      </c>
      <c r="BC117" s="102">
        <v>0.78990442050832299</v>
      </c>
      <c r="BD117" s="102">
        <v>1.0635812072541089</v>
      </c>
      <c r="BE117" s="102">
        <v>1.2668272725967689</v>
      </c>
      <c r="BF117" s="102">
        <v>1.6556500365560192</v>
      </c>
      <c r="BG117" s="102">
        <v>2.2467581933026239</v>
      </c>
      <c r="BH117" s="102">
        <v>3.025923315563094</v>
      </c>
      <c r="BI117" s="102">
        <v>4.0828216155029553</v>
      </c>
      <c r="BJ117" s="102">
        <v>4.9024560038765905</v>
      </c>
      <c r="BK117" s="102">
        <v>4.9045430737359599</v>
      </c>
      <c r="BL117" s="102">
        <v>4.9099682919241872</v>
      </c>
      <c r="BM117" s="128"/>
      <c r="BN117" s="102">
        <v>-1.278991054948589</v>
      </c>
      <c r="BO117" s="102">
        <v>-0.89156859369319008</v>
      </c>
      <c r="BP117" s="102">
        <v>-2.0239884478330623</v>
      </c>
      <c r="BQ117" s="102">
        <v>-3.028779273368114</v>
      </c>
      <c r="BR117" s="102">
        <v>-3.4643926572813641</v>
      </c>
      <c r="BS117" s="102">
        <v>-3.7773640740807379</v>
      </c>
      <c r="BT117" s="102">
        <v>-5.4244979158915747</v>
      </c>
      <c r="BU117" s="102">
        <v>-8.229780544415032</v>
      </c>
      <c r="BV117" s="102">
        <v>-11.023639589173689</v>
      </c>
      <c r="BW117" s="102">
        <v>-12.149752670052203</v>
      </c>
      <c r="BX117" s="102">
        <v>-15.921451209426603</v>
      </c>
      <c r="BY117" s="102">
        <v>-21.05850545277886</v>
      </c>
      <c r="BZ117" s="102">
        <v>-25.41967973200882</v>
      </c>
    </row>
    <row r="118" spans="1:78" outlineLevel="1">
      <c r="A118" s="237" t="s">
        <v>242</v>
      </c>
      <c r="B118" s="236" t="s">
        <v>104</v>
      </c>
      <c r="C118" s="194" t="s">
        <v>40</v>
      </c>
      <c r="D118" s="190" t="s">
        <v>24</v>
      </c>
      <c r="E118" s="125">
        <f>HLOOKUP(INPUT!$Q$2,'Tracks Pull'!$X$8:$AJ$138,T118,FALSE)</f>
        <v>26.511026135302483</v>
      </c>
      <c r="F118" s="125">
        <f>HLOOKUP(INPUT!$Q$3,'Tracks Pull'!$X$8:$AJ$138,T118,FALSE)</f>
        <v>21.564440048910591</v>
      </c>
      <c r="G118" s="125">
        <f t="shared" si="13"/>
        <v>4.9465860863918927</v>
      </c>
      <c r="I118" s="125">
        <f>HLOOKUP(INPUT!$Q$2,'Tracks Pull'!$AL$8:$AX$138,T118,FALSE)</f>
        <v>10.642914057743269</v>
      </c>
      <c r="J118" s="125">
        <f>HLOOKUP(INPUT!$Q$3,'Tracks Pull'!$AL$8:$AX$138,T118,FALSE)</f>
        <v>7.4774625644289499</v>
      </c>
      <c r="K118" s="125">
        <f t="shared" si="14"/>
        <v>3.1654514933143192</v>
      </c>
      <c r="M118" s="125">
        <f>HLOOKUP(INPUT!$Q$2,'Tracks Pull'!$AZ$8:$BL$138,T118,FALSE)</f>
        <v>26.511026135302483</v>
      </c>
      <c r="N118" s="125">
        <f>HLOOKUP(INPUT!$Q$3,'Tracks Pull'!$AZ$8:$BL$138,T118,FALSE)</f>
        <v>21.564440048910591</v>
      </c>
      <c r="O118" s="125">
        <f t="shared" si="15"/>
        <v>4.9465860863918927</v>
      </c>
      <c r="Q118" s="125">
        <f>HLOOKUP(INPUT!$Q$2,'Tracks Pull'!$BN$8:$BZ$138,T118,FALSE)</f>
        <v>10.642914057743269</v>
      </c>
      <c r="R118" s="125">
        <f>HLOOKUP(INPUT!$Q$3,'Tracks Pull'!$BN$8:$BZ$138,T118,FALSE)</f>
        <v>7.4774625644289499</v>
      </c>
      <c r="S118" s="125">
        <f t="shared" si="16"/>
        <v>3.1654514933143192</v>
      </c>
      <c r="T118" s="109">
        <v>111</v>
      </c>
      <c r="U118" s="194" t="s">
        <v>40</v>
      </c>
      <c r="V118" s="191" t="s">
        <v>129</v>
      </c>
      <c r="W118" s="192" t="s">
        <v>405</v>
      </c>
      <c r="X118" s="102">
        <v>6.5049291315339328</v>
      </c>
      <c r="Y118" s="102">
        <v>9.069783679703125</v>
      </c>
      <c r="Z118" s="102">
        <v>11.354466861084781</v>
      </c>
      <c r="AA118" s="102">
        <v>13.803647276223094</v>
      </c>
      <c r="AB118" s="102">
        <v>18.185095973255372</v>
      </c>
      <c r="AC118" s="102">
        <v>21.564440048910591</v>
      </c>
      <c r="AD118" s="102">
        <v>26.511026135302483</v>
      </c>
      <c r="AE118" s="102">
        <v>34.497832326347705</v>
      </c>
      <c r="AF118" s="102">
        <v>45.799235586304441</v>
      </c>
      <c r="AG118" s="102">
        <v>59.967542392673735</v>
      </c>
      <c r="AH118" s="102">
        <v>68.004655045402387</v>
      </c>
      <c r="AI118" s="102">
        <v>71.659681003121392</v>
      </c>
      <c r="AJ118" s="178">
        <v>81.160710983134294</v>
      </c>
      <c r="AK118" s="182"/>
      <c r="AL118" s="180">
        <v>2.8429070191523813</v>
      </c>
      <c r="AM118" s="102">
        <v>2.2042861453928961</v>
      </c>
      <c r="AN118" s="102">
        <v>3.6968437732253898</v>
      </c>
      <c r="AO118" s="102">
        <v>5.6030098637180608</v>
      </c>
      <c r="AP118" s="102">
        <v>6.5933360974841726</v>
      </c>
      <c r="AQ118" s="102">
        <v>7.4774625644289499</v>
      </c>
      <c r="AR118" s="102">
        <v>10.642914057743269</v>
      </c>
      <c r="AS118" s="102">
        <v>16.266757971089969</v>
      </c>
      <c r="AT118" s="102">
        <v>21.419861974978758</v>
      </c>
      <c r="AU118" s="102">
        <v>28.204617311248917</v>
      </c>
      <c r="AV118" s="102">
        <v>38.575290570769198</v>
      </c>
      <c r="AW118" s="102">
        <v>55.147680837776505</v>
      </c>
      <c r="AX118" s="102">
        <v>73.658298559120695</v>
      </c>
      <c r="AY118" s="128"/>
      <c r="AZ118" s="102">
        <v>6.5049291315339328</v>
      </c>
      <c r="BA118" s="102">
        <v>9.069783679703125</v>
      </c>
      <c r="BB118" s="102">
        <v>11.354466861084781</v>
      </c>
      <c r="BC118" s="102">
        <v>13.803647276223094</v>
      </c>
      <c r="BD118" s="102">
        <v>18.185095973255372</v>
      </c>
      <c r="BE118" s="102">
        <v>21.564440048910591</v>
      </c>
      <c r="BF118" s="102">
        <v>26.511026135302483</v>
      </c>
      <c r="BG118" s="102">
        <v>34.497832326347705</v>
      </c>
      <c r="BH118" s="102">
        <v>45.799235586304441</v>
      </c>
      <c r="BI118" s="102">
        <v>59.967542392673735</v>
      </c>
      <c r="BJ118" s="102">
        <v>68.004655045402387</v>
      </c>
      <c r="BK118" s="102">
        <v>71.659681003121392</v>
      </c>
      <c r="BL118" s="102">
        <v>81.160710983134294</v>
      </c>
      <c r="BM118" s="128"/>
      <c r="BN118" s="102">
        <v>2.8429070191523813</v>
      </c>
      <c r="BO118" s="102">
        <v>2.2042861453928961</v>
      </c>
      <c r="BP118" s="102">
        <v>3.6968437732253898</v>
      </c>
      <c r="BQ118" s="102">
        <v>5.6030098637180608</v>
      </c>
      <c r="BR118" s="102">
        <v>6.5933360974841726</v>
      </c>
      <c r="BS118" s="102">
        <v>7.4774625644289499</v>
      </c>
      <c r="BT118" s="102">
        <v>10.642914057743269</v>
      </c>
      <c r="BU118" s="102">
        <v>16.266757971089969</v>
      </c>
      <c r="BV118" s="102">
        <v>21.419861974978758</v>
      </c>
      <c r="BW118" s="102">
        <v>28.204617311248917</v>
      </c>
      <c r="BX118" s="102">
        <v>38.575290570769198</v>
      </c>
      <c r="BY118" s="102">
        <v>55.147680837776505</v>
      </c>
      <c r="BZ118" s="102">
        <v>73.658298559120695</v>
      </c>
    </row>
    <row r="119" spans="1:78" outlineLevel="1">
      <c r="A119" s="237" t="s">
        <v>242</v>
      </c>
      <c r="B119" s="236" t="s">
        <v>105</v>
      </c>
      <c r="C119" s="194" t="s">
        <v>40</v>
      </c>
      <c r="D119" s="190" t="s">
        <v>130</v>
      </c>
      <c r="E119" s="125">
        <f>HLOOKUP(INPUT!$Q$2,'Tracks Pull'!$X$8:$AJ$138,T119,FALSE)</f>
        <v>37.146755754288009</v>
      </c>
      <c r="F119" s="125">
        <f>HLOOKUP(INPUT!$Q$3,'Tracks Pull'!$X$8:$AJ$138,T119,FALSE)</f>
        <v>30.177660948570129</v>
      </c>
      <c r="G119" s="125">
        <f t="shared" si="13"/>
        <v>6.9690948057178801</v>
      </c>
      <c r="I119" s="125">
        <f>HLOOKUP(INPUT!$Q$2,'Tracks Pull'!$AL$8:$AX$138,T119,FALSE)</f>
        <v>20.64839385866113</v>
      </c>
      <c r="J119" s="125">
        <f>HLOOKUP(INPUT!$Q$3,'Tracks Pull'!$AL$8:$AX$138,T119,FALSE)</f>
        <v>14.754663329273392</v>
      </c>
      <c r="K119" s="125">
        <f t="shared" si="14"/>
        <v>5.8937305293877387</v>
      </c>
      <c r="M119" s="125">
        <f>HLOOKUP(INPUT!$Q$2,'Tracks Pull'!$AZ$8:$BL$138,T119,FALSE)</f>
        <v>37.146755754288009</v>
      </c>
      <c r="N119" s="125">
        <f>HLOOKUP(INPUT!$Q$3,'Tracks Pull'!$AZ$8:$BL$138,T119,FALSE)</f>
        <v>30.177660948570129</v>
      </c>
      <c r="O119" s="125">
        <f t="shared" si="15"/>
        <v>6.9690948057178801</v>
      </c>
      <c r="Q119" s="125">
        <f>HLOOKUP(INPUT!$Q$2,'Tracks Pull'!$BN$8:$BZ$138,T119,FALSE)</f>
        <v>20.64839385866113</v>
      </c>
      <c r="R119" s="125">
        <f>HLOOKUP(INPUT!$Q$3,'Tracks Pull'!$BN$8:$BZ$138,T119,FALSE)</f>
        <v>14.754663329273392</v>
      </c>
      <c r="S119" s="125">
        <f t="shared" si="16"/>
        <v>5.8937305293877387</v>
      </c>
      <c r="T119" s="199">
        <v>112</v>
      </c>
      <c r="U119" s="194" t="s">
        <v>40</v>
      </c>
      <c r="V119" s="191" t="s">
        <v>129</v>
      </c>
      <c r="W119" s="190" t="s">
        <v>105</v>
      </c>
      <c r="X119" s="102">
        <v>9.0869291270747041</v>
      </c>
      <c r="Y119" s="102">
        <v>12.891592755234157</v>
      </c>
      <c r="Z119" s="102">
        <v>15.99789389141462</v>
      </c>
      <c r="AA119" s="102">
        <v>19.100462545799161</v>
      </c>
      <c r="AB119" s="102">
        <v>24.821844407938357</v>
      </c>
      <c r="AC119" s="102">
        <v>30.177660948570129</v>
      </c>
      <c r="AD119" s="102">
        <v>37.146755754288009</v>
      </c>
      <c r="AE119" s="102">
        <v>53.763462457631938</v>
      </c>
      <c r="AF119" s="102">
        <v>69.725023106190108</v>
      </c>
      <c r="AG119" s="102">
        <v>96.637027087813152</v>
      </c>
      <c r="AH119" s="102">
        <v>117.88495441166032</v>
      </c>
      <c r="AI119" s="102">
        <v>137.37116293125862</v>
      </c>
      <c r="AJ119" s="178">
        <v>188.02444241084652</v>
      </c>
      <c r="AK119" s="182"/>
      <c r="AL119" s="180">
        <v>5.8687218397533938</v>
      </c>
      <c r="AM119" s="102">
        <v>4.6758432547290543</v>
      </c>
      <c r="AN119" s="102">
        <v>6.7622126816297801</v>
      </c>
      <c r="AO119" s="102">
        <v>10.64453570873744</v>
      </c>
      <c r="AP119" s="102">
        <v>12.656212639147761</v>
      </c>
      <c r="AQ119" s="102">
        <v>14.754663329273392</v>
      </c>
      <c r="AR119" s="102">
        <v>20.64839385866113</v>
      </c>
      <c r="AS119" s="102">
        <v>32.467324509291068</v>
      </c>
      <c r="AT119" s="102">
        <v>42.406004442600178</v>
      </c>
      <c r="AU119" s="102">
        <v>62.280026307286192</v>
      </c>
      <c r="AV119" s="102">
        <v>87.545004470584104</v>
      </c>
      <c r="AW119" s="102">
        <v>130.3488912294379</v>
      </c>
      <c r="AX119" s="102">
        <v>181.16382512330941</v>
      </c>
      <c r="AY119" s="128"/>
      <c r="AZ119" s="102">
        <v>9.0869291270747041</v>
      </c>
      <c r="BA119" s="102">
        <v>12.891592755234157</v>
      </c>
      <c r="BB119" s="102">
        <v>15.99789389141462</v>
      </c>
      <c r="BC119" s="102">
        <v>19.100462545799161</v>
      </c>
      <c r="BD119" s="102">
        <v>24.821844407938357</v>
      </c>
      <c r="BE119" s="102">
        <v>30.177660948570129</v>
      </c>
      <c r="BF119" s="102">
        <v>37.146755754288009</v>
      </c>
      <c r="BG119" s="102">
        <v>53.763462457631938</v>
      </c>
      <c r="BH119" s="102">
        <v>69.725023106190108</v>
      </c>
      <c r="BI119" s="102">
        <v>96.637027087813152</v>
      </c>
      <c r="BJ119" s="102">
        <v>117.88495441166032</v>
      </c>
      <c r="BK119" s="102">
        <v>137.37116293125862</v>
      </c>
      <c r="BL119" s="102">
        <v>188.02444241084652</v>
      </c>
      <c r="BM119" s="128"/>
      <c r="BN119" s="102">
        <v>5.8687218397533938</v>
      </c>
      <c r="BO119" s="102">
        <v>4.6758432547290543</v>
      </c>
      <c r="BP119" s="102">
        <v>6.7622126816297801</v>
      </c>
      <c r="BQ119" s="102">
        <v>10.64453570873744</v>
      </c>
      <c r="BR119" s="102">
        <v>12.656212639147761</v>
      </c>
      <c r="BS119" s="102">
        <v>14.754663329273392</v>
      </c>
      <c r="BT119" s="102">
        <v>20.64839385866113</v>
      </c>
      <c r="BU119" s="102">
        <v>32.467324509291068</v>
      </c>
      <c r="BV119" s="102">
        <v>42.406004442600178</v>
      </c>
      <c r="BW119" s="102">
        <v>62.280026307286192</v>
      </c>
      <c r="BX119" s="102">
        <v>87.545004470584104</v>
      </c>
      <c r="BY119" s="102">
        <v>130.3488912294379</v>
      </c>
      <c r="BZ119" s="102">
        <v>181.16382512330941</v>
      </c>
    </row>
    <row r="120" spans="1:78">
      <c r="A120" s="237" t="s">
        <v>242</v>
      </c>
      <c r="B120" s="236" t="s">
        <v>26</v>
      </c>
      <c r="C120" s="194" t="s">
        <v>40</v>
      </c>
      <c r="D120" s="191" t="s">
        <v>26</v>
      </c>
      <c r="E120" s="123">
        <f>HLOOKUP(INPUT!$Q$2,'Tracks Pull'!$X$8:$AJ$138,T120,FALSE)</f>
        <v>254.11379540667718</v>
      </c>
      <c r="F120" s="123">
        <f>HLOOKUP(INPUT!$Q$3,'Tracks Pull'!$X$8:$AJ$138,T120,FALSE)</f>
        <v>193.92102225394586</v>
      </c>
      <c r="G120" s="123">
        <f t="shared" si="13"/>
        <v>60.19277315273132</v>
      </c>
      <c r="I120" s="123">
        <f>HLOOKUP(INPUT!$Q$2,'Tracks Pull'!$AL$8:$AX$138,T120,FALSE)</f>
        <v>157.98580333343088</v>
      </c>
      <c r="J120" s="123">
        <f>HLOOKUP(INPUT!$Q$3,'Tracks Pull'!$AL$8:$AX$138,T120,FALSE)</f>
        <v>109.18191750963582</v>
      </c>
      <c r="K120" s="123">
        <f t="shared" si="14"/>
        <v>48.803885823795056</v>
      </c>
      <c r="M120" s="123">
        <f>HLOOKUP(INPUT!$Q$2,'Tracks Pull'!$AZ$8:$BL$138,T120,FALSE)</f>
        <v>254.11379540667718</v>
      </c>
      <c r="N120" s="123">
        <f>HLOOKUP(INPUT!$Q$3,'Tracks Pull'!$AZ$8:$BL$138,T120,FALSE)</f>
        <v>193.92102225394586</v>
      </c>
      <c r="O120" s="123">
        <f t="shared" si="15"/>
        <v>60.19277315273132</v>
      </c>
      <c r="Q120" s="123">
        <f>HLOOKUP(INPUT!$Q$2,'Tracks Pull'!$BN$8:$BZ$138,T120,FALSE)</f>
        <v>157.98580333343088</v>
      </c>
      <c r="R120" s="123">
        <f>HLOOKUP(INPUT!$Q$3,'Tracks Pull'!$BN$8:$BZ$138,T120,FALSE)</f>
        <v>109.18191750963582</v>
      </c>
      <c r="S120" s="123">
        <f t="shared" si="16"/>
        <v>48.803885823795056</v>
      </c>
      <c r="T120" s="109">
        <v>113</v>
      </c>
      <c r="U120" s="194" t="s">
        <v>40</v>
      </c>
      <c r="V120" s="191" t="s">
        <v>129</v>
      </c>
      <c r="W120" s="191" t="s">
        <v>26</v>
      </c>
      <c r="X120" s="102">
        <v>45.44576566064606</v>
      </c>
      <c r="Y120" s="102">
        <v>64.4077351186112</v>
      </c>
      <c r="Z120" s="102">
        <v>93.897890650509282</v>
      </c>
      <c r="AA120" s="102">
        <v>119.30613368701218</v>
      </c>
      <c r="AB120" s="102">
        <v>161.73527254097087</v>
      </c>
      <c r="AC120" s="102">
        <v>193.92102225394586</v>
      </c>
      <c r="AD120" s="102">
        <v>254.11379540667718</v>
      </c>
      <c r="AE120" s="102">
        <v>323.19007840357591</v>
      </c>
      <c r="AF120" s="102">
        <v>440.14811815737465</v>
      </c>
      <c r="AG120" s="102">
        <v>527.66288555463632</v>
      </c>
      <c r="AH120" s="102">
        <v>598.66522275736395</v>
      </c>
      <c r="AI120" s="102">
        <v>694.08853576873946</v>
      </c>
      <c r="AJ120" s="178">
        <v>912.15864443043256</v>
      </c>
      <c r="AK120" s="182"/>
      <c r="AL120" s="180">
        <v>29.857997701093375</v>
      </c>
      <c r="AM120" s="102">
        <v>36.638116910609043</v>
      </c>
      <c r="AN120" s="102">
        <v>51.321867990485018</v>
      </c>
      <c r="AO120" s="102">
        <v>77.926178131749921</v>
      </c>
      <c r="AP120" s="102">
        <v>100.13898715979043</v>
      </c>
      <c r="AQ120" s="102">
        <v>109.18191750963582</v>
      </c>
      <c r="AR120" s="102">
        <v>157.98580333343088</v>
      </c>
      <c r="AS120" s="102">
        <v>224.9747883437486</v>
      </c>
      <c r="AT120" s="102">
        <v>290.21414336147433</v>
      </c>
      <c r="AU120" s="102">
        <v>325.97197672519655</v>
      </c>
      <c r="AV120" s="102">
        <v>399.52883601121766</v>
      </c>
      <c r="AW120" s="102">
        <v>500.63906341064654</v>
      </c>
      <c r="AX120" s="102">
        <v>649.40218288005985</v>
      </c>
      <c r="AY120" s="128"/>
      <c r="AZ120" s="102">
        <v>45.44576566064606</v>
      </c>
      <c r="BA120" s="102">
        <v>64.4077351186112</v>
      </c>
      <c r="BB120" s="102">
        <v>93.897890650509282</v>
      </c>
      <c r="BC120" s="102">
        <v>119.30613368701218</v>
      </c>
      <c r="BD120" s="102">
        <v>161.73527254097087</v>
      </c>
      <c r="BE120" s="102">
        <v>193.92102225394586</v>
      </c>
      <c r="BF120" s="102">
        <v>254.11379540667718</v>
      </c>
      <c r="BG120" s="102">
        <v>323.19007840357591</v>
      </c>
      <c r="BH120" s="102">
        <v>440.14811815737465</v>
      </c>
      <c r="BI120" s="102">
        <v>527.66288555463632</v>
      </c>
      <c r="BJ120" s="102">
        <v>598.66522275736395</v>
      </c>
      <c r="BK120" s="102">
        <v>694.08853576873946</v>
      </c>
      <c r="BL120" s="102">
        <v>912.15864443043256</v>
      </c>
      <c r="BM120" s="128"/>
      <c r="BN120" s="102">
        <v>29.857997701093375</v>
      </c>
      <c r="BO120" s="102">
        <v>36.638116910609043</v>
      </c>
      <c r="BP120" s="102">
        <v>51.321867990485018</v>
      </c>
      <c r="BQ120" s="102">
        <v>77.926178131749921</v>
      </c>
      <c r="BR120" s="102">
        <v>100.13898715979043</v>
      </c>
      <c r="BS120" s="102">
        <v>109.18191750963582</v>
      </c>
      <c r="BT120" s="102">
        <v>157.98580333343088</v>
      </c>
      <c r="BU120" s="102">
        <v>224.9747883437486</v>
      </c>
      <c r="BV120" s="102">
        <v>290.21414336147433</v>
      </c>
      <c r="BW120" s="102">
        <v>325.97197672519655</v>
      </c>
      <c r="BX120" s="102">
        <v>399.52883601121766</v>
      </c>
      <c r="BY120" s="102">
        <v>500.63906341064654</v>
      </c>
      <c r="BZ120" s="102">
        <v>649.40218288005985</v>
      </c>
    </row>
    <row r="121" spans="1:78" outlineLevel="1">
      <c r="A121" s="237" t="s">
        <v>242</v>
      </c>
      <c r="B121" s="236" t="s">
        <v>235</v>
      </c>
      <c r="C121" s="194" t="s">
        <v>40</v>
      </c>
      <c r="D121" s="190" t="s">
        <v>139</v>
      </c>
      <c r="E121" s="125">
        <f>HLOOKUP(INPUT!$Q$2,'Tracks Pull'!$X$8:$AJ$138,T121,FALSE)</f>
        <v>72.835563296743217</v>
      </c>
      <c r="F121" s="125">
        <f>HLOOKUP(INPUT!$Q$3,'Tracks Pull'!$X$8:$AJ$138,T121,FALSE)</f>
        <v>55.498308333456571</v>
      </c>
      <c r="G121" s="125">
        <f t="shared" si="13"/>
        <v>17.337254963286647</v>
      </c>
      <c r="I121" s="125">
        <f>HLOOKUP(INPUT!$Q$2,'Tracks Pull'!$AL$8:$AX$138,T121,FALSE)</f>
        <v>41.309511490222945</v>
      </c>
      <c r="J121" s="125">
        <f>HLOOKUP(INPUT!$Q$3,'Tracks Pull'!$AL$8:$AX$138,T121,FALSE)</f>
        <v>28.53816748650334</v>
      </c>
      <c r="K121" s="125">
        <f t="shared" si="14"/>
        <v>12.771344003719605</v>
      </c>
      <c r="M121" s="125">
        <f>HLOOKUP(INPUT!$Q$2,'Tracks Pull'!$AZ$8:$BL$138,T121,FALSE)</f>
        <v>72.835563296743217</v>
      </c>
      <c r="N121" s="125">
        <f>HLOOKUP(INPUT!$Q$3,'Tracks Pull'!$AZ$8:$BL$138,T121,FALSE)</f>
        <v>55.498308333456571</v>
      </c>
      <c r="O121" s="125">
        <f t="shared" si="15"/>
        <v>17.337254963286647</v>
      </c>
      <c r="Q121" s="125">
        <f>HLOOKUP(INPUT!$Q$2,'Tracks Pull'!$BN$8:$BZ$138,T121,FALSE)</f>
        <v>41.309511490222945</v>
      </c>
      <c r="R121" s="125">
        <f>HLOOKUP(INPUT!$Q$3,'Tracks Pull'!$BN$8:$BZ$138,T121,FALSE)</f>
        <v>28.53816748650334</v>
      </c>
      <c r="S121" s="125">
        <f t="shared" si="16"/>
        <v>12.771344003719605</v>
      </c>
      <c r="T121" s="199">
        <v>114</v>
      </c>
      <c r="U121" s="194" t="s">
        <v>40</v>
      </c>
      <c r="V121" s="191" t="s">
        <v>129</v>
      </c>
      <c r="W121" s="190" t="s">
        <v>299</v>
      </c>
      <c r="X121" s="102">
        <v>12.803552479294785</v>
      </c>
      <c r="Y121" s="102">
        <v>18.490446522120621</v>
      </c>
      <c r="Z121" s="102">
        <v>26.536940212638992</v>
      </c>
      <c r="AA121" s="102">
        <v>34.22413678705071</v>
      </c>
      <c r="AB121" s="102">
        <v>46.371987378865498</v>
      </c>
      <c r="AC121" s="102">
        <v>55.498308333456571</v>
      </c>
      <c r="AD121" s="102">
        <v>72.835563296743217</v>
      </c>
      <c r="AE121" s="102">
        <v>92.873463429778951</v>
      </c>
      <c r="AF121" s="102">
        <v>122.91228356524809</v>
      </c>
      <c r="AG121" s="102">
        <v>149.01154706286138</v>
      </c>
      <c r="AH121" s="102">
        <v>169.57910000583479</v>
      </c>
      <c r="AI121" s="102">
        <v>188.62154039359541</v>
      </c>
      <c r="AJ121" s="178">
        <v>232.139072048022</v>
      </c>
      <c r="AK121" s="182"/>
      <c r="AL121" s="180">
        <v>7.8261902206811751</v>
      </c>
      <c r="AM121" s="102">
        <v>9.5944817356089924</v>
      </c>
      <c r="AN121" s="102">
        <v>13.443870072172881</v>
      </c>
      <c r="AO121" s="102">
        <v>20.359485551351362</v>
      </c>
      <c r="AP121" s="102">
        <v>26.168391920712729</v>
      </c>
      <c r="AQ121" s="102">
        <v>28.53816748650334</v>
      </c>
      <c r="AR121" s="102">
        <v>41.309511490222945</v>
      </c>
      <c r="AS121" s="102">
        <v>58.763020948802293</v>
      </c>
      <c r="AT121" s="102">
        <v>75.942310320412901</v>
      </c>
      <c r="AU121" s="102">
        <v>85.496495830587918</v>
      </c>
      <c r="AV121" s="102">
        <v>105.08764094019921</v>
      </c>
      <c r="AW121" s="102">
        <v>131.96839199438801</v>
      </c>
      <c r="AX121" s="102">
        <v>171.3759637131742</v>
      </c>
      <c r="AY121" s="128"/>
      <c r="AZ121" s="102">
        <v>12.803552479294785</v>
      </c>
      <c r="BA121" s="102">
        <v>18.490446522120621</v>
      </c>
      <c r="BB121" s="102">
        <v>26.536940212638992</v>
      </c>
      <c r="BC121" s="102">
        <v>34.22413678705071</v>
      </c>
      <c r="BD121" s="102">
        <v>46.371987378865498</v>
      </c>
      <c r="BE121" s="102">
        <v>55.498308333456571</v>
      </c>
      <c r="BF121" s="102">
        <v>72.835563296743217</v>
      </c>
      <c r="BG121" s="102">
        <v>92.873463429778951</v>
      </c>
      <c r="BH121" s="102">
        <v>122.91228356524809</v>
      </c>
      <c r="BI121" s="102">
        <v>149.01154706286138</v>
      </c>
      <c r="BJ121" s="102">
        <v>169.57910000583479</v>
      </c>
      <c r="BK121" s="102">
        <v>188.62154039359541</v>
      </c>
      <c r="BL121" s="102">
        <v>232.139072048022</v>
      </c>
      <c r="BM121" s="128"/>
      <c r="BN121" s="102">
        <v>7.8261902206811751</v>
      </c>
      <c r="BO121" s="102">
        <v>9.5944817356089924</v>
      </c>
      <c r="BP121" s="102">
        <v>13.443870072172881</v>
      </c>
      <c r="BQ121" s="102">
        <v>20.359485551351362</v>
      </c>
      <c r="BR121" s="102">
        <v>26.168391920712729</v>
      </c>
      <c r="BS121" s="102">
        <v>28.53816748650334</v>
      </c>
      <c r="BT121" s="102">
        <v>41.309511490222945</v>
      </c>
      <c r="BU121" s="102">
        <v>58.763020948802293</v>
      </c>
      <c r="BV121" s="102">
        <v>75.942310320412901</v>
      </c>
      <c r="BW121" s="102">
        <v>85.496495830587918</v>
      </c>
      <c r="BX121" s="102">
        <v>105.08764094019921</v>
      </c>
      <c r="BY121" s="102">
        <v>131.96839199438801</v>
      </c>
      <c r="BZ121" s="102">
        <v>171.3759637131742</v>
      </c>
    </row>
    <row r="122" spans="1:78" outlineLevel="1">
      <c r="A122" s="237" t="s">
        <v>242</v>
      </c>
      <c r="B122" s="236" t="s">
        <v>106</v>
      </c>
      <c r="C122" s="194" t="s">
        <v>40</v>
      </c>
      <c r="D122" s="190" t="s">
        <v>27</v>
      </c>
      <c r="E122" s="125">
        <f>HLOOKUP(INPUT!$Q$2,'Tracks Pull'!$X$8:$AJ$138,T122,FALSE)</f>
        <v>25.293513297709509</v>
      </c>
      <c r="F122" s="125">
        <f>HLOOKUP(INPUT!$Q$3,'Tracks Pull'!$X$8:$AJ$138,T122,FALSE)</f>
        <v>19.372492558600541</v>
      </c>
      <c r="G122" s="125">
        <f t="shared" si="13"/>
        <v>5.9210207391089682</v>
      </c>
      <c r="I122" s="125">
        <f>HLOOKUP(INPUT!$Q$2,'Tracks Pull'!$AL$8:$AX$138,T122,FALSE)</f>
        <v>12.971780202748702</v>
      </c>
      <c r="J122" s="125">
        <f>HLOOKUP(INPUT!$Q$3,'Tracks Pull'!$AL$8:$AX$138,T122,FALSE)</f>
        <v>8.9690554292585798</v>
      </c>
      <c r="K122" s="125">
        <f t="shared" si="14"/>
        <v>4.0027247734901223</v>
      </c>
      <c r="M122" s="125">
        <f>HLOOKUP(INPUT!$Q$2,'Tracks Pull'!$AZ$8:$BL$138,T122,FALSE)</f>
        <v>25.293513297709509</v>
      </c>
      <c r="N122" s="125">
        <f>HLOOKUP(INPUT!$Q$3,'Tracks Pull'!$AZ$8:$BL$138,T122,FALSE)</f>
        <v>19.372492558600541</v>
      </c>
      <c r="O122" s="125">
        <f t="shared" si="15"/>
        <v>5.9210207391089682</v>
      </c>
      <c r="Q122" s="125">
        <f>HLOOKUP(INPUT!$Q$2,'Tracks Pull'!$BN$8:$BZ$138,T122,FALSE)</f>
        <v>12.971780202748702</v>
      </c>
      <c r="R122" s="125">
        <f>HLOOKUP(INPUT!$Q$3,'Tracks Pull'!$BN$8:$BZ$138,T122,FALSE)</f>
        <v>8.9690554292585798</v>
      </c>
      <c r="S122" s="125">
        <f t="shared" si="16"/>
        <v>4.0027247734901223</v>
      </c>
      <c r="T122" s="109">
        <v>115</v>
      </c>
      <c r="U122" s="194" t="s">
        <v>40</v>
      </c>
      <c r="V122" s="191" t="s">
        <v>129</v>
      </c>
      <c r="W122" s="190" t="s">
        <v>301</v>
      </c>
      <c r="X122" s="102">
        <v>3.8961043871736853</v>
      </c>
      <c r="Y122" s="102">
        <v>5.6578607955099853</v>
      </c>
      <c r="Z122" s="102">
        <v>9.3935173484607315</v>
      </c>
      <c r="AA122" s="102">
        <v>11.871154280265475</v>
      </c>
      <c r="AB122" s="102">
        <v>16.074803572932701</v>
      </c>
      <c r="AC122" s="102">
        <v>19.372492558600541</v>
      </c>
      <c r="AD122" s="102">
        <v>25.293513297709509</v>
      </c>
      <c r="AE122" s="102">
        <v>33.408228811040281</v>
      </c>
      <c r="AF122" s="102">
        <v>50.045372074622456</v>
      </c>
      <c r="AG122" s="102">
        <v>60.241593323984013</v>
      </c>
      <c r="AH122" s="102">
        <v>70.05851886530337</v>
      </c>
      <c r="AI122" s="102">
        <v>89.639931836668964</v>
      </c>
      <c r="AJ122" s="178">
        <v>134.38917308242355</v>
      </c>
      <c r="AK122" s="182"/>
      <c r="AL122" s="180">
        <v>2.4653268378546249</v>
      </c>
      <c r="AM122" s="102">
        <v>3.0221704529448115</v>
      </c>
      <c r="AN122" s="102">
        <v>4.2254072136966556</v>
      </c>
      <c r="AO122" s="102">
        <v>6.404809549711155</v>
      </c>
      <c r="AP122" s="102">
        <v>8.2282950385625959</v>
      </c>
      <c r="AQ122" s="102">
        <v>8.9690554292585798</v>
      </c>
      <c r="AR122" s="102">
        <v>12.971780202748702</v>
      </c>
      <c r="AS122" s="102">
        <v>18.467336083393988</v>
      </c>
      <c r="AT122" s="102">
        <v>23.80728917861024</v>
      </c>
      <c r="AU122" s="102">
        <v>26.744332387525809</v>
      </c>
      <c r="AV122" s="102">
        <v>32.817739853573585</v>
      </c>
      <c r="AW122" s="102">
        <v>40.994760456733701</v>
      </c>
      <c r="AX122" s="102">
        <v>53.029112309407502</v>
      </c>
      <c r="AY122" s="128"/>
      <c r="AZ122" s="102">
        <v>3.8961043871736853</v>
      </c>
      <c r="BA122" s="102">
        <v>5.6578607955099853</v>
      </c>
      <c r="BB122" s="102">
        <v>9.3935173484607315</v>
      </c>
      <c r="BC122" s="102">
        <v>11.871154280265475</v>
      </c>
      <c r="BD122" s="102">
        <v>16.074803572932701</v>
      </c>
      <c r="BE122" s="102">
        <v>19.372492558600541</v>
      </c>
      <c r="BF122" s="102">
        <v>25.293513297709509</v>
      </c>
      <c r="BG122" s="102">
        <v>33.408228811040281</v>
      </c>
      <c r="BH122" s="102">
        <v>50.045372074622456</v>
      </c>
      <c r="BI122" s="102">
        <v>60.241593323984013</v>
      </c>
      <c r="BJ122" s="102">
        <v>70.05851886530337</v>
      </c>
      <c r="BK122" s="102">
        <v>89.639931836668964</v>
      </c>
      <c r="BL122" s="102">
        <v>134.38917308242355</v>
      </c>
      <c r="BM122" s="128"/>
      <c r="BN122" s="102">
        <v>2.4653268378546249</v>
      </c>
      <c r="BO122" s="102">
        <v>3.0221704529448115</v>
      </c>
      <c r="BP122" s="102">
        <v>4.2254072136966556</v>
      </c>
      <c r="BQ122" s="102">
        <v>6.404809549711155</v>
      </c>
      <c r="BR122" s="102">
        <v>8.2282950385625959</v>
      </c>
      <c r="BS122" s="102">
        <v>8.9690554292585798</v>
      </c>
      <c r="BT122" s="102">
        <v>12.971780202748702</v>
      </c>
      <c r="BU122" s="102">
        <v>18.467336083393988</v>
      </c>
      <c r="BV122" s="102">
        <v>23.80728917861024</v>
      </c>
      <c r="BW122" s="102">
        <v>26.744332387525809</v>
      </c>
      <c r="BX122" s="102">
        <v>32.817739853573585</v>
      </c>
      <c r="BY122" s="102">
        <v>40.994760456733701</v>
      </c>
      <c r="BZ122" s="102">
        <v>53.029112309407502</v>
      </c>
    </row>
    <row r="123" spans="1:78" outlineLevel="1">
      <c r="A123" s="237" t="s">
        <v>242</v>
      </c>
      <c r="B123" s="236" t="s">
        <v>87</v>
      </c>
      <c r="C123" s="194" t="s">
        <v>40</v>
      </c>
      <c r="D123" s="190" t="s">
        <v>140</v>
      </c>
      <c r="E123" s="125">
        <f>HLOOKUP(INPUT!$Q$2,'Tracks Pull'!$X$8:$AJ$138,T123,FALSE)</f>
        <v>31.284759323589952</v>
      </c>
      <c r="F123" s="125">
        <f>HLOOKUP(INPUT!$Q$3,'Tracks Pull'!$X$8:$AJ$138,T123,FALSE)</f>
        <v>23.904469089571869</v>
      </c>
      <c r="G123" s="125">
        <f t="shared" si="13"/>
        <v>7.3802902340180836</v>
      </c>
      <c r="I123" s="125">
        <f>HLOOKUP(INPUT!$Q$2,'Tracks Pull'!$AL$8:$AX$138,T123,FALSE)</f>
        <v>18.121467285029361</v>
      </c>
      <c r="J123" s="125">
        <f>HLOOKUP(INPUT!$Q$3,'Tracks Pull'!$AL$8:$AX$138,T123,FALSE)</f>
        <v>12.483116753341369</v>
      </c>
      <c r="K123" s="125">
        <f t="shared" si="14"/>
        <v>5.6383505316879923</v>
      </c>
      <c r="M123" s="125">
        <f>HLOOKUP(INPUT!$Q$2,'Tracks Pull'!$AZ$8:$BL$138,T123,FALSE)</f>
        <v>31.284759323589952</v>
      </c>
      <c r="N123" s="125">
        <f>HLOOKUP(INPUT!$Q$3,'Tracks Pull'!$AZ$8:$BL$138,T123,FALSE)</f>
        <v>23.904469089571869</v>
      </c>
      <c r="O123" s="125">
        <f t="shared" si="15"/>
        <v>7.3802902340180836</v>
      </c>
      <c r="Q123" s="125">
        <f>HLOOKUP(INPUT!$Q$2,'Tracks Pull'!$BN$8:$BZ$138,T123,FALSE)</f>
        <v>18.121467285029361</v>
      </c>
      <c r="R123" s="125">
        <f>HLOOKUP(INPUT!$Q$3,'Tracks Pull'!$BN$8:$BZ$138,T123,FALSE)</f>
        <v>12.483116753341369</v>
      </c>
      <c r="S123" s="125">
        <f t="shared" si="16"/>
        <v>5.6383505316879923</v>
      </c>
      <c r="T123" s="199">
        <v>116</v>
      </c>
      <c r="U123" s="194" t="s">
        <v>40</v>
      </c>
      <c r="V123" s="191" t="s">
        <v>129</v>
      </c>
      <c r="W123" s="190" t="s">
        <v>300</v>
      </c>
      <c r="X123" s="102">
        <v>5.463481031569275</v>
      </c>
      <c r="Y123" s="102">
        <v>7.8009862887709973</v>
      </c>
      <c r="Z123" s="102">
        <v>11.636425122261086</v>
      </c>
      <c r="AA123" s="102">
        <v>14.75409669709023</v>
      </c>
      <c r="AB123" s="102">
        <v>19.920724443347602</v>
      </c>
      <c r="AC123" s="102">
        <v>23.904469089571869</v>
      </c>
      <c r="AD123" s="102">
        <v>31.284759323589952</v>
      </c>
      <c r="AE123" s="102">
        <v>40.086866344743889</v>
      </c>
      <c r="AF123" s="102">
        <v>55.655825307471268</v>
      </c>
      <c r="AG123" s="102">
        <v>66.730657156823071</v>
      </c>
      <c r="AH123" s="102">
        <v>76.150380815187916</v>
      </c>
      <c r="AI123" s="102">
        <v>90.383135623328812</v>
      </c>
      <c r="AJ123" s="178">
        <v>122.90913256913301</v>
      </c>
      <c r="AK123" s="182"/>
      <c r="AL123" s="180">
        <v>3.405881610343962</v>
      </c>
      <c r="AM123" s="102">
        <v>4.1734544867110541</v>
      </c>
      <c r="AN123" s="102">
        <v>5.8887514094885143</v>
      </c>
      <c r="AO123" s="102">
        <v>8.8764809338634372</v>
      </c>
      <c r="AP123" s="102">
        <v>11.427486324762139</v>
      </c>
      <c r="AQ123" s="102">
        <v>12.483116753341369</v>
      </c>
      <c r="AR123" s="102">
        <v>18.121467285029361</v>
      </c>
      <c r="AS123" s="102">
        <v>25.694842499591111</v>
      </c>
      <c r="AT123" s="102">
        <v>33.501418639816237</v>
      </c>
      <c r="AU123" s="102">
        <v>38.025459181214813</v>
      </c>
      <c r="AV123" s="102">
        <v>47.065944538910657</v>
      </c>
      <c r="AW123" s="102">
        <v>60.121354145944196</v>
      </c>
      <c r="AX123" s="102">
        <v>79.017990782490003</v>
      </c>
      <c r="AY123" s="128"/>
      <c r="AZ123" s="102">
        <v>5.463481031569275</v>
      </c>
      <c r="BA123" s="102">
        <v>7.8009862887709973</v>
      </c>
      <c r="BB123" s="102">
        <v>11.636425122261086</v>
      </c>
      <c r="BC123" s="102">
        <v>14.75409669709023</v>
      </c>
      <c r="BD123" s="102">
        <v>19.920724443347602</v>
      </c>
      <c r="BE123" s="102">
        <v>23.904469089571869</v>
      </c>
      <c r="BF123" s="102">
        <v>31.284759323589952</v>
      </c>
      <c r="BG123" s="102">
        <v>40.086866344743889</v>
      </c>
      <c r="BH123" s="102">
        <v>55.655825307471268</v>
      </c>
      <c r="BI123" s="102">
        <v>66.730657156823071</v>
      </c>
      <c r="BJ123" s="102">
        <v>76.150380815187916</v>
      </c>
      <c r="BK123" s="102">
        <v>90.383135623328812</v>
      </c>
      <c r="BL123" s="102">
        <v>122.90913256913301</v>
      </c>
      <c r="BM123" s="128"/>
      <c r="BN123" s="102">
        <v>3.405881610343962</v>
      </c>
      <c r="BO123" s="102">
        <v>4.1734544867110541</v>
      </c>
      <c r="BP123" s="102">
        <v>5.8887514094885143</v>
      </c>
      <c r="BQ123" s="102">
        <v>8.8764809338634372</v>
      </c>
      <c r="BR123" s="102">
        <v>11.427486324762139</v>
      </c>
      <c r="BS123" s="102">
        <v>12.483116753341369</v>
      </c>
      <c r="BT123" s="102">
        <v>18.121467285029361</v>
      </c>
      <c r="BU123" s="102">
        <v>25.694842499591111</v>
      </c>
      <c r="BV123" s="102">
        <v>33.501418639816237</v>
      </c>
      <c r="BW123" s="102">
        <v>38.025459181214813</v>
      </c>
      <c r="BX123" s="102">
        <v>47.065944538910657</v>
      </c>
      <c r="BY123" s="102">
        <v>60.121354145944196</v>
      </c>
      <c r="BZ123" s="102">
        <v>79.017990782490003</v>
      </c>
    </row>
    <row r="124" spans="1:78" outlineLevel="1">
      <c r="A124" s="237" t="s">
        <v>242</v>
      </c>
      <c r="B124" s="236" t="s">
        <v>107</v>
      </c>
      <c r="C124" s="194" t="s">
        <v>40</v>
      </c>
      <c r="D124" s="190" t="s">
        <v>29</v>
      </c>
      <c r="E124" s="125">
        <f>HLOOKUP(INPUT!$Q$2,'Tracks Pull'!$X$8:$AJ$138,T124,FALSE)</f>
        <v>20.054122387379238</v>
      </c>
      <c r="F124" s="125">
        <f>HLOOKUP(INPUT!$Q$3,'Tracks Pull'!$X$8:$AJ$138,T124,FALSE)</f>
        <v>15.32701732011417</v>
      </c>
      <c r="G124" s="125">
        <f t="shared" si="13"/>
        <v>4.7271050672650681</v>
      </c>
      <c r="I124" s="125">
        <f>HLOOKUP(INPUT!$Q$2,'Tracks Pull'!$AL$8:$AX$138,T124,FALSE)</f>
        <v>11.194360614639393</v>
      </c>
      <c r="J124" s="125">
        <f>HLOOKUP(INPUT!$Q$3,'Tracks Pull'!$AL$8:$AX$138,T124,FALSE)</f>
        <v>7.7005560114907183</v>
      </c>
      <c r="K124" s="125">
        <f t="shared" si="14"/>
        <v>3.4938046031486749</v>
      </c>
      <c r="M124" s="125">
        <f>HLOOKUP(INPUT!$Q$2,'Tracks Pull'!$AZ$8:$BL$138,T124,FALSE)</f>
        <v>20.054122387379238</v>
      </c>
      <c r="N124" s="125">
        <f>HLOOKUP(INPUT!$Q$3,'Tracks Pull'!$AZ$8:$BL$138,T124,FALSE)</f>
        <v>15.32701732011417</v>
      </c>
      <c r="O124" s="125">
        <f t="shared" si="15"/>
        <v>4.7271050672650681</v>
      </c>
      <c r="Q124" s="125">
        <f>HLOOKUP(INPUT!$Q$2,'Tracks Pull'!$BN$8:$BZ$138,T124,FALSE)</f>
        <v>11.194360614639393</v>
      </c>
      <c r="R124" s="125">
        <f>HLOOKUP(INPUT!$Q$3,'Tracks Pull'!$BN$8:$BZ$138,T124,FALSE)</f>
        <v>7.7005560114907183</v>
      </c>
      <c r="S124" s="125">
        <f t="shared" si="16"/>
        <v>3.4938046031486749</v>
      </c>
      <c r="T124" s="109">
        <v>117</v>
      </c>
      <c r="U124" s="194" t="s">
        <v>40</v>
      </c>
      <c r="V124" s="191" t="s">
        <v>129</v>
      </c>
      <c r="W124" s="190" t="s">
        <v>302</v>
      </c>
      <c r="X124" s="102">
        <v>3.2885314438026478</v>
      </c>
      <c r="Y124" s="102">
        <v>4.6704191160252115</v>
      </c>
      <c r="Z124" s="102">
        <v>7.3834921349967857</v>
      </c>
      <c r="AA124" s="102">
        <v>9.3340447033326743</v>
      </c>
      <c r="AB124" s="102">
        <v>12.73479116064861</v>
      </c>
      <c r="AC124" s="102">
        <v>15.32701732011417</v>
      </c>
      <c r="AD124" s="102">
        <v>20.054122387379238</v>
      </c>
      <c r="AE124" s="102">
        <v>26.06384581807167</v>
      </c>
      <c r="AF124" s="102">
        <v>37.894437666758137</v>
      </c>
      <c r="AG124" s="102">
        <v>45.4842442953803</v>
      </c>
      <c r="AH124" s="102">
        <v>52.328641068231846</v>
      </c>
      <c r="AI124" s="102">
        <v>65.055132885987945</v>
      </c>
      <c r="AJ124" s="178">
        <v>94.138879467385365</v>
      </c>
      <c r="AK124" s="182"/>
      <c r="AL124" s="180">
        <v>2.0828857318059151</v>
      </c>
      <c r="AM124" s="102">
        <v>2.5556664811451042</v>
      </c>
      <c r="AN124" s="102">
        <v>3.6221817267580487</v>
      </c>
      <c r="AO124" s="102">
        <v>5.4672430618688033</v>
      </c>
      <c r="AP124" s="102">
        <v>7.0439415205859124</v>
      </c>
      <c r="AQ124" s="102">
        <v>7.7005560114907183</v>
      </c>
      <c r="AR124" s="102">
        <v>11.194360614639393</v>
      </c>
      <c r="AS124" s="102">
        <v>15.866352833598651</v>
      </c>
      <c r="AT124" s="102">
        <v>20.74927719329806</v>
      </c>
      <c r="AU124" s="102">
        <v>23.591684701172817</v>
      </c>
      <c r="AV124" s="102">
        <v>29.200208501248198</v>
      </c>
      <c r="AW124" s="102">
        <v>37.605810194128701</v>
      </c>
      <c r="AX124" s="102">
        <v>49.739239861507897</v>
      </c>
      <c r="AY124" s="128"/>
      <c r="AZ124" s="102">
        <v>3.2885314438026478</v>
      </c>
      <c r="BA124" s="102">
        <v>4.6704191160252115</v>
      </c>
      <c r="BB124" s="102">
        <v>7.3834921349967857</v>
      </c>
      <c r="BC124" s="102">
        <v>9.3340447033326743</v>
      </c>
      <c r="BD124" s="102">
        <v>12.73479116064861</v>
      </c>
      <c r="BE124" s="102">
        <v>15.32701732011417</v>
      </c>
      <c r="BF124" s="102">
        <v>20.054122387379238</v>
      </c>
      <c r="BG124" s="102">
        <v>26.06384581807167</v>
      </c>
      <c r="BH124" s="102">
        <v>37.894437666758137</v>
      </c>
      <c r="BI124" s="102">
        <v>45.4842442953803</v>
      </c>
      <c r="BJ124" s="102">
        <v>52.328641068231846</v>
      </c>
      <c r="BK124" s="102">
        <v>65.055132885987945</v>
      </c>
      <c r="BL124" s="102">
        <v>94.138879467385365</v>
      </c>
      <c r="BM124" s="128"/>
      <c r="BN124" s="102">
        <v>2.0828857318059151</v>
      </c>
      <c r="BO124" s="102">
        <v>2.5556664811451042</v>
      </c>
      <c r="BP124" s="102">
        <v>3.6221817267580487</v>
      </c>
      <c r="BQ124" s="102">
        <v>5.4672430618688033</v>
      </c>
      <c r="BR124" s="102">
        <v>7.0439415205859124</v>
      </c>
      <c r="BS124" s="102">
        <v>7.7005560114907183</v>
      </c>
      <c r="BT124" s="102">
        <v>11.194360614639393</v>
      </c>
      <c r="BU124" s="102">
        <v>15.866352833598651</v>
      </c>
      <c r="BV124" s="102">
        <v>20.74927719329806</v>
      </c>
      <c r="BW124" s="102">
        <v>23.591684701172817</v>
      </c>
      <c r="BX124" s="102">
        <v>29.200208501248198</v>
      </c>
      <c r="BY124" s="102">
        <v>37.605810194128701</v>
      </c>
      <c r="BZ124" s="102">
        <v>49.739239861507897</v>
      </c>
    </row>
    <row r="125" spans="1:78" outlineLevel="1">
      <c r="A125" s="237" t="s">
        <v>242</v>
      </c>
      <c r="B125" s="236" t="s">
        <v>236</v>
      </c>
      <c r="C125" s="194" t="s">
        <v>40</v>
      </c>
      <c r="D125" s="190" t="s">
        <v>131</v>
      </c>
      <c r="E125" s="125">
        <f>HLOOKUP(INPUT!$Q$2,'Tracks Pull'!$X$8:$AJ$138,T125,FALSE)</f>
        <v>19.16219089544602</v>
      </c>
      <c r="F125" s="125">
        <f>HLOOKUP(INPUT!$Q$3,'Tracks Pull'!$X$8:$AJ$138,T125,FALSE)</f>
        <v>14.613902944625229</v>
      </c>
      <c r="G125" s="125">
        <f t="shared" ref="G125:G135" si="17">E125-F125</f>
        <v>4.5482879508207912</v>
      </c>
      <c r="I125" s="125">
        <f>HLOOKUP(INPUT!$Q$2,'Tracks Pull'!$AL$8:$AX$138,T125,FALSE)</f>
        <v>12.004421723421508</v>
      </c>
      <c r="J125" s="125">
        <f>HLOOKUP(INPUT!$Q$3,'Tracks Pull'!$AL$8:$AX$138,T125,FALSE)</f>
        <v>8.2716251417615769</v>
      </c>
      <c r="K125" s="125">
        <f t="shared" ref="K125:K135" si="18">I125-J125</f>
        <v>3.7327965816599313</v>
      </c>
      <c r="M125" s="125">
        <f>HLOOKUP(INPUT!$Q$2,'Tracks Pull'!$AZ$8:$BL$138,T125,FALSE)</f>
        <v>19.16219089544602</v>
      </c>
      <c r="N125" s="125">
        <f>HLOOKUP(INPUT!$Q$3,'Tracks Pull'!$AZ$8:$BL$138,T125,FALSE)</f>
        <v>14.613902944625229</v>
      </c>
      <c r="O125" s="125">
        <f t="shared" ref="O125:O135" si="19">M125-N125</f>
        <v>4.5482879508207912</v>
      </c>
      <c r="Q125" s="125">
        <f>HLOOKUP(INPUT!$Q$2,'Tracks Pull'!$BN$8:$BZ$138,T125,FALSE)</f>
        <v>12.004421723421508</v>
      </c>
      <c r="R125" s="125">
        <f>HLOOKUP(INPUT!$Q$3,'Tracks Pull'!$BN$8:$BZ$138,T125,FALSE)</f>
        <v>8.2716251417615769</v>
      </c>
      <c r="S125" s="125">
        <f t="shared" ref="S125:S135" si="20">Q125-R125</f>
        <v>3.7327965816599313</v>
      </c>
      <c r="T125" s="199">
        <v>118</v>
      </c>
      <c r="U125" s="194" t="s">
        <v>40</v>
      </c>
      <c r="V125" s="191" t="s">
        <v>129</v>
      </c>
      <c r="W125" s="190" t="s">
        <v>303</v>
      </c>
      <c r="X125" s="102">
        <v>3.6704333037802259</v>
      </c>
      <c r="Y125" s="102">
        <v>5.0948111409463133</v>
      </c>
      <c r="Z125" s="102">
        <v>7.1262763600119117</v>
      </c>
      <c r="AA125" s="102">
        <v>8.9879831392271079</v>
      </c>
      <c r="AB125" s="102">
        <v>12.200238944094789</v>
      </c>
      <c r="AC125" s="102">
        <v>14.613902944625229</v>
      </c>
      <c r="AD125" s="102">
        <v>19.16219089544602</v>
      </c>
      <c r="AE125" s="102">
        <v>23.922492427024242</v>
      </c>
      <c r="AF125" s="102">
        <v>31.71641198061586</v>
      </c>
      <c r="AG125" s="102">
        <v>37.654352129910208</v>
      </c>
      <c r="AH125" s="102">
        <v>42.066765486564371</v>
      </c>
      <c r="AI125" s="102">
        <v>47.406650114400769</v>
      </c>
      <c r="AJ125" s="178">
        <v>59.609844326431173</v>
      </c>
      <c r="AK125" s="182"/>
      <c r="AL125" s="180">
        <v>2.1785636900830569</v>
      </c>
      <c r="AM125" s="102">
        <v>2.6940949671556038</v>
      </c>
      <c r="AN125" s="102">
        <v>3.821924949214039</v>
      </c>
      <c r="AO125" s="102">
        <v>5.8855421596550039</v>
      </c>
      <c r="AP125" s="102">
        <v>7.5752886224698122</v>
      </c>
      <c r="AQ125" s="102">
        <v>8.2716251417615769</v>
      </c>
      <c r="AR125" s="102">
        <v>12.004421723421508</v>
      </c>
      <c r="AS125" s="102">
        <v>17.140908456181339</v>
      </c>
      <c r="AT125" s="102">
        <v>22.167591290136649</v>
      </c>
      <c r="AU125" s="102">
        <v>24.82169236424641</v>
      </c>
      <c r="AV125" s="102">
        <v>30.103373906189567</v>
      </c>
      <c r="AW125" s="102">
        <v>38.43415746380866</v>
      </c>
      <c r="AX125" s="102">
        <v>50.708587405546552</v>
      </c>
      <c r="AY125" s="128"/>
      <c r="AZ125" s="102">
        <v>3.6704333037802259</v>
      </c>
      <c r="BA125" s="102">
        <v>5.0948111409463133</v>
      </c>
      <c r="BB125" s="102">
        <v>7.1262763600119117</v>
      </c>
      <c r="BC125" s="102">
        <v>8.9879831392271079</v>
      </c>
      <c r="BD125" s="102">
        <v>12.200238944094789</v>
      </c>
      <c r="BE125" s="102">
        <v>14.613902944625229</v>
      </c>
      <c r="BF125" s="102">
        <v>19.16219089544602</v>
      </c>
      <c r="BG125" s="102">
        <v>23.922492427024242</v>
      </c>
      <c r="BH125" s="102">
        <v>31.71641198061586</v>
      </c>
      <c r="BI125" s="102">
        <v>37.654352129910208</v>
      </c>
      <c r="BJ125" s="102">
        <v>42.066765486564371</v>
      </c>
      <c r="BK125" s="102">
        <v>47.406650114400769</v>
      </c>
      <c r="BL125" s="102">
        <v>59.609844326431173</v>
      </c>
      <c r="BM125" s="128"/>
      <c r="BN125" s="102">
        <v>2.1785636900830569</v>
      </c>
      <c r="BO125" s="102">
        <v>2.6940949671556038</v>
      </c>
      <c r="BP125" s="102">
        <v>3.821924949214039</v>
      </c>
      <c r="BQ125" s="102">
        <v>5.8855421596550039</v>
      </c>
      <c r="BR125" s="102">
        <v>7.5752886224698122</v>
      </c>
      <c r="BS125" s="102">
        <v>8.2716251417615769</v>
      </c>
      <c r="BT125" s="102">
        <v>12.004421723421508</v>
      </c>
      <c r="BU125" s="102">
        <v>17.140908456181339</v>
      </c>
      <c r="BV125" s="102">
        <v>22.167591290136649</v>
      </c>
      <c r="BW125" s="102">
        <v>24.82169236424641</v>
      </c>
      <c r="BX125" s="102">
        <v>30.103373906189567</v>
      </c>
      <c r="BY125" s="102">
        <v>38.43415746380866</v>
      </c>
      <c r="BZ125" s="102">
        <v>50.708587405546552</v>
      </c>
    </row>
    <row r="126" spans="1:78" outlineLevel="1">
      <c r="A126" s="237" t="s">
        <v>242</v>
      </c>
      <c r="B126" s="236" t="s">
        <v>237</v>
      </c>
      <c r="C126" s="194" t="s">
        <v>40</v>
      </c>
      <c r="D126" s="190" t="s">
        <v>138</v>
      </c>
      <c r="E126" s="125">
        <f>HLOOKUP(INPUT!$Q$2,'Tracks Pull'!$X$8:$AJ$138,T126,FALSE)</f>
        <v>46.471616850161453</v>
      </c>
      <c r="F126" s="125">
        <f>HLOOKUP(INPUT!$Q$3,'Tracks Pull'!$X$8:$AJ$138,T126,FALSE)</f>
        <v>35.455147153014579</v>
      </c>
      <c r="G126" s="125">
        <f t="shared" si="17"/>
        <v>11.016469697146874</v>
      </c>
      <c r="I126" s="125">
        <f>HLOOKUP(INPUT!$Q$2,'Tracks Pull'!$AL$8:$AX$138,T126,FALSE)</f>
        <v>39.908306434550639</v>
      </c>
      <c r="J126" s="125">
        <f>HLOOKUP(INPUT!$Q$3,'Tracks Pull'!$AL$8:$AX$138,T126,FALSE)</f>
        <v>27.68080103080792</v>
      </c>
      <c r="K126" s="125">
        <f t="shared" si="18"/>
        <v>12.227505403742718</v>
      </c>
      <c r="M126" s="125">
        <f>HLOOKUP(INPUT!$Q$2,'Tracks Pull'!$AZ$8:$BL$138,T126,FALSE)</f>
        <v>46.471616850161453</v>
      </c>
      <c r="N126" s="125">
        <f>HLOOKUP(INPUT!$Q$3,'Tracks Pull'!$AZ$8:$BL$138,T126,FALSE)</f>
        <v>35.455147153014579</v>
      </c>
      <c r="O126" s="125">
        <f t="shared" si="19"/>
        <v>11.016469697146874</v>
      </c>
      <c r="Q126" s="125">
        <f>HLOOKUP(INPUT!$Q$2,'Tracks Pull'!$BN$8:$BZ$138,T126,FALSE)</f>
        <v>39.908306434550639</v>
      </c>
      <c r="R126" s="125">
        <f>HLOOKUP(INPUT!$Q$3,'Tracks Pull'!$BN$8:$BZ$138,T126,FALSE)</f>
        <v>27.68080103080792</v>
      </c>
      <c r="S126" s="125">
        <f t="shared" si="20"/>
        <v>12.227505403742718</v>
      </c>
      <c r="T126" s="109">
        <v>119</v>
      </c>
      <c r="U126" s="194" t="s">
        <v>40</v>
      </c>
      <c r="V126" s="191" t="s">
        <v>129</v>
      </c>
      <c r="W126" s="190" t="s">
        <v>394</v>
      </c>
      <c r="X126" s="102">
        <v>10.029030254715513</v>
      </c>
      <c r="Y126" s="102">
        <v>13.319018587364614</v>
      </c>
      <c r="Z126" s="102">
        <v>17.700633422664939</v>
      </c>
      <c r="AA126" s="102">
        <v>21.75727535184506</v>
      </c>
      <c r="AB126" s="102">
        <v>29.598536400502788</v>
      </c>
      <c r="AC126" s="102">
        <v>35.455147153014579</v>
      </c>
      <c r="AD126" s="102">
        <v>46.471616850161453</v>
      </c>
      <c r="AE126" s="102">
        <v>56.044771464529191</v>
      </c>
      <c r="AF126" s="102">
        <v>72.795674621498307</v>
      </c>
      <c r="AG126" s="102">
        <v>83.891447167019194</v>
      </c>
      <c r="AH126" s="102">
        <v>90.623803731226388</v>
      </c>
      <c r="AI126" s="102">
        <v>100.8768708007361</v>
      </c>
      <c r="AJ126" s="178">
        <v>124.3081202449581</v>
      </c>
      <c r="AK126" s="182"/>
      <c r="AL126" s="180">
        <v>7.5680714657887993</v>
      </c>
      <c r="AM126" s="102">
        <v>9.3077920646002443</v>
      </c>
      <c r="AN126" s="102">
        <v>12.937841511803084</v>
      </c>
      <c r="AO126" s="102">
        <v>19.839508626799859</v>
      </c>
      <c r="AP126" s="102">
        <v>25.442831816746324</v>
      </c>
      <c r="AQ126" s="102">
        <v>27.68080103080792</v>
      </c>
      <c r="AR126" s="102">
        <v>39.908306434550639</v>
      </c>
      <c r="AS126" s="102">
        <v>57.136457124428311</v>
      </c>
      <c r="AT126" s="102">
        <v>72.775667264029806</v>
      </c>
      <c r="AU126" s="102">
        <v>80.668181795304605</v>
      </c>
      <c r="AV126" s="102">
        <v>97.561860014038203</v>
      </c>
      <c r="AW126" s="102">
        <v>119.4048488782249</v>
      </c>
      <c r="AX126" s="102">
        <v>152.37570319331741</v>
      </c>
      <c r="AY126" s="128"/>
      <c r="AZ126" s="102">
        <v>10.029030254715513</v>
      </c>
      <c r="BA126" s="102">
        <v>13.319018587364614</v>
      </c>
      <c r="BB126" s="102">
        <v>17.700633422664939</v>
      </c>
      <c r="BC126" s="102">
        <v>21.75727535184506</v>
      </c>
      <c r="BD126" s="102">
        <v>29.598536400502788</v>
      </c>
      <c r="BE126" s="102">
        <v>35.455147153014579</v>
      </c>
      <c r="BF126" s="102">
        <v>46.471616850161453</v>
      </c>
      <c r="BG126" s="102">
        <v>56.044771464529191</v>
      </c>
      <c r="BH126" s="102">
        <v>72.795674621498307</v>
      </c>
      <c r="BI126" s="102">
        <v>83.891447167019194</v>
      </c>
      <c r="BJ126" s="102">
        <v>90.623803731226388</v>
      </c>
      <c r="BK126" s="102">
        <v>100.8768708007361</v>
      </c>
      <c r="BL126" s="102">
        <v>124.3081202449581</v>
      </c>
      <c r="BM126" s="128"/>
      <c r="BN126" s="102">
        <v>7.5680714657887993</v>
      </c>
      <c r="BO126" s="102">
        <v>9.3077920646002443</v>
      </c>
      <c r="BP126" s="102">
        <v>12.937841511803084</v>
      </c>
      <c r="BQ126" s="102">
        <v>19.839508626799859</v>
      </c>
      <c r="BR126" s="102">
        <v>25.442831816746324</v>
      </c>
      <c r="BS126" s="102">
        <v>27.68080103080792</v>
      </c>
      <c r="BT126" s="102">
        <v>39.908306434550639</v>
      </c>
      <c r="BU126" s="102">
        <v>57.136457124428311</v>
      </c>
      <c r="BV126" s="102">
        <v>72.775667264029806</v>
      </c>
      <c r="BW126" s="102">
        <v>80.668181795304605</v>
      </c>
      <c r="BX126" s="102">
        <v>97.561860014038203</v>
      </c>
      <c r="BY126" s="102">
        <v>119.4048488782249</v>
      </c>
      <c r="BZ126" s="102">
        <v>152.37570319331741</v>
      </c>
    </row>
    <row r="127" spans="1:78" outlineLevel="1">
      <c r="A127" s="237" t="s">
        <v>242</v>
      </c>
      <c r="B127" s="236" t="s">
        <v>163</v>
      </c>
      <c r="C127" s="194" t="s">
        <v>40</v>
      </c>
      <c r="D127" s="190" t="s">
        <v>132</v>
      </c>
      <c r="E127" s="125">
        <f>HLOOKUP(INPUT!$Q$2,'Tracks Pull'!$X$8:$AJ$138,T127,FALSE)</f>
        <v>39.012029355647798</v>
      </c>
      <c r="F127" s="125">
        <f>HLOOKUP(INPUT!$Q$3,'Tracks Pull'!$X$8:$AJ$138,T127,FALSE)</f>
        <v>29.74968485456295</v>
      </c>
      <c r="G127" s="125">
        <f t="shared" si="17"/>
        <v>9.2623445010848471</v>
      </c>
      <c r="I127" s="125">
        <f>HLOOKUP(INPUT!$Q$2,'Tracks Pull'!$AL$8:$AX$138,T127,FALSE)</f>
        <v>22.475955582818273</v>
      </c>
      <c r="J127" s="125">
        <f>HLOOKUP(INPUT!$Q$3,'Tracks Pull'!$AL$8:$AX$138,T127,FALSE)</f>
        <v>15.538595656472337</v>
      </c>
      <c r="K127" s="125">
        <f t="shared" si="18"/>
        <v>6.9373599263459358</v>
      </c>
      <c r="M127" s="125">
        <f>HLOOKUP(INPUT!$Q$2,'Tracks Pull'!$AZ$8:$BL$138,T127,FALSE)</f>
        <v>39.012029355647798</v>
      </c>
      <c r="N127" s="125">
        <f>HLOOKUP(INPUT!$Q$3,'Tracks Pull'!$AZ$8:$BL$138,T127,FALSE)</f>
        <v>29.74968485456295</v>
      </c>
      <c r="O127" s="125">
        <f t="shared" si="19"/>
        <v>9.2623445010848471</v>
      </c>
      <c r="Q127" s="125">
        <f>HLOOKUP(INPUT!$Q$2,'Tracks Pull'!$BN$8:$BZ$138,T127,FALSE)</f>
        <v>22.475955582818273</v>
      </c>
      <c r="R127" s="125">
        <f>HLOOKUP(INPUT!$Q$3,'Tracks Pull'!$BN$8:$BZ$138,T127,FALSE)</f>
        <v>15.538595656472337</v>
      </c>
      <c r="S127" s="125">
        <f t="shared" si="20"/>
        <v>6.9373599263459358</v>
      </c>
      <c r="T127" s="199">
        <v>120</v>
      </c>
      <c r="U127" s="194" t="s">
        <v>40</v>
      </c>
      <c r="V127" s="191" t="s">
        <v>129</v>
      </c>
      <c r="W127" s="190" t="s">
        <v>403</v>
      </c>
      <c r="X127" s="102">
        <v>6.2946327603099244</v>
      </c>
      <c r="Y127" s="102">
        <v>9.3741926678734551</v>
      </c>
      <c r="Z127" s="102">
        <v>14.120606049474871</v>
      </c>
      <c r="AA127" s="102">
        <v>18.377442728200919</v>
      </c>
      <c r="AB127" s="102">
        <v>24.834190640578882</v>
      </c>
      <c r="AC127" s="102">
        <v>29.74968485456295</v>
      </c>
      <c r="AD127" s="102">
        <v>39.012029355647798</v>
      </c>
      <c r="AE127" s="102">
        <v>50.790410108387753</v>
      </c>
      <c r="AF127" s="102">
        <v>69.128112941160595</v>
      </c>
      <c r="AG127" s="102">
        <v>84.649044418658207</v>
      </c>
      <c r="AH127" s="102">
        <v>97.858012785015305</v>
      </c>
      <c r="AI127" s="102">
        <v>112.10527411402141</v>
      </c>
      <c r="AJ127" s="178">
        <v>144.66442269207943</v>
      </c>
      <c r="AK127" s="182"/>
      <c r="AL127" s="180">
        <v>4.3310781445358426</v>
      </c>
      <c r="AM127" s="102">
        <v>5.2904567224432277</v>
      </c>
      <c r="AN127" s="102">
        <v>7.3818911073517945</v>
      </c>
      <c r="AO127" s="102">
        <v>11.09310824850029</v>
      </c>
      <c r="AP127" s="102">
        <v>14.252751915950913</v>
      </c>
      <c r="AQ127" s="102">
        <v>15.538595656472337</v>
      </c>
      <c r="AR127" s="102">
        <v>22.475955582818273</v>
      </c>
      <c r="AS127" s="102">
        <v>31.905870397752892</v>
      </c>
      <c r="AT127" s="102">
        <v>41.270589475170439</v>
      </c>
      <c r="AU127" s="102">
        <v>46.624130465144141</v>
      </c>
      <c r="AV127" s="102">
        <v>57.69206825705816</v>
      </c>
      <c r="AW127" s="102">
        <v>72.10974027741841</v>
      </c>
      <c r="AX127" s="102">
        <v>93.155585614616299</v>
      </c>
      <c r="AY127" s="128"/>
      <c r="AZ127" s="102">
        <v>6.2946327603099244</v>
      </c>
      <c r="BA127" s="102">
        <v>9.3741926678734551</v>
      </c>
      <c r="BB127" s="102">
        <v>14.120606049474871</v>
      </c>
      <c r="BC127" s="102">
        <v>18.377442728200919</v>
      </c>
      <c r="BD127" s="102">
        <v>24.834190640578882</v>
      </c>
      <c r="BE127" s="102">
        <v>29.74968485456295</v>
      </c>
      <c r="BF127" s="102">
        <v>39.012029355647798</v>
      </c>
      <c r="BG127" s="102">
        <v>50.790410108387753</v>
      </c>
      <c r="BH127" s="102">
        <v>69.128112941160595</v>
      </c>
      <c r="BI127" s="102">
        <v>84.649044418658207</v>
      </c>
      <c r="BJ127" s="102">
        <v>97.858012785015305</v>
      </c>
      <c r="BK127" s="102">
        <v>112.10527411402141</v>
      </c>
      <c r="BL127" s="102">
        <v>144.66442269207943</v>
      </c>
      <c r="BM127" s="128"/>
      <c r="BN127" s="102">
        <v>4.3310781445358426</v>
      </c>
      <c r="BO127" s="102">
        <v>5.2904567224432277</v>
      </c>
      <c r="BP127" s="102">
        <v>7.3818911073517945</v>
      </c>
      <c r="BQ127" s="102">
        <v>11.09310824850029</v>
      </c>
      <c r="BR127" s="102">
        <v>14.252751915950913</v>
      </c>
      <c r="BS127" s="102">
        <v>15.538595656472337</v>
      </c>
      <c r="BT127" s="102">
        <v>22.475955582818273</v>
      </c>
      <c r="BU127" s="102">
        <v>31.905870397752892</v>
      </c>
      <c r="BV127" s="102">
        <v>41.270589475170439</v>
      </c>
      <c r="BW127" s="102">
        <v>46.624130465144141</v>
      </c>
      <c r="BX127" s="102">
        <v>57.69206825705816</v>
      </c>
      <c r="BY127" s="102">
        <v>72.10974027741841</v>
      </c>
      <c r="BZ127" s="102">
        <v>93.155585614616299</v>
      </c>
    </row>
    <row r="128" spans="1:78" outlineLevel="1">
      <c r="B128" s="236"/>
      <c r="C128" s="194"/>
      <c r="D128" s="190"/>
      <c r="E128" s="125"/>
      <c r="F128" s="125"/>
      <c r="G128" s="125"/>
      <c r="I128" s="125"/>
      <c r="J128" s="125"/>
      <c r="K128" s="125"/>
      <c r="M128" s="125"/>
      <c r="N128" s="125"/>
      <c r="O128" s="125"/>
      <c r="Q128" s="125"/>
      <c r="R128" s="125"/>
      <c r="S128" s="125"/>
      <c r="T128" s="109">
        <v>121</v>
      </c>
      <c r="U128" s="194" t="s">
        <v>40</v>
      </c>
      <c r="V128" s="191" t="s">
        <v>129</v>
      </c>
      <c r="W128" s="190" t="s">
        <v>395</v>
      </c>
      <c r="X128" s="102">
        <v>0</v>
      </c>
      <c r="Y128" s="102">
        <v>0</v>
      </c>
      <c r="Z128" s="102">
        <v>0</v>
      </c>
      <c r="AA128" s="102">
        <v>0</v>
      </c>
      <c r="AB128" s="102">
        <v>0</v>
      </c>
      <c r="AC128" s="102">
        <v>0</v>
      </c>
      <c r="AD128" s="102">
        <v>0</v>
      </c>
      <c r="AE128" s="102">
        <v>0</v>
      </c>
      <c r="AF128" s="102">
        <v>0</v>
      </c>
      <c r="AG128" s="102">
        <v>0</v>
      </c>
      <c r="AH128" s="102">
        <v>0</v>
      </c>
      <c r="AI128" s="102">
        <v>0</v>
      </c>
      <c r="AJ128" s="178">
        <v>0</v>
      </c>
      <c r="AK128" s="182"/>
      <c r="AL128" s="180">
        <v>0</v>
      </c>
      <c r="AM128" s="102">
        <v>0</v>
      </c>
      <c r="AN128" s="102">
        <v>0</v>
      </c>
      <c r="AO128" s="102">
        <v>0</v>
      </c>
      <c r="AP128" s="102">
        <v>0</v>
      </c>
      <c r="AQ128" s="102">
        <v>0</v>
      </c>
      <c r="AR128" s="102">
        <v>0</v>
      </c>
      <c r="AS128" s="102">
        <v>0</v>
      </c>
      <c r="AT128" s="102">
        <v>0</v>
      </c>
      <c r="AU128" s="102">
        <v>0</v>
      </c>
      <c r="AV128" s="102">
        <v>0</v>
      </c>
      <c r="AW128" s="102">
        <v>0</v>
      </c>
      <c r="AX128" s="102">
        <v>0</v>
      </c>
      <c r="AY128" s="128"/>
      <c r="AZ128" s="102">
        <v>0</v>
      </c>
      <c r="BA128" s="102">
        <v>0</v>
      </c>
      <c r="BB128" s="102">
        <v>0</v>
      </c>
      <c r="BC128" s="102">
        <v>0</v>
      </c>
      <c r="BD128" s="102">
        <v>0</v>
      </c>
      <c r="BE128" s="102">
        <v>0</v>
      </c>
      <c r="BF128" s="102">
        <v>0</v>
      </c>
      <c r="BG128" s="102">
        <v>0</v>
      </c>
      <c r="BH128" s="102">
        <v>0</v>
      </c>
      <c r="BI128" s="102">
        <v>0</v>
      </c>
      <c r="BJ128" s="102">
        <v>0</v>
      </c>
      <c r="BK128" s="102">
        <v>0</v>
      </c>
      <c r="BL128" s="102">
        <v>0</v>
      </c>
      <c r="BM128" s="128"/>
      <c r="BN128" s="102">
        <v>0</v>
      </c>
      <c r="BO128" s="102">
        <v>0</v>
      </c>
      <c r="BP128" s="102">
        <v>0</v>
      </c>
      <c r="BQ128" s="102">
        <v>0</v>
      </c>
      <c r="BR128" s="102">
        <v>0</v>
      </c>
      <c r="BS128" s="102">
        <v>0</v>
      </c>
      <c r="BT128" s="102">
        <v>0</v>
      </c>
      <c r="BU128" s="102">
        <v>0</v>
      </c>
      <c r="BV128" s="102">
        <v>0</v>
      </c>
      <c r="BW128" s="102">
        <v>0</v>
      </c>
      <c r="BX128" s="102">
        <v>0</v>
      </c>
      <c r="BY128" s="102">
        <v>0</v>
      </c>
      <c r="BZ128" s="102">
        <v>0</v>
      </c>
    </row>
    <row r="129" spans="1:78">
      <c r="A129" s="237" t="s">
        <v>242</v>
      </c>
      <c r="B129" s="236" t="s">
        <v>59</v>
      </c>
      <c r="C129" s="194" t="s">
        <v>40</v>
      </c>
      <c r="D129" s="191" t="s">
        <v>33</v>
      </c>
      <c r="E129" s="124">
        <f>HLOOKUP(INPUT!$Q$2,'Tracks Pull'!$X$8:$AJ$138,T129,FALSE)</f>
        <v>60.275721898996373</v>
      </c>
      <c r="F129" s="124">
        <f>HLOOKUP(INPUT!$Q$3,'Tracks Pull'!$X$8:$AJ$138,T129,FALSE)</f>
        <v>52.270011537971108</v>
      </c>
      <c r="G129" s="124">
        <f t="shared" si="17"/>
        <v>8.0057103610252653</v>
      </c>
      <c r="I129" s="124">
        <f>HLOOKUP(INPUT!$Q$2,'Tracks Pull'!$AL$8:$AX$138,T129,FALSE)</f>
        <v>21.781829672098599</v>
      </c>
      <c r="J129" s="124">
        <f>HLOOKUP(INPUT!$Q$3,'Tracks Pull'!$AL$8:$AX$138,T129,FALSE)</f>
        <v>17.871876199262068</v>
      </c>
      <c r="K129" s="124">
        <f t="shared" si="18"/>
        <v>3.9099534728365306</v>
      </c>
      <c r="M129" s="124">
        <f>HLOOKUP(INPUT!$Q$2,'Tracks Pull'!$AZ$8:$BL$138,T129,FALSE)</f>
        <v>60.275721898996373</v>
      </c>
      <c r="N129" s="124">
        <f>HLOOKUP(INPUT!$Q$3,'Tracks Pull'!$AZ$8:$BL$138,T129,FALSE)</f>
        <v>52.270011537971108</v>
      </c>
      <c r="O129" s="124">
        <f t="shared" si="19"/>
        <v>8.0057103610252653</v>
      </c>
      <c r="Q129" s="124">
        <f>HLOOKUP(INPUT!$Q$2,'Tracks Pull'!$BN$8:$BZ$138,T129,FALSE)</f>
        <v>21.781829672098599</v>
      </c>
      <c r="R129" s="124">
        <f>HLOOKUP(INPUT!$Q$3,'Tracks Pull'!$BN$8:$BZ$138,T129,FALSE)</f>
        <v>17.871876199262068</v>
      </c>
      <c r="S129" s="124">
        <f t="shared" si="20"/>
        <v>3.9099534728365306</v>
      </c>
      <c r="T129" s="199">
        <v>122</v>
      </c>
      <c r="U129" s="194" t="s">
        <v>40</v>
      </c>
      <c r="V129" s="191" t="s">
        <v>129</v>
      </c>
      <c r="W129" s="191" t="s">
        <v>90</v>
      </c>
      <c r="X129" s="102">
        <v>16.83145687053679</v>
      </c>
      <c r="Y129" s="102">
        <v>27.59631485639623</v>
      </c>
      <c r="Z129" s="102">
        <v>33.29242997932927</v>
      </c>
      <c r="AA129" s="102">
        <v>39.912703970816004</v>
      </c>
      <c r="AB129" s="102">
        <v>47.555769241032849</v>
      </c>
      <c r="AC129" s="102">
        <v>52.270011537971108</v>
      </c>
      <c r="AD129" s="102">
        <v>60.275721898996373</v>
      </c>
      <c r="AE129" s="102">
        <v>70.493083365376165</v>
      </c>
      <c r="AF129" s="102">
        <v>85.586577305230307</v>
      </c>
      <c r="AG129" s="102">
        <v>117.70056213888148</v>
      </c>
      <c r="AH129" s="102">
        <v>131.88028488383048</v>
      </c>
      <c r="AI129" s="102">
        <v>135.93810515395319</v>
      </c>
      <c r="AJ129" s="178">
        <v>160.53056973849189</v>
      </c>
      <c r="AK129" s="182"/>
      <c r="AL129" s="180">
        <v>4.3016595994997848</v>
      </c>
      <c r="AM129" s="102">
        <v>4.6280226592991927</v>
      </c>
      <c r="AN129" s="102">
        <v>7.364617093719926</v>
      </c>
      <c r="AO129" s="102">
        <v>8.2437947893719805</v>
      </c>
      <c r="AP129" s="102">
        <v>9.2135074674922475</v>
      </c>
      <c r="AQ129" s="102">
        <v>17.871876199262068</v>
      </c>
      <c r="AR129" s="102">
        <v>21.781829672098599</v>
      </c>
      <c r="AS129" s="102">
        <v>25.684499812885409</v>
      </c>
      <c r="AT129" s="102">
        <v>30.831758840584072</v>
      </c>
      <c r="AU129" s="102">
        <v>54.102055073335286</v>
      </c>
      <c r="AV129" s="102">
        <v>73.750010724568199</v>
      </c>
      <c r="AW129" s="102">
        <v>89.755057942941193</v>
      </c>
      <c r="AX129" s="102">
        <v>121.7058279696459</v>
      </c>
      <c r="AY129" s="128"/>
      <c r="AZ129" s="102">
        <v>16.83145687053679</v>
      </c>
      <c r="BA129" s="102">
        <v>27.59631485639623</v>
      </c>
      <c r="BB129" s="102">
        <v>33.29242997932927</v>
      </c>
      <c r="BC129" s="102">
        <v>39.912703970816004</v>
      </c>
      <c r="BD129" s="102">
        <v>47.555769241032849</v>
      </c>
      <c r="BE129" s="102">
        <v>52.270011537971108</v>
      </c>
      <c r="BF129" s="102">
        <v>60.275721898996373</v>
      </c>
      <c r="BG129" s="102">
        <v>70.493083365376165</v>
      </c>
      <c r="BH129" s="102">
        <v>85.586577305230307</v>
      </c>
      <c r="BI129" s="102">
        <v>117.70056213888148</v>
      </c>
      <c r="BJ129" s="102">
        <v>131.88028488383048</v>
      </c>
      <c r="BK129" s="102">
        <v>135.93810515395319</v>
      </c>
      <c r="BL129" s="102">
        <v>160.53056973849189</v>
      </c>
      <c r="BM129" s="128"/>
      <c r="BN129" s="102">
        <v>4.3016595994997848</v>
      </c>
      <c r="BO129" s="102">
        <v>4.6280226592991927</v>
      </c>
      <c r="BP129" s="102">
        <v>7.364617093719926</v>
      </c>
      <c r="BQ129" s="102">
        <v>8.2437947893719805</v>
      </c>
      <c r="BR129" s="102">
        <v>9.2135074674922475</v>
      </c>
      <c r="BS129" s="102">
        <v>17.871876199262068</v>
      </c>
      <c r="BT129" s="102">
        <v>21.781829672098599</v>
      </c>
      <c r="BU129" s="102">
        <v>25.684499812885409</v>
      </c>
      <c r="BV129" s="102">
        <v>30.831758840584072</v>
      </c>
      <c r="BW129" s="102">
        <v>54.102055073335286</v>
      </c>
      <c r="BX129" s="102">
        <v>73.750010724568199</v>
      </c>
      <c r="BY129" s="102">
        <v>89.755057942941193</v>
      </c>
      <c r="BZ129" s="102">
        <v>121.7058279696459</v>
      </c>
    </row>
    <row r="130" spans="1:78">
      <c r="A130" s="237" t="s">
        <v>242</v>
      </c>
      <c r="B130" s="236" t="s">
        <v>34</v>
      </c>
      <c r="C130" s="194" t="s">
        <v>40</v>
      </c>
      <c r="D130" s="190" t="s">
        <v>34</v>
      </c>
      <c r="E130" s="124">
        <f>HLOOKUP(INPUT!$Q$2,'Tracks Pull'!$X$8:$AJ$138,T130,FALSE)</f>
        <v>95.369949530654992</v>
      </c>
      <c r="F130" s="124">
        <f>HLOOKUP(INPUT!$Q$3,'Tracks Pull'!$X$8:$AJ$138,T130,FALSE)</f>
        <v>80.927556846810958</v>
      </c>
      <c r="G130" s="124">
        <f t="shared" si="17"/>
        <v>14.442392683844034</v>
      </c>
      <c r="I130" s="124">
        <f>HLOOKUP(INPUT!$Q$2,'Tracks Pull'!$AL$8:$AX$138,T130,FALSE)</f>
        <v>64.524799895717337</v>
      </c>
      <c r="J130" s="124">
        <f>HLOOKUP(INPUT!$Q$3,'Tracks Pull'!$AL$8:$AX$138,T130,FALSE)</f>
        <v>51.509608146414244</v>
      </c>
      <c r="K130" s="124">
        <f t="shared" si="18"/>
        <v>13.015191749303092</v>
      </c>
      <c r="M130" s="124">
        <f>HLOOKUP(INPUT!$Q$2,'Tracks Pull'!$AZ$8:$BL$138,T130,FALSE)</f>
        <v>95.369949530654992</v>
      </c>
      <c r="N130" s="124">
        <f>HLOOKUP(INPUT!$Q$3,'Tracks Pull'!$AZ$8:$BL$138,T130,FALSE)</f>
        <v>80.927556846810958</v>
      </c>
      <c r="O130" s="124">
        <f t="shared" si="19"/>
        <v>14.442392683844034</v>
      </c>
      <c r="Q130" s="124">
        <f>HLOOKUP(INPUT!$Q$2,'Tracks Pull'!$BN$8:$BZ$138,T130,FALSE)</f>
        <v>64.524799895717337</v>
      </c>
      <c r="R130" s="124">
        <f>HLOOKUP(INPUT!$Q$3,'Tracks Pull'!$BN$8:$BZ$138,T130,FALSE)</f>
        <v>51.509608146414244</v>
      </c>
      <c r="S130" s="124">
        <f t="shared" si="20"/>
        <v>13.015191749303092</v>
      </c>
      <c r="T130" s="109">
        <v>123</v>
      </c>
      <c r="U130" s="194" t="s">
        <v>40</v>
      </c>
      <c r="V130" s="191" t="s">
        <v>129</v>
      </c>
      <c r="W130" s="191" t="s">
        <v>34</v>
      </c>
      <c r="X130" s="102">
        <v>24.748396948252385</v>
      </c>
      <c r="Y130" s="102">
        <v>35.779674269681585</v>
      </c>
      <c r="Z130" s="102">
        <v>50.681392047420367</v>
      </c>
      <c r="AA130" s="102">
        <v>62.850030722109977</v>
      </c>
      <c r="AB130" s="102">
        <v>72.880093792390866</v>
      </c>
      <c r="AC130" s="102">
        <v>80.927556846810958</v>
      </c>
      <c r="AD130" s="102">
        <v>95.369949530654992</v>
      </c>
      <c r="AE130" s="102">
        <v>116.17904487537655</v>
      </c>
      <c r="AF130" s="102">
        <v>142.09563427493268</v>
      </c>
      <c r="AG130" s="102">
        <v>170.40225980872907</v>
      </c>
      <c r="AH130" s="102">
        <v>198.17480431199957</v>
      </c>
      <c r="AI130" s="102">
        <v>217.05608173325061</v>
      </c>
      <c r="AJ130" s="178">
        <v>265.77663849834636</v>
      </c>
      <c r="AK130" s="182"/>
      <c r="AL130" s="180">
        <v>15.165709679698679</v>
      </c>
      <c r="AM130" s="102">
        <v>20.969163128555444</v>
      </c>
      <c r="AN130" s="102">
        <v>27.06389791482658</v>
      </c>
      <c r="AO130" s="102">
        <v>41.549166861502584</v>
      </c>
      <c r="AP130" s="102">
        <v>47.061544788236148</v>
      </c>
      <c r="AQ130" s="102">
        <v>51.509608146414244</v>
      </c>
      <c r="AR130" s="102">
        <v>64.524799895717337</v>
      </c>
      <c r="AS130" s="102">
        <v>83.50307189732429</v>
      </c>
      <c r="AT130" s="102">
        <v>106.07596070636386</v>
      </c>
      <c r="AU130" s="102">
        <v>110.79160527763044</v>
      </c>
      <c r="AV130" s="102">
        <v>130.86967620897724</v>
      </c>
      <c r="AW130" s="102">
        <v>165.76284615071515</v>
      </c>
      <c r="AX130" s="102">
        <v>226.99824781869305</v>
      </c>
      <c r="AY130" s="128"/>
      <c r="AZ130" s="102">
        <v>24.748396948252385</v>
      </c>
      <c r="BA130" s="102">
        <v>35.779674269681585</v>
      </c>
      <c r="BB130" s="102">
        <v>50.681392047420367</v>
      </c>
      <c r="BC130" s="102">
        <v>62.850030722109977</v>
      </c>
      <c r="BD130" s="102">
        <v>72.880093792390866</v>
      </c>
      <c r="BE130" s="102">
        <v>80.927556846810958</v>
      </c>
      <c r="BF130" s="102">
        <v>95.369949530654992</v>
      </c>
      <c r="BG130" s="102">
        <v>116.17904487537655</v>
      </c>
      <c r="BH130" s="102">
        <v>142.09563427493268</v>
      </c>
      <c r="BI130" s="102">
        <v>170.40225980872907</v>
      </c>
      <c r="BJ130" s="102">
        <v>198.17480431199957</v>
      </c>
      <c r="BK130" s="102">
        <v>217.05608173325061</v>
      </c>
      <c r="BL130" s="102">
        <v>265.77663849834636</v>
      </c>
      <c r="BM130" s="128"/>
      <c r="BN130" s="102">
        <v>15.165709679698679</v>
      </c>
      <c r="BO130" s="102">
        <v>20.969163128555444</v>
      </c>
      <c r="BP130" s="102">
        <v>27.06389791482658</v>
      </c>
      <c r="BQ130" s="102">
        <v>41.549166861502584</v>
      </c>
      <c r="BR130" s="102">
        <v>47.061544788236148</v>
      </c>
      <c r="BS130" s="102">
        <v>51.509608146414244</v>
      </c>
      <c r="BT130" s="102">
        <v>64.524799895717337</v>
      </c>
      <c r="BU130" s="102">
        <v>83.50307189732429</v>
      </c>
      <c r="BV130" s="102">
        <v>106.07596070636386</v>
      </c>
      <c r="BW130" s="102">
        <v>110.79160527763044</v>
      </c>
      <c r="BX130" s="102">
        <v>130.86967620897724</v>
      </c>
      <c r="BY130" s="102">
        <v>165.76284615071515</v>
      </c>
      <c r="BZ130" s="102">
        <v>226.99824781869305</v>
      </c>
    </row>
    <row r="131" spans="1:78" outlineLevel="1">
      <c r="A131" s="237" t="s">
        <v>242</v>
      </c>
      <c r="B131" s="236" t="s">
        <v>414</v>
      </c>
      <c r="C131" s="194" t="s">
        <v>40</v>
      </c>
      <c r="D131" s="190" t="s">
        <v>296</v>
      </c>
      <c r="E131" s="125">
        <f>HLOOKUP(INPUT!$Q$2,'Tracks Pull'!$X$8:$AJ$138,T131,FALSE)</f>
        <v>25.48913719986173</v>
      </c>
      <c r="F131" s="125">
        <f>HLOOKUP(INPUT!$Q$3,'Tracks Pull'!$X$8:$AJ$138,T131,FALSE)</f>
        <v>21.848919966926093</v>
      </c>
      <c r="G131" s="125">
        <f t="shared" si="17"/>
        <v>3.6402172329356368</v>
      </c>
      <c r="I131" s="125">
        <f>HLOOKUP(INPUT!$Q$2,'Tracks Pull'!$AL$8:$AX$138,T131,FALSE)</f>
        <v>18.516686857045102</v>
      </c>
      <c r="J131" s="125">
        <f>HLOOKUP(INPUT!$Q$3,'Tracks Pull'!$AL$8:$AX$138,T131,FALSE)</f>
        <v>14.768206236352754</v>
      </c>
      <c r="K131" s="125">
        <f t="shared" si="18"/>
        <v>3.748480620692348</v>
      </c>
      <c r="M131" s="125">
        <f>HLOOKUP(INPUT!$Q$2,'Tracks Pull'!$AZ$8:$BL$138,T131,FALSE)</f>
        <v>25.48913719986173</v>
      </c>
      <c r="N131" s="125">
        <f>HLOOKUP(INPUT!$Q$3,'Tracks Pull'!$AZ$8:$BL$138,T131,FALSE)</f>
        <v>21.848919966926093</v>
      </c>
      <c r="O131" s="125">
        <f t="shared" si="19"/>
        <v>3.6402172329356368</v>
      </c>
      <c r="Q131" s="125">
        <f>HLOOKUP(INPUT!$Q$2,'Tracks Pull'!$BN$8:$BZ$138,T131,FALSE)</f>
        <v>18.516686857045102</v>
      </c>
      <c r="R131" s="125">
        <f>HLOOKUP(INPUT!$Q$3,'Tracks Pull'!$BN$8:$BZ$138,T131,FALSE)</f>
        <v>14.768206236352754</v>
      </c>
      <c r="S131" s="125">
        <f t="shared" si="20"/>
        <v>3.748480620692348</v>
      </c>
      <c r="T131" s="199">
        <v>124</v>
      </c>
      <c r="U131" s="501" t="s">
        <v>40</v>
      </c>
      <c r="V131" s="427" t="s">
        <v>129</v>
      </c>
      <c r="W131" s="500" t="s">
        <v>296</v>
      </c>
      <c r="X131" s="102">
        <v>6.6001443787379053</v>
      </c>
      <c r="Y131" s="102">
        <v>9.1253323060848786</v>
      </c>
      <c r="Z131" s="102">
        <v>13.257003036872046</v>
      </c>
      <c r="AA131" s="102">
        <v>16.73170158560572</v>
      </c>
      <c r="AB131" s="102">
        <v>19.465213198194178</v>
      </c>
      <c r="AC131" s="102">
        <v>21.848919966926093</v>
      </c>
      <c r="AD131" s="102">
        <v>25.48913719986173</v>
      </c>
      <c r="AE131" s="102">
        <v>31.155675559869742</v>
      </c>
      <c r="AF131" s="102">
        <v>38.465992746820405</v>
      </c>
      <c r="AG131" s="102">
        <v>44.988763811209871</v>
      </c>
      <c r="AH131" s="102">
        <v>53.76811910740264</v>
      </c>
      <c r="AI131" s="102">
        <v>60.535137480961339</v>
      </c>
      <c r="AJ131" s="178">
        <v>77.99650386226034</v>
      </c>
      <c r="AK131" s="182"/>
      <c r="AL131" s="180">
        <v>4.4605838232110822</v>
      </c>
      <c r="AM131" s="102">
        <v>6.0652977189239028</v>
      </c>
      <c r="AN131" s="102">
        <v>7.7843024045864473</v>
      </c>
      <c r="AO131" s="102">
        <v>11.954969853706402</v>
      </c>
      <c r="AP131" s="102">
        <v>13.518614832374283</v>
      </c>
      <c r="AQ131" s="102">
        <v>14.768206236352754</v>
      </c>
      <c r="AR131" s="102">
        <v>18.516686857045102</v>
      </c>
      <c r="AS131" s="102">
        <v>24.070340690201732</v>
      </c>
      <c r="AT131" s="102">
        <v>30.501729907620302</v>
      </c>
      <c r="AU131" s="102">
        <v>31.745904025796431</v>
      </c>
      <c r="AV131" s="102">
        <v>37.257265523304625</v>
      </c>
      <c r="AW131" s="102">
        <v>46.403480340796023</v>
      </c>
      <c r="AX131" s="102">
        <v>62.003557671757903</v>
      </c>
      <c r="AY131" s="128"/>
      <c r="AZ131" s="102">
        <v>6.6001443787379053</v>
      </c>
      <c r="BA131" s="102">
        <v>9.1253323060848786</v>
      </c>
      <c r="BB131" s="102">
        <v>13.257003036872046</v>
      </c>
      <c r="BC131" s="102">
        <v>16.73170158560572</v>
      </c>
      <c r="BD131" s="102">
        <v>19.465213198194178</v>
      </c>
      <c r="BE131" s="102">
        <v>21.848919966926093</v>
      </c>
      <c r="BF131" s="102">
        <v>25.48913719986173</v>
      </c>
      <c r="BG131" s="102">
        <v>31.155675559869742</v>
      </c>
      <c r="BH131" s="102">
        <v>38.465992746820405</v>
      </c>
      <c r="BI131" s="102">
        <v>44.988763811209871</v>
      </c>
      <c r="BJ131" s="102">
        <v>53.76811910740264</v>
      </c>
      <c r="BK131" s="102">
        <v>60.535137480961339</v>
      </c>
      <c r="BL131" s="102">
        <v>77.99650386226034</v>
      </c>
      <c r="BM131" s="128"/>
      <c r="BN131" s="102">
        <v>4.4605838232110822</v>
      </c>
      <c r="BO131" s="102">
        <v>6.0652977189239028</v>
      </c>
      <c r="BP131" s="102">
        <v>7.7843024045864473</v>
      </c>
      <c r="BQ131" s="102">
        <v>11.954969853706402</v>
      </c>
      <c r="BR131" s="102">
        <v>13.518614832374283</v>
      </c>
      <c r="BS131" s="102">
        <v>14.768206236352754</v>
      </c>
      <c r="BT131" s="102">
        <v>18.516686857045102</v>
      </c>
      <c r="BU131" s="102">
        <v>24.070340690201732</v>
      </c>
      <c r="BV131" s="102">
        <v>30.501729907620302</v>
      </c>
      <c r="BW131" s="102">
        <v>31.745904025796431</v>
      </c>
      <c r="BX131" s="102">
        <v>37.257265523304625</v>
      </c>
      <c r="BY131" s="102">
        <v>46.403480340796023</v>
      </c>
      <c r="BZ131" s="102">
        <v>62.003557671757903</v>
      </c>
    </row>
    <row r="132" spans="1:78" outlineLevel="1">
      <c r="A132" s="237" t="s">
        <v>242</v>
      </c>
      <c r="B132" s="236" t="s">
        <v>401</v>
      </c>
      <c r="C132" s="194"/>
      <c r="D132" s="190" t="s">
        <v>397</v>
      </c>
      <c r="E132" s="125"/>
      <c r="F132" s="125"/>
      <c r="G132" s="125"/>
      <c r="I132" s="125"/>
      <c r="J132" s="125"/>
      <c r="K132" s="125"/>
      <c r="M132" s="125"/>
      <c r="N132" s="125"/>
      <c r="O132" s="125"/>
      <c r="Q132" s="125"/>
      <c r="R132" s="125"/>
      <c r="S132" s="125"/>
      <c r="T132" s="109">
        <v>125</v>
      </c>
      <c r="U132" s="501" t="s">
        <v>40</v>
      </c>
      <c r="V132" s="427" t="s">
        <v>129</v>
      </c>
      <c r="W132" s="500" t="s">
        <v>397</v>
      </c>
      <c r="X132" s="102">
        <v>4.6035681852494434</v>
      </c>
      <c r="Y132" s="102">
        <v>7.4267848486297101</v>
      </c>
      <c r="Z132" s="102">
        <v>10.448928885871769</v>
      </c>
      <c r="AA132" s="102">
        <v>12.515515523164408</v>
      </c>
      <c r="AB132" s="102">
        <v>14.493583688935082</v>
      </c>
      <c r="AC132" s="102">
        <v>15.657220707368428</v>
      </c>
      <c r="AD132" s="102">
        <v>18.829322086950366</v>
      </c>
      <c r="AE132" s="102">
        <v>22.724193656154501</v>
      </c>
      <c r="AF132" s="102">
        <v>27.871558354998907</v>
      </c>
      <c r="AG132" s="102">
        <v>36.602228159850135</v>
      </c>
      <c r="AH132" s="102">
        <v>39.530536401599328</v>
      </c>
      <c r="AI132" s="102">
        <v>40.023498004971152</v>
      </c>
      <c r="AJ132" s="178">
        <v>41.295518072482999</v>
      </c>
      <c r="AK132" s="182"/>
      <c r="AL132" s="180">
        <v>2.6518417824305449</v>
      </c>
      <c r="AM132" s="102">
        <v>3.8660971037039618</v>
      </c>
      <c r="AN132" s="102">
        <v>4.9688395833853827</v>
      </c>
      <c r="AO132" s="102">
        <v>7.5774327069225258</v>
      </c>
      <c r="AP132" s="102">
        <v>8.4152408818751443</v>
      </c>
      <c r="AQ132" s="102">
        <v>9.1922275127101365</v>
      </c>
      <c r="AR132" s="102">
        <v>11.233298671398526</v>
      </c>
      <c r="AS132" s="102">
        <v>14.31912565851551</v>
      </c>
      <c r="AT132" s="102">
        <v>17.927021139980198</v>
      </c>
      <c r="AU132" s="102">
        <v>18.79269770039442</v>
      </c>
      <c r="AV132" s="102">
        <v>22.387105656381102</v>
      </c>
      <c r="AW132" s="102">
        <v>27.16078732380177</v>
      </c>
      <c r="AX132" s="102">
        <v>34.289629579388482</v>
      </c>
      <c r="AY132" s="128"/>
      <c r="AZ132" s="102">
        <v>4.6035681852494434</v>
      </c>
      <c r="BA132" s="102">
        <v>7.4267848486297101</v>
      </c>
      <c r="BB132" s="102">
        <v>10.448928885871769</v>
      </c>
      <c r="BC132" s="102">
        <v>12.515515523164408</v>
      </c>
      <c r="BD132" s="102">
        <v>14.493583688935082</v>
      </c>
      <c r="BE132" s="102">
        <v>15.657220707368428</v>
      </c>
      <c r="BF132" s="102">
        <v>18.829322086950366</v>
      </c>
      <c r="BG132" s="102">
        <v>22.724193656154501</v>
      </c>
      <c r="BH132" s="102">
        <v>27.871558354998907</v>
      </c>
      <c r="BI132" s="102">
        <v>36.602228159850135</v>
      </c>
      <c r="BJ132" s="102">
        <v>39.530536401599328</v>
      </c>
      <c r="BK132" s="102">
        <v>40.023498004971152</v>
      </c>
      <c r="BL132" s="102">
        <v>41.295518072482999</v>
      </c>
      <c r="BM132" s="128"/>
      <c r="BN132" s="102">
        <v>2.6518417824305449</v>
      </c>
      <c r="BO132" s="102">
        <v>3.8660971037039618</v>
      </c>
      <c r="BP132" s="102">
        <v>4.9688395833853827</v>
      </c>
      <c r="BQ132" s="102">
        <v>7.5774327069225258</v>
      </c>
      <c r="BR132" s="102">
        <v>8.4152408818751443</v>
      </c>
      <c r="BS132" s="102">
        <v>9.1922275127101365</v>
      </c>
      <c r="BT132" s="102">
        <v>11.233298671398526</v>
      </c>
      <c r="BU132" s="102">
        <v>14.31912565851551</v>
      </c>
      <c r="BV132" s="102">
        <v>17.927021139980198</v>
      </c>
      <c r="BW132" s="102">
        <v>18.79269770039442</v>
      </c>
      <c r="BX132" s="102">
        <v>22.387105656381102</v>
      </c>
      <c r="BY132" s="102">
        <v>27.16078732380177</v>
      </c>
      <c r="BZ132" s="102">
        <v>34.289629579388482</v>
      </c>
    </row>
    <row r="133" spans="1:78" outlineLevel="1">
      <c r="A133" s="237" t="s">
        <v>242</v>
      </c>
      <c r="B133" s="236" t="s">
        <v>409</v>
      </c>
      <c r="C133" s="194"/>
      <c r="D133" s="190" t="s">
        <v>396</v>
      </c>
      <c r="E133" s="125"/>
      <c r="F133" s="125"/>
      <c r="G133" s="125"/>
      <c r="I133" s="125"/>
      <c r="J133" s="125"/>
      <c r="K133" s="125"/>
      <c r="M133" s="125"/>
      <c r="N133" s="125"/>
      <c r="O133" s="125"/>
      <c r="Q133" s="125"/>
      <c r="R133" s="125"/>
      <c r="S133" s="125"/>
      <c r="T133" s="199">
        <v>126</v>
      </c>
      <c r="U133" s="501" t="s">
        <v>40</v>
      </c>
      <c r="V133" s="427" t="s">
        <v>129</v>
      </c>
      <c r="W133" s="500" t="s">
        <v>396</v>
      </c>
      <c r="X133" s="102">
        <v>2.628101885663801</v>
      </c>
      <c r="Y133" s="102">
        <v>3.7974650621139459</v>
      </c>
      <c r="Z133" s="102">
        <v>5.2855296138785874</v>
      </c>
      <c r="AA133" s="102">
        <v>6.959578251534789</v>
      </c>
      <c r="AB133" s="102">
        <v>8.0768245357883668</v>
      </c>
      <c r="AC133" s="102">
        <v>9.0878027092598881</v>
      </c>
      <c r="AD133" s="102">
        <v>10.68351600469226</v>
      </c>
      <c r="AE133" s="102">
        <v>13.883993751766759</v>
      </c>
      <c r="AF133" s="102">
        <v>17.893215255088982</v>
      </c>
      <c r="AG133" s="102">
        <v>22.046577229417398</v>
      </c>
      <c r="AH133" s="102">
        <v>27.241019482000279</v>
      </c>
      <c r="AI133" s="102">
        <v>33.170851141936978</v>
      </c>
      <c r="AJ133" s="178">
        <v>48.47197158785788</v>
      </c>
      <c r="AK133" s="182"/>
      <c r="AL133" s="180">
        <v>1.817125288289263</v>
      </c>
      <c r="AM133" s="102">
        <v>2.5386000626359171</v>
      </c>
      <c r="AN133" s="102">
        <v>3.3167255507674449</v>
      </c>
      <c r="AO133" s="102">
        <v>5.1023846547261549</v>
      </c>
      <c r="AP133" s="102">
        <v>5.8426598530396845</v>
      </c>
      <c r="AQ133" s="102">
        <v>6.4220531675643553</v>
      </c>
      <c r="AR133" s="102">
        <v>8.1081850094440906</v>
      </c>
      <c r="AS133" s="102">
        <v>10.467840686396491</v>
      </c>
      <c r="AT133" s="102">
        <v>13.428613202853992</v>
      </c>
      <c r="AU133" s="102">
        <v>14.09489306033365</v>
      </c>
      <c r="AV133" s="102">
        <v>16.788163687830611</v>
      </c>
      <c r="AW133" s="102">
        <v>22.210414018522847</v>
      </c>
      <c r="AX133" s="102">
        <v>32.421745571958411</v>
      </c>
      <c r="AY133" s="128"/>
      <c r="AZ133" s="102">
        <v>2.628101885663801</v>
      </c>
      <c r="BA133" s="102">
        <v>3.7974650621139459</v>
      </c>
      <c r="BB133" s="102">
        <v>5.2855296138785874</v>
      </c>
      <c r="BC133" s="102">
        <v>6.959578251534789</v>
      </c>
      <c r="BD133" s="102">
        <v>8.0768245357883668</v>
      </c>
      <c r="BE133" s="102">
        <v>9.0878027092598881</v>
      </c>
      <c r="BF133" s="102">
        <v>10.68351600469226</v>
      </c>
      <c r="BG133" s="102">
        <v>13.883993751766759</v>
      </c>
      <c r="BH133" s="102">
        <v>17.893215255088982</v>
      </c>
      <c r="BI133" s="102">
        <v>22.046577229417398</v>
      </c>
      <c r="BJ133" s="102">
        <v>27.241019482000279</v>
      </c>
      <c r="BK133" s="102">
        <v>33.170851141936978</v>
      </c>
      <c r="BL133" s="102">
        <v>48.47197158785788</v>
      </c>
      <c r="BM133" s="128"/>
      <c r="BN133" s="102">
        <v>1.817125288289263</v>
      </c>
      <c r="BO133" s="102">
        <v>2.5386000626359171</v>
      </c>
      <c r="BP133" s="102">
        <v>3.3167255507674449</v>
      </c>
      <c r="BQ133" s="102">
        <v>5.1023846547261549</v>
      </c>
      <c r="BR133" s="102">
        <v>5.8426598530396845</v>
      </c>
      <c r="BS133" s="102">
        <v>6.4220531675643553</v>
      </c>
      <c r="BT133" s="102">
        <v>8.1081850094440906</v>
      </c>
      <c r="BU133" s="102">
        <v>10.467840686396491</v>
      </c>
      <c r="BV133" s="102">
        <v>13.428613202853992</v>
      </c>
      <c r="BW133" s="102">
        <v>14.09489306033365</v>
      </c>
      <c r="BX133" s="102">
        <v>16.788163687830611</v>
      </c>
      <c r="BY133" s="102">
        <v>22.210414018522847</v>
      </c>
      <c r="BZ133" s="102">
        <v>32.421745571958411</v>
      </c>
    </row>
    <row r="134" spans="1:78" outlineLevel="1">
      <c r="A134" s="237" t="s">
        <v>242</v>
      </c>
      <c r="B134" s="236" t="s">
        <v>93</v>
      </c>
      <c r="C134" s="194" t="s">
        <v>40</v>
      </c>
      <c r="D134" s="190" t="s">
        <v>133</v>
      </c>
      <c r="E134" s="125">
        <f>HLOOKUP(INPUT!$Q$2,'Tracks Pull'!$X$8:$AJ$138,T134,FALSE)</f>
        <v>17.871300293852649</v>
      </c>
      <c r="F134" s="125">
        <f>HLOOKUP(INPUT!$Q$3,'Tracks Pull'!$X$8:$AJ$138,T134,FALSE)</f>
        <v>15.217198603578982</v>
      </c>
      <c r="G134" s="125">
        <f t="shared" si="17"/>
        <v>2.6541016902736665</v>
      </c>
      <c r="I134" s="125">
        <f>HLOOKUP(INPUT!$Q$2,'Tracks Pull'!$AL$8:$AX$138,T134,FALSE)</f>
        <v>9.6618292867491213</v>
      </c>
      <c r="J134" s="125">
        <f>HLOOKUP(INPUT!$Q$3,'Tracks Pull'!$AL$8:$AX$138,T134,FALSE)</f>
        <v>7.8322599661432495</v>
      </c>
      <c r="K134" s="125">
        <f t="shared" si="18"/>
        <v>1.8295693206058719</v>
      </c>
      <c r="M134" s="125">
        <f>HLOOKUP(INPUT!$Q$2,'Tracks Pull'!$AZ$8:$BL$138,T134,FALSE)</f>
        <v>17.871300293852649</v>
      </c>
      <c r="N134" s="125">
        <f>HLOOKUP(INPUT!$Q$3,'Tracks Pull'!$AZ$8:$BL$138,T134,FALSE)</f>
        <v>15.217198603578982</v>
      </c>
      <c r="O134" s="125">
        <f t="shared" si="19"/>
        <v>2.6541016902736665</v>
      </c>
      <c r="Q134" s="125">
        <f>HLOOKUP(INPUT!$Q$2,'Tracks Pull'!$BN$8:$BZ$138,T134,FALSE)</f>
        <v>9.6618292867491213</v>
      </c>
      <c r="R134" s="125">
        <f>HLOOKUP(INPUT!$Q$3,'Tracks Pull'!$BN$8:$BZ$138,T134,FALSE)</f>
        <v>7.8322599661432495</v>
      </c>
      <c r="S134" s="125">
        <f t="shared" si="20"/>
        <v>1.8295693206058719</v>
      </c>
      <c r="T134" s="109">
        <v>127</v>
      </c>
      <c r="U134" s="194" t="s">
        <v>40</v>
      </c>
      <c r="V134" s="191" t="s">
        <v>129</v>
      </c>
      <c r="W134" s="190" t="s">
        <v>297</v>
      </c>
      <c r="X134" s="102">
        <v>4.6547181122029535</v>
      </c>
      <c r="Y134" s="102">
        <v>6.6458240177432746</v>
      </c>
      <c r="Z134" s="102">
        <v>9.6326713624818439</v>
      </c>
      <c r="AA134" s="102">
        <v>11.812601413662875</v>
      </c>
      <c r="AB134" s="102">
        <v>13.716272847002671</v>
      </c>
      <c r="AC134" s="102">
        <v>15.217198603578982</v>
      </c>
      <c r="AD134" s="102">
        <v>17.871300293852649</v>
      </c>
      <c r="AE134" s="102">
        <v>21.325923017387669</v>
      </c>
      <c r="AF134" s="102">
        <v>25.786251698496962</v>
      </c>
      <c r="AG134" s="102">
        <v>30.534020813868402</v>
      </c>
      <c r="AH134" s="102">
        <v>34.93858091294446</v>
      </c>
      <c r="AI134" s="102">
        <v>36.82079794400051</v>
      </c>
      <c r="AJ134" s="178">
        <v>41.677601838136653</v>
      </c>
      <c r="AK134" s="182"/>
      <c r="AL134" s="180">
        <v>2.2756587357421267</v>
      </c>
      <c r="AM134" s="102">
        <v>3.253501824492782</v>
      </c>
      <c r="AN134" s="102">
        <v>4.1885945443216404</v>
      </c>
      <c r="AO134" s="102">
        <v>6.4034277500329715</v>
      </c>
      <c r="AP134" s="102">
        <v>7.1644899527581352</v>
      </c>
      <c r="AQ134" s="102">
        <v>7.8322599661432495</v>
      </c>
      <c r="AR134" s="102">
        <v>9.6618292867491213</v>
      </c>
      <c r="AS134" s="102">
        <v>12.386619587337847</v>
      </c>
      <c r="AT134" s="102">
        <v>15.59663845756131</v>
      </c>
      <c r="AU134" s="102">
        <v>16.327834687524771</v>
      </c>
      <c r="AV134" s="102">
        <v>19.389916751881429</v>
      </c>
      <c r="AW134" s="102">
        <v>23.936261933200598</v>
      </c>
      <c r="AX134" s="102">
        <v>31.258756294351262</v>
      </c>
      <c r="AY134" s="128"/>
      <c r="AZ134" s="102">
        <v>4.6547181122029535</v>
      </c>
      <c r="BA134" s="102">
        <v>6.6458240177432746</v>
      </c>
      <c r="BB134" s="102">
        <v>9.6326713624818439</v>
      </c>
      <c r="BC134" s="102">
        <v>11.812601413662875</v>
      </c>
      <c r="BD134" s="102">
        <v>13.716272847002671</v>
      </c>
      <c r="BE134" s="102">
        <v>15.217198603578982</v>
      </c>
      <c r="BF134" s="102">
        <v>17.871300293852649</v>
      </c>
      <c r="BG134" s="102">
        <v>21.325923017387669</v>
      </c>
      <c r="BH134" s="102">
        <v>25.786251698496962</v>
      </c>
      <c r="BI134" s="102">
        <v>30.534020813868402</v>
      </c>
      <c r="BJ134" s="102">
        <v>34.93858091294446</v>
      </c>
      <c r="BK134" s="102">
        <v>36.82079794400051</v>
      </c>
      <c r="BL134" s="102">
        <v>41.677601838136653</v>
      </c>
      <c r="BM134" s="128"/>
      <c r="BN134" s="102">
        <v>2.2756587357421267</v>
      </c>
      <c r="BO134" s="102">
        <v>3.253501824492782</v>
      </c>
      <c r="BP134" s="102">
        <v>4.1885945443216404</v>
      </c>
      <c r="BQ134" s="102">
        <v>6.4034277500329715</v>
      </c>
      <c r="BR134" s="102">
        <v>7.1644899527581352</v>
      </c>
      <c r="BS134" s="102">
        <v>7.8322599661432495</v>
      </c>
      <c r="BT134" s="102">
        <v>9.6618292867491213</v>
      </c>
      <c r="BU134" s="102">
        <v>12.386619587337847</v>
      </c>
      <c r="BV134" s="102">
        <v>15.59663845756131</v>
      </c>
      <c r="BW134" s="102">
        <v>16.327834687524771</v>
      </c>
      <c r="BX134" s="102">
        <v>19.389916751881429</v>
      </c>
      <c r="BY134" s="102">
        <v>23.936261933200598</v>
      </c>
      <c r="BZ134" s="102">
        <v>31.258756294351262</v>
      </c>
    </row>
    <row r="135" spans="1:78" outlineLevel="1">
      <c r="A135" s="237" t="s">
        <v>242</v>
      </c>
      <c r="B135" s="236" t="s">
        <v>238</v>
      </c>
      <c r="C135" s="194" t="s">
        <v>40</v>
      </c>
      <c r="D135" s="190" t="s">
        <v>134</v>
      </c>
      <c r="E135" s="125">
        <f>HLOOKUP(INPUT!$Q$2,'Tracks Pull'!$X$8:$AJ$138,T135,FALSE)</f>
        <v>25.815323915828291</v>
      </c>
      <c r="F135" s="125">
        <f>HLOOKUP(INPUT!$Q$3,'Tracks Pull'!$X$8:$AJ$138,T135,FALSE)</f>
        <v>21.924395446025791</v>
      </c>
      <c r="G135" s="125">
        <f t="shared" si="17"/>
        <v>3.8909284698024997</v>
      </c>
      <c r="I135" s="125">
        <f>HLOOKUP(INPUT!$Q$2,'Tracks Pull'!$AL$8:$AX$138,T135,FALSE)</f>
        <v>17.004800071080499</v>
      </c>
      <c r="J135" s="125">
        <f>HLOOKUP(INPUT!$Q$3,'Tracks Pull'!$AL$8:$AX$138,T135,FALSE)</f>
        <v>13.29486126364375</v>
      </c>
      <c r="K135" s="125">
        <f t="shared" si="18"/>
        <v>3.7099388074367496</v>
      </c>
      <c r="M135" s="125">
        <f>HLOOKUP(INPUT!$Q$2,'Tracks Pull'!$AZ$8:$BL$138,T135,FALSE)</f>
        <v>25.815323915828291</v>
      </c>
      <c r="N135" s="125">
        <f>HLOOKUP(INPUT!$Q$3,'Tracks Pull'!$AZ$8:$BL$138,T135,FALSE)</f>
        <v>21.924395446025791</v>
      </c>
      <c r="O135" s="125">
        <f t="shared" si="19"/>
        <v>3.8909284698024997</v>
      </c>
      <c r="Q135" s="125">
        <f>HLOOKUP(INPUT!$Q$2,'Tracks Pull'!$BN$8:$BZ$138,T135,FALSE)</f>
        <v>17.004800071080499</v>
      </c>
      <c r="R135" s="125">
        <f>HLOOKUP(INPUT!$Q$3,'Tracks Pull'!$BN$8:$BZ$138,T135,FALSE)</f>
        <v>13.29486126364375</v>
      </c>
      <c r="S135" s="125">
        <f t="shared" si="20"/>
        <v>3.7099388074367496</v>
      </c>
      <c r="T135" s="199">
        <v>128</v>
      </c>
      <c r="U135" s="194" t="s">
        <v>40</v>
      </c>
      <c r="V135" s="191" t="s">
        <v>129</v>
      </c>
      <c r="W135" s="190" t="s">
        <v>298</v>
      </c>
      <c r="X135" s="102">
        <v>7.0556105553695918</v>
      </c>
      <c r="Y135" s="102">
        <v>10.017184276516655</v>
      </c>
      <c r="Z135" s="102">
        <v>13.908897751697948</v>
      </c>
      <c r="AA135" s="102">
        <v>17.071624584685836</v>
      </c>
      <c r="AB135" s="102">
        <v>19.702830968441269</v>
      </c>
      <c r="AC135" s="102">
        <v>21.924395446025791</v>
      </c>
      <c r="AD135" s="102">
        <v>25.815323915828291</v>
      </c>
      <c r="AE135" s="102">
        <v>31.006571706281569</v>
      </c>
      <c r="AF135" s="102">
        <v>36.80902611803149</v>
      </c>
      <c r="AG135" s="102">
        <v>42.198325572427493</v>
      </c>
      <c r="AH135" s="102">
        <v>49.279707317771383</v>
      </c>
      <c r="AI135" s="102">
        <v>53.088956071099133</v>
      </c>
      <c r="AJ135" s="178">
        <v>62.918202047327028</v>
      </c>
      <c r="AK135" s="182"/>
      <c r="AL135" s="180">
        <v>3.9605000500256606</v>
      </c>
      <c r="AM135" s="102">
        <v>5.24566641879888</v>
      </c>
      <c r="AN135" s="102">
        <v>6.80543583176566</v>
      </c>
      <c r="AO135" s="102">
        <v>10.510951896114532</v>
      </c>
      <c r="AP135" s="102">
        <v>12.120539268188899</v>
      </c>
      <c r="AQ135" s="102">
        <v>13.29486126364375</v>
      </c>
      <c r="AR135" s="102">
        <v>17.004800071080499</v>
      </c>
      <c r="AS135" s="102">
        <v>22.259145274872729</v>
      </c>
      <c r="AT135" s="102">
        <v>28.621957998348041</v>
      </c>
      <c r="AU135" s="102">
        <v>29.83027580358117</v>
      </c>
      <c r="AV135" s="102">
        <v>35.047224589579486</v>
      </c>
      <c r="AW135" s="102">
        <v>46.051902534393903</v>
      </c>
      <c r="AX135" s="102">
        <v>67.024558701236998</v>
      </c>
      <c r="AY135" s="128"/>
      <c r="AZ135" s="102">
        <v>7.0556105553695918</v>
      </c>
      <c r="BA135" s="102">
        <v>10.017184276516655</v>
      </c>
      <c r="BB135" s="102">
        <v>13.908897751697948</v>
      </c>
      <c r="BC135" s="102">
        <v>17.071624584685836</v>
      </c>
      <c r="BD135" s="102">
        <v>19.702830968441269</v>
      </c>
      <c r="BE135" s="102">
        <v>21.924395446025791</v>
      </c>
      <c r="BF135" s="102">
        <v>25.815323915828291</v>
      </c>
      <c r="BG135" s="102">
        <v>31.006571706281569</v>
      </c>
      <c r="BH135" s="102">
        <v>36.80902611803149</v>
      </c>
      <c r="BI135" s="102">
        <v>42.198325572427493</v>
      </c>
      <c r="BJ135" s="102">
        <v>49.279707317771383</v>
      </c>
      <c r="BK135" s="102">
        <v>53.088956071099133</v>
      </c>
      <c r="BL135" s="102">
        <v>62.918202047327028</v>
      </c>
      <c r="BM135" s="128"/>
      <c r="BN135" s="102">
        <v>3.9605000500256606</v>
      </c>
      <c r="BO135" s="102">
        <v>5.24566641879888</v>
      </c>
      <c r="BP135" s="102">
        <v>6.80543583176566</v>
      </c>
      <c r="BQ135" s="102">
        <v>10.510951896114532</v>
      </c>
      <c r="BR135" s="102">
        <v>12.120539268188899</v>
      </c>
      <c r="BS135" s="102">
        <v>13.29486126364375</v>
      </c>
      <c r="BT135" s="102">
        <v>17.004800071080499</v>
      </c>
      <c r="BU135" s="102">
        <v>22.259145274872729</v>
      </c>
      <c r="BV135" s="102">
        <v>28.621957998348041</v>
      </c>
      <c r="BW135" s="102">
        <v>29.83027580358117</v>
      </c>
      <c r="BX135" s="102">
        <v>35.047224589579486</v>
      </c>
      <c r="BY135" s="102">
        <v>46.051902534393903</v>
      </c>
      <c r="BZ135" s="102">
        <v>67.024558701236998</v>
      </c>
    </row>
    <row r="136" spans="1:78">
      <c r="B136" s="236"/>
      <c r="U136" s="174"/>
      <c r="V136" s="174"/>
      <c r="W136" s="195"/>
      <c r="X136" s="177"/>
      <c r="Y136" s="177"/>
      <c r="Z136" s="177"/>
      <c r="AA136" s="177"/>
      <c r="AB136" s="177"/>
      <c r="AC136" s="177"/>
      <c r="AD136" s="177"/>
      <c r="AE136" s="177"/>
      <c r="AF136" s="177"/>
      <c r="AG136" s="177"/>
      <c r="AH136" s="177"/>
      <c r="AI136" s="177"/>
      <c r="AJ136" s="179"/>
      <c r="AK136" s="183"/>
      <c r="AL136" s="181"/>
      <c r="AM136" s="177"/>
      <c r="AN136" s="177"/>
      <c r="AO136" s="177"/>
      <c r="AP136" s="177"/>
      <c r="AQ136" s="177"/>
      <c r="AR136" s="177"/>
      <c r="AS136" s="177"/>
      <c r="AT136" s="177"/>
      <c r="AU136" s="177"/>
      <c r="AV136" s="177"/>
      <c r="AW136" s="177"/>
      <c r="AX136" s="177"/>
      <c r="AY136" s="176"/>
      <c r="AZ136" s="177"/>
      <c r="BA136" s="177"/>
      <c r="BB136" s="177"/>
      <c r="BC136" s="177"/>
      <c r="BD136" s="177"/>
      <c r="BE136" s="177"/>
      <c r="BF136" s="177"/>
      <c r="BG136" s="177"/>
      <c r="BH136" s="177"/>
      <c r="BI136" s="177"/>
      <c r="BJ136" s="177"/>
      <c r="BK136" s="177"/>
      <c r="BL136" s="177"/>
      <c r="BM136" s="176"/>
      <c r="BN136" s="177"/>
      <c r="BO136" s="177"/>
      <c r="BP136" s="177"/>
      <c r="BQ136" s="177"/>
      <c r="BR136" s="177"/>
      <c r="BS136" s="177"/>
      <c r="BT136" s="177"/>
      <c r="BU136" s="177"/>
      <c r="BV136" s="177"/>
      <c r="BW136" s="177"/>
      <c r="BX136" s="177"/>
      <c r="BY136" s="177"/>
      <c r="BZ136" s="177"/>
    </row>
    <row r="137" spans="1:78">
      <c r="B137" s="236" t="s">
        <v>194</v>
      </c>
      <c r="U137" s="174"/>
      <c r="V137" s="174"/>
      <c r="W137" s="195"/>
      <c r="X137" s="177"/>
      <c r="Y137" s="177"/>
      <c r="Z137" s="177"/>
      <c r="AA137" s="177"/>
      <c r="AB137" s="177"/>
      <c r="AC137" s="177"/>
      <c r="AD137" s="177"/>
      <c r="AE137" s="177"/>
      <c r="AF137" s="177"/>
      <c r="AG137" s="177"/>
      <c r="AH137" s="177"/>
      <c r="AI137" s="177"/>
      <c r="AJ137" s="179"/>
      <c r="AK137" s="183"/>
      <c r="AL137" s="181"/>
      <c r="AM137" s="177"/>
      <c r="AN137" s="177"/>
      <c r="AO137" s="177"/>
      <c r="AP137" s="177"/>
      <c r="AQ137" s="177"/>
      <c r="AR137" s="177"/>
      <c r="AS137" s="177"/>
      <c r="AT137" s="177"/>
      <c r="AU137" s="177"/>
      <c r="AV137" s="177"/>
      <c r="AW137" s="177"/>
      <c r="AX137" s="177"/>
      <c r="AY137" s="176"/>
      <c r="AZ137" s="177"/>
      <c r="BA137" s="177"/>
      <c r="BB137" s="177"/>
      <c r="BC137" s="177"/>
      <c r="BD137" s="177"/>
      <c r="BE137" s="177"/>
      <c r="BF137" s="177"/>
      <c r="BG137" s="177"/>
      <c r="BH137" s="177"/>
      <c r="BI137" s="177"/>
      <c r="BJ137" s="177"/>
      <c r="BK137" s="177"/>
      <c r="BL137" s="177"/>
      <c r="BM137" s="176"/>
      <c r="BN137" s="177"/>
      <c r="BO137" s="177"/>
      <c r="BP137" s="177"/>
      <c r="BQ137" s="177"/>
      <c r="BR137" s="177"/>
      <c r="BS137" s="177"/>
      <c r="BT137" s="177"/>
      <c r="BU137" s="177"/>
      <c r="BV137" s="177"/>
      <c r="BW137" s="177"/>
      <c r="BX137" s="177"/>
      <c r="BY137" s="177"/>
      <c r="BZ137" s="177"/>
    </row>
    <row r="138" spans="1:78">
      <c r="U138" s="174"/>
      <c r="V138" s="174"/>
      <c r="W138" s="195"/>
      <c r="X138" s="177"/>
      <c r="Y138" s="177"/>
      <c r="Z138" s="177"/>
      <c r="AA138" s="177"/>
      <c r="AB138" s="177"/>
      <c r="AC138" s="177"/>
      <c r="AD138" s="177"/>
      <c r="AE138" s="177"/>
      <c r="AF138" s="177"/>
      <c r="AG138" s="177"/>
      <c r="AH138" s="177"/>
      <c r="AI138" s="177"/>
      <c r="AJ138" s="179"/>
      <c r="AK138" s="183"/>
      <c r="AL138" s="181"/>
      <c r="AM138" s="177"/>
      <c r="AN138" s="177"/>
      <c r="AO138" s="177"/>
      <c r="AP138" s="177"/>
      <c r="AQ138" s="177"/>
      <c r="AR138" s="177"/>
      <c r="AS138" s="177"/>
      <c r="AT138" s="177"/>
      <c r="AU138" s="177"/>
      <c r="AV138" s="177"/>
      <c r="AW138" s="177"/>
      <c r="AX138" s="177"/>
      <c r="AY138" s="176"/>
      <c r="AZ138" s="177"/>
      <c r="BA138" s="177"/>
      <c r="BB138" s="177"/>
      <c r="BC138" s="177"/>
      <c r="BD138" s="177"/>
      <c r="BE138" s="177"/>
      <c r="BF138" s="177"/>
      <c r="BG138" s="177"/>
      <c r="BH138" s="177"/>
      <c r="BI138" s="177"/>
      <c r="BJ138" s="177"/>
      <c r="BK138" s="177"/>
      <c r="BL138" s="177"/>
      <c r="BM138" s="176"/>
      <c r="BN138" s="177"/>
      <c r="BO138" s="177"/>
      <c r="BP138" s="177"/>
      <c r="BQ138" s="177"/>
      <c r="BR138" s="177"/>
      <c r="BS138" s="177"/>
      <c r="BT138" s="177"/>
      <c r="BU138" s="177"/>
      <c r="BV138" s="177"/>
      <c r="BW138" s="177"/>
      <c r="BX138" s="177"/>
      <c r="BY138" s="177"/>
      <c r="BZ138" s="177"/>
    </row>
    <row r="139" spans="1:78">
      <c r="U139" s="174"/>
      <c r="V139" s="174"/>
      <c r="W139" s="196"/>
      <c r="X139" s="177"/>
      <c r="Y139" s="177"/>
      <c r="Z139" s="177"/>
      <c r="AA139" s="177"/>
      <c r="AB139" s="177"/>
      <c r="AC139" s="177"/>
      <c r="AD139" s="177"/>
      <c r="AE139" s="177"/>
      <c r="AF139" s="177"/>
      <c r="AG139" s="177"/>
      <c r="AH139" s="177"/>
      <c r="AI139" s="177"/>
      <c r="AJ139" s="179"/>
      <c r="AK139" s="183"/>
      <c r="AL139" s="181"/>
      <c r="AM139" s="177"/>
      <c r="AN139" s="177"/>
      <c r="AO139" s="177"/>
      <c r="AP139" s="177"/>
      <c r="AQ139" s="177"/>
      <c r="AR139" s="177"/>
      <c r="AS139" s="177"/>
      <c r="AT139" s="177"/>
      <c r="AU139" s="177"/>
      <c r="AV139" s="177"/>
      <c r="AW139" s="177"/>
      <c r="AX139" s="177"/>
      <c r="AY139" s="176"/>
      <c r="AZ139" s="177"/>
      <c r="BA139" s="177"/>
      <c r="BB139" s="177"/>
      <c r="BC139" s="177"/>
      <c r="BD139" s="177"/>
      <c r="BE139" s="177"/>
      <c r="BF139" s="177"/>
      <c r="BG139" s="177"/>
      <c r="BH139" s="177"/>
      <c r="BI139" s="177"/>
      <c r="BJ139" s="177"/>
      <c r="BK139" s="177"/>
      <c r="BL139" s="177"/>
      <c r="BM139" s="176"/>
      <c r="BN139" s="177"/>
      <c r="BO139" s="177"/>
      <c r="BP139" s="177"/>
      <c r="BQ139" s="177"/>
      <c r="BR139" s="177"/>
      <c r="BS139" s="177"/>
      <c r="BT139" s="177"/>
      <c r="BU139" s="177"/>
      <c r="BV139" s="177"/>
      <c r="BW139" s="177"/>
      <c r="BX139" s="177"/>
      <c r="BY139" s="177"/>
      <c r="BZ139" s="177"/>
    </row>
    <row r="140" spans="1:78">
      <c r="U140" s="174"/>
      <c r="V140" s="174"/>
      <c r="W140" s="175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9"/>
      <c r="AK140" s="183"/>
      <c r="AL140" s="181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6"/>
      <c r="AZ140" s="177"/>
      <c r="BA140" s="177"/>
      <c r="BB140" s="177"/>
      <c r="BC140" s="177"/>
      <c r="BD140" s="177"/>
      <c r="BE140" s="177"/>
      <c r="BF140" s="177"/>
      <c r="BG140" s="177"/>
      <c r="BH140" s="177"/>
      <c r="BI140" s="177"/>
      <c r="BJ140" s="177"/>
      <c r="BK140" s="177"/>
      <c r="BL140" s="177"/>
      <c r="BM140" s="176"/>
      <c r="BN140" s="177"/>
      <c r="BO140" s="177"/>
      <c r="BP140" s="177"/>
      <c r="BQ140" s="177"/>
      <c r="BR140" s="177"/>
      <c r="BS140" s="177"/>
      <c r="BT140" s="177"/>
      <c r="BU140" s="177"/>
      <c r="BV140" s="177"/>
      <c r="BW140" s="177"/>
      <c r="BX140" s="177"/>
      <c r="BY140" s="177"/>
      <c r="BZ140" s="177"/>
    </row>
    <row r="141" spans="1:78">
      <c r="U141" s="174"/>
      <c r="V141" s="174"/>
      <c r="W141" s="175"/>
      <c r="X141" s="177"/>
      <c r="Y141" s="177"/>
      <c r="Z141" s="177"/>
      <c r="AA141" s="177"/>
      <c r="AB141" s="177"/>
      <c r="AC141" s="177"/>
      <c r="AD141" s="177"/>
      <c r="AE141" s="177"/>
      <c r="AF141" s="177"/>
      <c r="AG141" s="177"/>
      <c r="AH141" s="177"/>
      <c r="AI141" s="177"/>
      <c r="AJ141" s="179"/>
      <c r="AK141" s="183"/>
      <c r="AL141" s="181"/>
      <c r="AM141" s="177"/>
      <c r="AN141" s="177"/>
      <c r="AO141" s="177"/>
      <c r="AP141" s="177"/>
      <c r="AQ141" s="177"/>
      <c r="AR141" s="177"/>
      <c r="AS141" s="177"/>
      <c r="AT141" s="177"/>
      <c r="AU141" s="177"/>
      <c r="AV141" s="177"/>
      <c r="AW141" s="177"/>
      <c r="AX141" s="177"/>
      <c r="AY141" s="176"/>
      <c r="AZ141" s="177"/>
      <c r="BA141" s="177"/>
      <c r="BB141" s="177"/>
      <c r="BC141" s="177"/>
      <c r="BD141" s="177"/>
      <c r="BE141" s="177"/>
      <c r="BF141" s="177"/>
      <c r="BG141" s="177"/>
      <c r="BH141" s="177"/>
      <c r="BI141" s="177"/>
      <c r="BJ141" s="177"/>
      <c r="BK141" s="177"/>
      <c r="BL141" s="177"/>
      <c r="BM141" s="176"/>
      <c r="BN141" s="177"/>
      <c r="BO141" s="177"/>
      <c r="BP141" s="177"/>
      <c r="BQ141" s="177"/>
      <c r="BR141" s="177"/>
      <c r="BS141" s="177"/>
      <c r="BT141" s="177"/>
      <c r="BU141" s="177"/>
      <c r="BV141" s="177"/>
      <c r="BW141" s="177"/>
      <c r="BX141" s="177"/>
      <c r="BY141" s="177"/>
      <c r="BZ141" s="177"/>
    </row>
    <row r="142" spans="1:78">
      <c r="U142" s="174"/>
      <c r="V142" s="174"/>
      <c r="W142" s="174"/>
      <c r="X142" s="177"/>
      <c r="Y142" s="177"/>
      <c r="Z142" s="177"/>
      <c r="AA142" s="177"/>
      <c r="AB142" s="177"/>
      <c r="AC142" s="177"/>
      <c r="AD142" s="177"/>
      <c r="AE142" s="177"/>
      <c r="AF142" s="177"/>
      <c r="AG142" s="177"/>
      <c r="AH142" s="177"/>
      <c r="AI142" s="177"/>
      <c r="AJ142" s="179"/>
      <c r="AK142" s="183"/>
      <c r="AL142" s="181"/>
      <c r="AM142" s="177"/>
      <c r="AN142" s="177"/>
      <c r="AO142" s="177"/>
      <c r="AP142" s="177"/>
      <c r="AQ142" s="177"/>
      <c r="AR142" s="177"/>
      <c r="AS142" s="177"/>
      <c r="AT142" s="177"/>
      <c r="AU142" s="177"/>
      <c r="AV142" s="177"/>
      <c r="AW142" s="177"/>
      <c r="AX142" s="177"/>
      <c r="AY142" s="176"/>
      <c r="AZ142" s="177"/>
      <c r="BA142" s="177"/>
      <c r="BB142" s="177"/>
      <c r="BC142" s="177"/>
      <c r="BD142" s="177"/>
      <c r="BE142" s="177"/>
      <c r="BF142" s="177"/>
      <c r="BG142" s="177"/>
      <c r="BH142" s="177"/>
      <c r="BI142" s="177"/>
      <c r="BJ142" s="177"/>
      <c r="BK142" s="177"/>
      <c r="BL142" s="177"/>
      <c r="BM142" s="176"/>
      <c r="BN142" s="177"/>
      <c r="BO142" s="177"/>
      <c r="BP142" s="177"/>
      <c r="BQ142" s="177"/>
      <c r="BR142" s="177"/>
      <c r="BS142" s="177"/>
      <c r="BT142" s="177"/>
      <c r="BU142" s="177"/>
      <c r="BV142" s="177"/>
      <c r="BW142" s="177"/>
      <c r="BX142" s="177"/>
      <c r="BY142" s="177"/>
      <c r="BZ142" s="177"/>
    </row>
    <row r="143" spans="1:78">
      <c r="U143" s="174"/>
      <c r="V143" s="174"/>
      <c r="W143" s="175"/>
      <c r="X143" s="177"/>
      <c r="Y143" s="177"/>
      <c r="Z143" s="177"/>
      <c r="AA143" s="177"/>
      <c r="AB143" s="177"/>
      <c r="AC143" s="177"/>
      <c r="AD143" s="177"/>
      <c r="AE143" s="177"/>
      <c r="AF143" s="177"/>
      <c r="AG143" s="177"/>
      <c r="AH143" s="177"/>
      <c r="AI143" s="177"/>
      <c r="AJ143" s="179"/>
      <c r="AK143" s="183"/>
      <c r="AL143" s="181"/>
      <c r="AM143" s="177"/>
      <c r="AN143" s="177"/>
      <c r="AO143" s="177"/>
      <c r="AP143" s="177"/>
      <c r="AQ143" s="177"/>
      <c r="AR143" s="177"/>
      <c r="AS143" s="177"/>
      <c r="AT143" s="177"/>
      <c r="AU143" s="177"/>
      <c r="AV143" s="177"/>
      <c r="AW143" s="177"/>
      <c r="AX143" s="177"/>
      <c r="AY143" s="176"/>
      <c r="AZ143" s="177"/>
      <c r="BA143" s="177"/>
      <c r="BB143" s="177"/>
      <c r="BC143" s="177"/>
      <c r="BD143" s="177"/>
      <c r="BE143" s="177"/>
      <c r="BF143" s="177"/>
      <c r="BG143" s="177"/>
      <c r="BH143" s="177"/>
      <c r="BI143" s="177"/>
      <c r="BJ143" s="177"/>
      <c r="BK143" s="177"/>
      <c r="BL143" s="177"/>
      <c r="BM143" s="176"/>
      <c r="BN143" s="177"/>
      <c r="BO143" s="177"/>
      <c r="BP143" s="177"/>
      <c r="BQ143" s="177"/>
      <c r="BR143" s="177"/>
      <c r="BS143" s="177"/>
      <c r="BT143" s="177"/>
      <c r="BU143" s="177"/>
      <c r="BV143" s="177"/>
      <c r="BW143" s="177"/>
      <c r="BX143" s="177"/>
      <c r="BY143" s="177"/>
      <c r="BZ143" s="177"/>
    </row>
    <row r="144" spans="1:78">
      <c r="U144" s="174"/>
      <c r="V144" s="174"/>
      <c r="W144" s="175"/>
      <c r="X144" s="177"/>
      <c r="Y144" s="177"/>
      <c r="Z144" s="177"/>
      <c r="AA144" s="177"/>
      <c r="AB144" s="177"/>
      <c r="AC144" s="177"/>
      <c r="AD144" s="177"/>
      <c r="AE144" s="177"/>
      <c r="AF144" s="177"/>
      <c r="AG144" s="177"/>
      <c r="AH144" s="177"/>
      <c r="AI144" s="177"/>
      <c r="AJ144" s="179"/>
      <c r="AK144" s="183"/>
      <c r="AL144" s="181"/>
      <c r="AM144" s="177"/>
      <c r="AN144" s="177"/>
      <c r="AO144" s="177"/>
      <c r="AP144" s="177"/>
      <c r="AQ144" s="177"/>
      <c r="AR144" s="177"/>
      <c r="AS144" s="177"/>
      <c r="AT144" s="177"/>
      <c r="AU144" s="177"/>
      <c r="AV144" s="177"/>
      <c r="AW144" s="177"/>
      <c r="AX144" s="177"/>
      <c r="AY144" s="176"/>
      <c r="AZ144" s="177"/>
      <c r="BA144" s="177"/>
      <c r="BB144" s="177"/>
      <c r="BC144" s="177"/>
      <c r="BD144" s="177"/>
      <c r="BE144" s="177"/>
      <c r="BF144" s="177"/>
      <c r="BG144" s="177"/>
      <c r="BH144" s="177"/>
      <c r="BI144" s="177"/>
      <c r="BJ144" s="177"/>
      <c r="BK144" s="177"/>
      <c r="BL144" s="177"/>
      <c r="BM144" s="176"/>
      <c r="BN144" s="177"/>
      <c r="BO144" s="177"/>
      <c r="BP144" s="177"/>
      <c r="BQ144" s="177"/>
      <c r="BR144" s="177"/>
      <c r="BS144" s="177"/>
      <c r="BT144" s="177"/>
      <c r="BU144" s="177"/>
      <c r="BV144" s="177"/>
      <c r="BW144" s="177"/>
      <c r="BX144" s="177"/>
      <c r="BY144" s="177"/>
      <c r="BZ144" s="177"/>
    </row>
    <row r="145" spans="21:78">
      <c r="U145" s="174"/>
      <c r="V145" s="174"/>
      <c r="W145" s="175"/>
      <c r="X145" s="177"/>
      <c r="Y145" s="177"/>
      <c r="Z145" s="177"/>
      <c r="AA145" s="177"/>
      <c r="AB145" s="177"/>
      <c r="AC145" s="177"/>
      <c r="AD145" s="177"/>
      <c r="AE145" s="177"/>
      <c r="AF145" s="177"/>
      <c r="AG145" s="177"/>
      <c r="AH145" s="177"/>
      <c r="AI145" s="177"/>
      <c r="AJ145" s="179"/>
      <c r="AK145" s="183"/>
      <c r="AL145" s="181"/>
      <c r="AM145" s="177"/>
      <c r="AN145" s="177"/>
      <c r="AO145" s="177"/>
      <c r="AP145" s="177"/>
      <c r="AQ145" s="177"/>
      <c r="AR145" s="177"/>
      <c r="AS145" s="177"/>
      <c r="AT145" s="177"/>
      <c r="AU145" s="177"/>
      <c r="AV145" s="177"/>
      <c r="AW145" s="177"/>
      <c r="AX145" s="177"/>
      <c r="AY145" s="176"/>
      <c r="AZ145" s="177"/>
      <c r="BA145" s="177"/>
      <c r="BB145" s="177"/>
      <c r="BC145" s="177"/>
      <c r="BD145" s="177"/>
      <c r="BE145" s="177"/>
      <c r="BF145" s="177"/>
      <c r="BG145" s="177"/>
      <c r="BH145" s="177"/>
      <c r="BI145" s="177"/>
      <c r="BJ145" s="177"/>
      <c r="BK145" s="177"/>
      <c r="BL145" s="177"/>
      <c r="BM145" s="176"/>
      <c r="BN145" s="177"/>
      <c r="BO145" s="177"/>
      <c r="BP145" s="177"/>
      <c r="BQ145" s="177"/>
      <c r="BR145" s="177"/>
      <c r="BS145" s="177"/>
      <c r="BT145" s="177"/>
      <c r="BU145" s="177"/>
      <c r="BV145" s="177"/>
      <c r="BW145" s="177"/>
      <c r="BX145" s="177"/>
      <c r="BY145" s="177"/>
      <c r="BZ145" s="177"/>
    </row>
  </sheetData>
  <autoFilter ref="C12:S135" xr:uid="{197142F8-78E8-4274-BBDB-499F2B5E2225}"/>
  <mergeCells count="6">
    <mergeCell ref="E8:F8"/>
    <mergeCell ref="I8:J8"/>
    <mergeCell ref="E6:J6"/>
    <mergeCell ref="M6:R6"/>
    <mergeCell ref="M8:N8"/>
    <mergeCell ref="Q8:R8"/>
  </mergeCells>
  <phoneticPr fontId="49" type="noConversion"/>
  <pageMargins left="0.7" right="0.7" top="0.75" bottom="0.75" header="0.3" footer="0.3"/>
  <pageSetup paperSize="9" orientation="portrait" horizontalDpi="4294967293" verticalDpi="0" r:id="rId1"/>
  <customProperties>
    <customPr name="COR_MapSheets" r:id="rId2"/>
    <customPr name="Serialized_Sheet_Mapping" r:id="rId3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830F8-B01F-497A-AE0D-40ED40B1636D}">
  <sheetPr>
    <tabColor rgb="FF0070C0"/>
  </sheetPr>
  <dimension ref="A6:Q140"/>
  <sheetViews>
    <sheetView topLeftCell="A6" zoomScale="90" zoomScaleNormal="90" workbookViewId="0">
      <selection activeCell="G12" sqref="G12"/>
    </sheetView>
  </sheetViews>
  <sheetFormatPr defaultRowHeight="14.4"/>
  <cols>
    <col min="3" max="3" width="27.6640625" bestFit="1" customWidth="1"/>
    <col min="4" max="4" width="18.88671875" customWidth="1"/>
    <col min="5" max="5" width="20.109375" bestFit="1" customWidth="1"/>
    <col min="6" max="6" width="12" bestFit="1" customWidth="1"/>
    <col min="7" max="12" width="12" customWidth="1"/>
    <col min="13" max="13" width="12" bestFit="1" customWidth="1"/>
    <col min="14" max="14" width="20.109375" bestFit="1" customWidth="1"/>
    <col min="15" max="15" width="12" bestFit="1" customWidth="1"/>
    <col min="16" max="16" width="12" customWidth="1"/>
    <col min="17" max="17" width="12" bestFit="1" customWidth="1"/>
  </cols>
  <sheetData>
    <row r="6" spans="1:17">
      <c r="D6" s="9" t="s">
        <v>1</v>
      </c>
    </row>
    <row r="7" spans="1:17">
      <c r="C7" t="s">
        <v>6</v>
      </c>
      <c r="D7" s="10" t="s">
        <v>7</v>
      </c>
      <c r="E7" s="556" t="s">
        <v>311</v>
      </c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8"/>
    </row>
    <row r="8" spans="1:17">
      <c r="E8" s="559" t="s">
        <v>309</v>
      </c>
      <c r="F8" s="560"/>
      <c r="G8" s="560"/>
      <c r="H8" s="560"/>
      <c r="I8" s="560"/>
      <c r="J8" s="560"/>
      <c r="K8" s="560"/>
      <c r="L8" s="560"/>
      <c r="M8" s="561"/>
      <c r="N8" s="559" t="s">
        <v>3</v>
      </c>
      <c r="O8" s="560"/>
      <c r="P8" s="560"/>
      <c r="Q8" s="561"/>
    </row>
    <row r="9" spans="1:17">
      <c r="C9" s="12"/>
      <c r="D9" s="12"/>
      <c r="E9" s="135" t="s">
        <v>8</v>
      </c>
      <c r="F9" s="135" t="s">
        <v>8</v>
      </c>
      <c r="G9" s="135" t="s">
        <v>8</v>
      </c>
      <c r="H9" s="135" t="s">
        <v>8</v>
      </c>
      <c r="I9" s="135" t="s">
        <v>8</v>
      </c>
      <c r="J9" s="135" t="s">
        <v>8</v>
      </c>
      <c r="K9" s="135" t="s">
        <v>8</v>
      </c>
      <c r="L9" s="135" t="s">
        <v>8</v>
      </c>
      <c r="M9" s="135" t="s">
        <v>8</v>
      </c>
      <c r="N9" s="135" t="s">
        <v>8</v>
      </c>
      <c r="O9" s="135" t="s">
        <v>8</v>
      </c>
      <c r="P9" s="135" t="s">
        <v>8</v>
      </c>
      <c r="Q9" s="135" t="s">
        <v>8</v>
      </c>
    </row>
    <row r="10" spans="1:17">
      <c r="C10" s="12"/>
      <c r="D10" s="12"/>
      <c r="E10" s="135" t="str">
        <f>INPUT!$G$3</f>
        <v>4Q Stream</v>
      </c>
      <c r="F10" s="135" t="str">
        <f>INPUT!$G$3</f>
        <v>4Q Stream</v>
      </c>
      <c r="G10" s="135" t="str">
        <f>INPUT!$G$3</f>
        <v>4Q Stream</v>
      </c>
      <c r="H10" s="135" t="str">
        <f>INPUT!$G$3</f>
        <v>4Q Stream</v>
      </c>
      <c r="I10" s="135" t="str">
        <f>INPUT!$G$3</f>
        <v>4Q Stream</v>
      </c>
      <c r="J10" s="135" t="str">
        <f>INPUT!$G$3</f>
        <v>4Q Stream</v>
      </c>
      <c r="K10" s="135" t="str">
        <f>INPUT!$G$3</f>
        <v>4Q Stream</v>
      </c>
      <c r="L10" s="135" t="str">
        <f>INPUT!$G$3</f>
        <v>4Q Stream</v>
      </c>
      <c r="M10" s="135" t="str">
        <f>INPUT!$G$3</f>
        <v>4Q Stream</v>
      </c>
      <c r="N10" s="135" t="str">
        <f>INPUT!$G$3</f>
        <v>4Q Stream</v>
      </c>
      <c r="O10" s="135" t="str">
        <f>INPUT!$G$3</f>
        <v>4Q Stream</v>
      </c>
      <c r="P10" s="135" t="str">
        <f>INPUT!$G$3</f>
        <v>4Q Stream</v>
      </c>
      <c r="Q10" s="135" t="str">
        <f>INPUT!$G$3</f>
        <v>4Q Stream</v>
      </c>
    </row>
    <row r="11" spans="1:17">
      <c r="C11" s="12"/>
      <c r="D11" s="12"/>
      <c r="E11" s="135" t="str">
        <f>INPUT!$B$2</f>
        <v>4Q</v>
      </c>
      <c r="F11" s="135" t="str">
        <f>INPUT!$B$2</f>
        <v>4Q</v>
      </c>
      <c r="G11" s="135" t="str">
        <f>INPUT!$B$2</f>
        <v>4Q</v>
      </c>
      <c r="H11" s="135" t="str">
        <f>INPUT!$B$2</f>
        <v>4Q</v>
      </c>
      <c r="I11" s="135" t="str">
        <f>INPUT!$B$2</f>
        <v>4Q</v>
      </c>
      <c r="J11" s="135" t="str">
        <f>INPUT!$B$2</f>
        <v>4Q</v>
      </c>
      <c r="K11" s="135" t="str">
        <f>INPUT!$B$2</f>
        <v>4Q</v>
      </c>
      <c r="L11" s="135" t="str">
        <f>INPUT!$B$2</f>
        <v>4Q</v>
      </c>
      <c r="M11" s="135" t="str">
        <f>INPUT!$B$2</f>
        <v>4Q</v>
      </c>
      <c r="N11" s="135" t="str">
        <f>INPUT!$B$4</f>
        <v>NovQTD</v>
      </c>
      <c r="O11" s="135" t="str">
        <f>INPUT!$B$2</f>
        <v>4Q</v>
      </c>
      <c r="P11" s="135" t="str">
        <f>INPUT!$B$2</f>
        <v>4Q</v>
      </c>
      <c r="Q11" s="135" t="str">
        <f>INPUT!$B$4</f>
        <v>NovQTD</v>
      </c>
    </row>
    <row r="12" spans="1:17">
      <c r="A12" s="238" t="s">
        <v>240</v>
      </c>
      <c r="B12" s="236" t="s">
        <v>241</v>
      </c>
      <c r="C12" s="12"/>
      <c r="D12" s="12"/>
      <c r="E12" s="135" t="s">
        <v>100</v>
      </c>
      <c r="F12" s="135" t="s">
        <v>199</v>
      </c>
      <c r="G12" s="135" t="s">
        <v>718</v>
      </c>
      <c r="H12" s="135" t="s">
        <v>719</v>
      </c>
      <c r="I12" s="135" t="s">
        <v>720</v>
      </c>
      <c r="J12" s="135" t="s">
        <v>721</v>
      </c>
      <c r="K12" s="135" t="s">
        <v>722</v>
      </c>
      <c r="L12" s="135" t="s">
        <v>723</v>
      </c>
      <c r="M12" s="135" t="s">
        <v>200</v>
      </c>
      <c r="N12" s="135" t="s">
        <v>100</v>
      </c>
      <c r="O12" s="135" t="s">
        <v>718</v>
      </c>
      <c r="P12" s="135" t="s">
        <v>719</v>
      </c>
      <c r="Q12" s="135" t="s">
        <v>200</v>
      </c>
    </row>
    <row r="13" spans="1:17">
      <c r="A13" s="237">
        <v>26</v>
      </c>
      <c r="B13" s="236" t="s">
        <v>13</v>
      </c>
      <c r="C13" s="261" t="s">
        <v>11</v>
      </c>
      <c r="D13" s="296" t="s">
        <v>12</v>
      </c>
      <c r="E13" s="575">
        <v>309.27718090866341</v>
      </c>
      <c r="F13" s="575">
        <v>59.948567748441292</v>
      </c>
      <c r="G13" s="575">
        <v>1.0072507245983728</v>
      </c>
      <c r="H13" s="575">
        <v>58.941317023842927</v>
      </c>
      <c r="I13" s="575">
        <v>0</v>
      </c>
      <c r="J13" s="575">
        <v>0</v>
      </c>
      <c r="K13" s="575">
        <v>0</v>
      </c>
      <c r="L13" s="575">
        <v>0</v>
      </c>
      <c r="M13" s="575">
        <v>249.32861316022215</v>
      </c>
      <c r="N13" s="575">
        <v>167.38698912569288</v>
      </c>
      <c r="O13" s="575">
        <v>1.0072507245983728</v>
      </c>
      <c r="P13" s="575">
        <v>58.941317023842927</v>
      </c>
      <c r="Q13" s="575">
        <v>157.03371818499997</v>
      </c>
    </row>
    <row r="14" spans="1:17" ht="27.6">
      <c r="A14" s="237">
        <v>26</v>
      </c>
      <c r="B14" s="236" t="s">
        <v>243</v>
      </c>
      <c r="C14" s="261" t="s">
        <v>11</v>
      </c>
      <c r="D14" s="576"/>
      <c r="E14" s="128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</row>
    <row r="15" spans="1:17">
      <c r="A15" s="237">
        <v>26</v>
      </c>
      <c r="B15" s="236" t="s">
        <v>234</v>
      </c>
      <c r="C15" s="261" t="s">
        <v>11</v>
      </c>
      <c r="D15" s="297" t="s">
        <v>14</v>
      </c>
      <c r="E15" s="575">
        <v>0</v>
      </c>
      <c r="F15" s="575">
        <v>0</v>
      </c>
      <c r="G15" s="575">
        <v>0</v>
      </c>
      <c r="H15" s="575">
        <v>0</v>
      </c>
      <c r="I15" s="575">
        <v>0</v>
      </c>
      <c r="J15" s="575">
        <v>0</v>
      </c>
      <c r="K15" s="575">
        <v>0</v>
      </c>
      <c r="L15" s="575">
        <v>0</v>
      </c>
      <c r="M15" s="575">
        <v>0</v>
      </c>
      <c r="N15" s="575">
        <v>0</v>
      </c>
      <c r="O15" s="575">
        <v>0</v>
      </c>
      <c r="P15" s="575">
        <v>0</v>
      </c>
      <c r="Q15" s="575">
        <v>0</v>
      </c>
    </row>
    <row r="16" spans="1:17">
      <c r="A16" s="237">
        <v>26</v>
      </c>
      <c r="B16" s="236" t="s">
        <v>58</v>
      </c>
      <c r="C16" s="261" t="s">
        <v>11</v>
      </c>
      <c r="D16" s="297" t="s">
        <v>15</v>
      </c>
      <c r="E16" s="575">
        <v>151.72497633646165</v>
      </c>
      <c r="F16" s="575">
        <v>30.572350056461634</v>
      </c>
      <c r="G16" s="575">
        <v>0.67842125031325795</v>
      </c>
      <c r="H16" s="575">
        <v>29.893928806148377</v>
      </c>
      <c r="I16" s="575">
        <v>0</v>
      </c>
      <c r="J16" s="575">
        <v>0</v>
      </c>
      <c r="K16" s="575">
        <v>0</v>
      </c>
      <c r="L16" s="575">
        <v>0</v>
      </c>
      <c r="M16" s="575">
        <v>121.15262627999999</v>
      </c>
      <c r="N16" s="575">
        <v>79.754091360531177</v>
      </c>
      <c r="O16" s="575">
        <v>0.67842125031325795</v>
      </c>
      <c r="P16" s="575">
        <v>29.893928806148377</v>
      </c>
      <c r="Q16" s="575">
        <v>74.47136743999998</v>
      </c>
    </row>
    <row r="17" spans="1:17">
      <c r="A17" s="237">
        <v>26</v>
      </c>
      <c r="B17" s="236" t="s">
        <v>17</v>
      </c>
      <c r="C17" s="261" t="s">
        <v>11</v>
      </c>
      <c r="D17" s="259" t="s">
        <v>101</v>
      </c>
      <c r="E17" s="575">
        <v>32.976056365020298</v>
      </c>
      <c r="F17" s="575">
        <v>4.8963496550203027</v>
      </c>
      <c r="G17" s="575">
        <v>0.26739982745921298</v>
      </c>
      <c r="H17" s="575">
        <v>4.6289498275610894</v>
      </c>
      <c r="I17" s="575">
        <v>0</v>
      </c>
      <c r="J17" s="575">
        <v>0</v>
      </c>
      <c r="K17" s="575">
        <v>0</v>
      </c>
      <c r="L17" s="575">
        <v>0</v>
      </c>
      <c r="M17" s="575">
        <v>28.079706709999996</v>
      </c>
      <c r="N17" s="575">
        <v>18.692748825546204</v>
      </c>
      <c r="O17" s="575">
        <v>0.26739982745921298</v>
      </c>
      <c r="P17" s="575">
        <v>4.6289498275610894</v>
      </c>
      <c r="Q17" s="575">
        <v>18.207580859999979</v>
      </c>
    </row>
    <row r="18" spans="1:17">
      <c r="A18" s="237">
        <v>26</v>
      </c>
      <c r="B18" s="236" t="s">
        <v>18</v>
      </c>
      <c r="C18" s="261" t="s">
        <v>11</v>
      </c>
      <c r="D18" s="259" t="s">
        <v>102</v>
      </c>
      <c r="E18" s="575">
        <v>0.19032484</v>
      </c>
      <c r="F18" s="575">
        <v>0</v>
      </c>
      <c r="G18" s="575">
        <v>0</v>
      </c>
      <c r="H18" s="575">
        <v>0</v>
      </c>
      <c r="I18" s="575">
        <v>0</v>
      </c>
      <c r="J18" s="575">
        <v>0</v>
      </c>
      <c r="K18" s="575">
        <v>0</v>
      </c>
      <c r="L18" s="575">
        <v>0</v>
      </c>
      <c r="M18" s="575">
        <v>0.19032484</v>
      </c>
      <c r="N18" s="575">
        <v>0.11510455999999999</v>
      </c>
      <c r="O18" s="575">
        <v>0</v>
      </c>
      <c r="P18" s="575">
        <v>0</v>
      </c>
      <c r="Q18" s="575">
        <v>0.11510455999999999</v>
      </c>
    </row>
    <row r="19" spans="1:17">
      <c r="A19" s="237">
        <v>26</v>
      </c>
      <c r="B19" s="236" t="s">
        <v>19</v>
      </c>
      <c r="C19" s="261" t="s">
        <v>11</v>
      </c>
      <c r="D19" s="259" t="s">
        <v>103</v>
      </c>
      <c r="E19" s="575">
        <v>22.785662421823837</v>
      </c>
      <c r="F19" s="575">
        <v>2.0429218418238371</v>
      </c>
      <c r="G19" s="575">
        <v>7.2870571202928003E-2</v>
      </c>
      <c r="H19" s="575">
        <v>1.970051270620909</v>
      </c>
      <c r="I19" s="575">
        <v>0</v>
      </c>
      <c r="J19" s="575">
        <v>0</v>
      </c>
      <c r="K19" s="575">
        <v>0</v>
      </c>
      <c r="L19" s="575">
        <v>0</v>
      </c>
      <c r="M19" s="575">
        <v>20.742740580000003</v>
      </c>
      <c r="N19" s="575">
        <v>14.062391786667497</v>
      </c>
      <c r="O19" s="575">
        <v>7.2870571202928003E-2</v>
      </c>
      <c r="P19" s="575">
        <v>1.970051270620909</v>
      </c>
      <c r="Q19" s="575">
        <v>13.461747540000001</v>
      </c>
    </row>
    <row r="20" spans="1:17">
      <c r="A20" s="237">
        <v>26</v>
      </c>
      <c r="B20" s="236" t="s">
        <v>77</v>
      </c>
      <c r="C20" s="261" t="s">
        <v>11</v>
      </c>
      <c r="D20" s="259" t="s">
        <v>20</v>
      </c>
      <c r="E20" s="575">
        <v>41.07391970528878</v>
      </c>
      <c r="F20" s="575">
        <v>15.467131295288779</v>
      </c>
      <c r="G20" s="575">
        <v>0.25233589024881797</v>
      </c>
      <c r="H20" s="575">
        <v>15.214795405039961</v>
      </c>
      <c r="I20" s="575">
        <v>0</v>
      </c>
      <c r="J20" s="575">
        <v>0</v>
      </c>
      <c r="K20" s="575">
        <v>0</v>
      </c>
      <c r="L20" s="575">
        <v>0</v>
      </c>
      <c r="M20" s="575">
        <v>25.60678841</v>
      </c>
      <c r="N20" s="575">
        <v>20.944999448609277</v>
      </c>
      <c r="O20" s="575">
        <v>0.25233589024881797</v>
      </c>
      <c r="P20" s="575">
        <v>15.214795405039961</v>
      </c>
      <c r="Q20" s="575">
        <v>17.221854350000001</v>
      </c>
    </row>
    <row r="21" spans="1:17">
      <c r="A21" s="237">
        <v>26</v>
      </c>
      <c r="B21" s="236" t="s">
        <v>78</v>
      </c>
      <c r="C21" s="261" t="s">
        <v>11</v>
      </c>
      <c r="D21" s="259" t="s">
        <v>21</v>
      </c>
      <c r="E21" s="575">
        <v>11.033671824040161</v>
      </c>
      <c r="F21" s="575">
        <v>0.57109071404015999</v>
      </c>
      <c r="G21" s="575">
        <v>0</v>
      </c>
      <c r="H21" s="575">
        <v>0.57109071404015999</v>
      </c>
      <c r="I21" s="575">
        <v>0</v>
      </c>
      <c r="J21" s="575">
        <v>0</v>
      </c>
      <c r="K21" s="575">
        <v>0</v>
      </c>
      <c r="L21" s="575">
        <v>0</v>
      </c>
      <c r="M21" s="575">
        <v>10.46258111</v>
      </c>
      <c r="N21" s="575">
        <v>6.8681671692801096</v>
      </c>
      <c r="O21" s="575">
        <v>0</v>
      </c>
      <c r="P21" s="575">
        <v>0.57109071404015999</v>
      </c>
      <c r="Q21" s="575">
        <v>6.4894731600000002</v>
      </c>
    </row>
    <row r="22" spans="1:17">
      <c r="A22" s="237">
        <v>26</v>
      </c>
      <c r="B22" s="236" t="s">
        <v>393</v>
      </c>
      <c r="C22" s="261">
        <v>26</v>
      </c>
      <c r="D22" s="259" t="s">
        <v>393</v>
      </c>
      <c r="E22" s="575">
        <v>3.3687530395614051</v>
      </c>
      <c r="F22" s="575">
        <v>1.7270829561405E-2</v>
      </c>
      <c r="G22" s="575">
        <v>0</v>
      </c>
      <c r="H22" s="575">
        <v>1.7270829561405E-2</v>
      </c>
      <c r="I22" s="575">
        <v>0</v>
      </c>
      <c r="J22" s="575">
        <v>0</v>
      </c>
      <c r="K22" s="575">
        <v>0</v>
      </c>
      <c r="L22" s="575">
        <v>0</v>
      </c>
      <c r="M22" s="575">
        <v>3.3514822099999999</v>
      </c>
      <c r="N22" s="575">
        <v>1.6430855690257928</v>
      </c>
      <c r="O22" s="575">
        <v>0</v>
      </c>
      <c r="P22" s="575">
        <v>1.7270829561405E-2</v>
      </c>
      <c r="Q22" s="575">
        <v>1.6338279299999998</v>
      </c>
    </row>
    <row r="23" spans="1:17">
      <c r="A23" s="237">
        <v>26</v>
      </c>
      <c r="B23" s="236" t="s">
        <v>80</v>
      </c>
      <c r="C23" s="261" t="s">
        <v>11</v>
      </c>
      <c r="D23" s="259" t="s">
        <v>80</v>
      </c>
      <c r="E23" s="575">
        <v>5.3615873900000004</v>
      </c>
      <c r="F23" s="575">
        <v>0</v>
      </c>
      <c r="G23" s="575">
        <v>0</v>
      </c>
      <c r="H23" s="575">
        <v>0</v>
      </c>
      <c r="I23" s="575">
        <v>0</v>
      </c>
      <c r="J23" s="575">
        <v>0</v>
      </c>
      <c r="K23" s="575">
        <v>0</v>
      </c>
      <c r="L23" s="575">
        <v>0</v>
      </c>
      <c r="M23" s="575">
        <v>5.3615873900000004</v>
      </c>
      <c r="N23" s="575">
        <v>5.314975999999999E-2</v>
      </c>
      <c r="O23" s="575">
        <v>0</v>
      </c>
      <c r="P23" s="575">
        <v>0</v>
      </c>
      <c r="Q23" s="575">
        <v>5.314975999999999E-2</v>
      </c>
    </row>
    <row r="24" spans="1:17">
      <c r="A24" s="237">
        <v>26</v>
      </c>
      <c r="B24" s="236" t="s">
        <v>104</v>
      </c>
      <c r="C24" s="261" t="s">
        <v>11</v>
      </c>
      <c r="D24" s="261" t="s">
        <v>405</v>
      </c>
      <c r="E24" s="575">
        <v>7.6261037815002597</v>
      </c>
      <c r="F24" s="575">
        <v>1.46603399150026</v>
      </c>
      <c r="G24" s="575">
        <v>0</v>
      </c>
      <c r="H24" s="575">
        <v>1.46603399150026</v>
      </c>
      <c r="I24" s="575">
        <v>0</v>
      </c>
      <c r="J24" s="575">
        <v>0</v>
      </c>
      <c r="K24" s="575">
        <v>0</v>
      </c>
      <c r="L24" s="575">
        <v>0</v>
      </c>
      <c r="M24" s="575">
        <v>6.1600697899999997</v>
      </c>
      <c r="N24" s="575">
        <v>3.7271459500000002</v>
      </c>
      <c r="O24" s="575">
        <v>0</v>
      </c>
      <c r="P24" s="575">
        <v>1.46603399150026</v>
      </c>
      <c r="Q24" s="575">
        <v>3.7271459500000002</v>
      </c>
    </row>
    <row r="25" spans="1:17">
      <c r="A25" s="237">
        <v>26</v>
      </c>
      <c r="B25" s="236" t="s">
        <v>105</v>
      </c>
      <c r="C25" s="261" t="s">
        <v>11</v>
      </c>
      <c r="D25" s="260" t="s">
        <v>25</v>
      </c>
      <c r="E25" s="575">
        <v>27.30889696922689</v>
      </c>
      <c r="F25" s="575">
        <v>6.1115517292268891</v>
      </c>
      <c r="G25" s="575">
        <v>8.5814961402298995E-2</v>
      </c>
      <c r="H25" s="575">
        <v>6.0257367678245899</v>
      </c>
      <c r="I25" s="575">
        <v>0</v>
      </c>
      <c r="J25" s="575">
        <v>0</v>
      </c>
      <c r="K25" s="575">
        <v>0</v>
      </c>
      <c r="L25" s="575">
        <v>0</v>
      </c>
      <c r="M25" s="575">
        <v>21.197345240000001</v>
      </c>
      <c r="N25" s="575">
        <v>13.647298291402301</v>
      </c>
      <c r="O25" s="575">
        <v>8.5814961402298995E-2</v>
      </c>
      <c r="P25" s="575">
        <v>6.0257367678245899</v>
      </c>
      <c r="Q25" s="575">
        <v>13.561483330000002</v>
      </c>
    </row>
    <row r="26" spans="1:17">
      <c r="A26" s="237">
        <v>26</v>
      </c>
      <c r="B26" s="236" t="s">
        <v>26</v>
      </c>
      <c r="C26" s="261" t="s">
        <v>11</v>
      </c>
      <c r="D26" s="297" t="s">
        <v>26</v>
      </c>
      <c r="E26" s="575">
        <v>105.07990296369702</v>
      </c>
      <c r="F26" s="575">
        <v>19.08121857347486</v>
      </c>
      <c r="G26" s="575">
        <v>-5.0332490000000001E-2</v>
      </c>
      <c r="H26" s="575">
        <v>19.131551063474859</v>
      </c>
      <c r="I26" s="575">
        <v>0</v>
      </c>
      <c r="J26" s="575">
        <v>0</v>
      </c>
      <c r="K26" s="575">
        <v>0</v>
      </c>
      <c r="L26" s="575">
        <v>0</v>
      </c>
      <c r="M26" s="575">
        <v>85.998684390222152</v>
      </c>
      <c r="N26" s="575">
        <v>57.713240159602712</v>
      </c>
      <c r="O26" s="575">
        <v>-5.0332490000000001E-2</v>
      </c>
      <c r="P26" s="575">
        <v>19.131551063474859</v>
      </c>
      <c r="Q26" s="575">
        <v>54.808855150000014</v>
      </c>
    </row>
    <row r="27" spans="1:17">
      <c r="A27" s="237">
        <v>26</v>
      </c>
      <c r="B27" s="236" t="s">
        <v>235</v>
      </c>
      <c r="C27" s="261" t="s">
        <v>11</v>
      </c>
      <c r="D27" s="260" t="s">
        <v>28</v>
      </c>
      <c r="E27" s="575">
        <v>34.631397542459027</v>
      </c>
      <c r="F27" s="575">
        <v>15.687453887125729</v>
      </c>
      <c r="G27" s="575">
        <v>0</v>
      </c>
      <c r="H27" s="575">
        <v>15.687453887125729</v>
      </c>
      <c r="I27" s="575">
        <v>0</v>
      </c>
      <c r="J27" s="575">
        <v>0</v>
      </c>
      <c r="K27" s="575">
        <v>0</v>
      </c>
      <c r="L27" s="575">
        <v>0</v>
      </c>
      <c r="M27" s="575">
        <v>18.943943655333296</v>
      </c>
      <c r="N27" s="575">
        <v>14.413503481976928</v>
      </c>
      <c r="O27" s="575">
        <v>0</v>
      </c>
      <c r="P27" s="575">
        <v>15.687453887125729</v>
      </c>
      <c r="Q27" s="575">
        <v>12.199730019999997</v>
      </c>
    </row>
    <row r="28" spans="1:17">
      <c r="A28" s="237">
        <v>26</v>
      </c>
      <c r="B28" s="236" t="s">
        <v>106</v>
      </c>
      <c r="C28" s="261" t="s">
        <v>11</v>
      </c>
      <c r="D28" s="260" t="s">
        <v>27</v>
      </c>
      <c r="E28" s="575">
        <v>13.407841760402077</v>
      </c>
      <c r="F28" s="575">
        <v>5.6384898513174998E-2</v>
      </c>
      <c r="G28" s="575">
        <v>0</v>
      </c>
      <c r="H28" s="575">
        <v>5.6384898513174998E-2</v>
      </c>
      <c r="I28" s="575">
        <v>0</v>
      </c>
      <c r="J28" s="575">
        <v>0</v>
      </c>
      <c r="K28" s="575">
        <v>0</v>
      </c>
      <c r="L28" s="575">
        <v>0</v>
      </c>
      <c r="M28" s="575">
        <v>13.3514568618889</v>
      </c>
      <c r="N28" s="575">
        <v>8.3558262054856929</v>
      </c>
      <c r="O28" s="575">
        <v>0</v>
      </c>
      <c r="P28" s="575">
        <v>5.6384898513174998E-2</v>
      </c>
      <c r="Q28" s="575">
        <v>8.3536297000000008</v>
      </c>
    </row>
    <row r="29" spans="1:17">
      <c r="A29" s="237">
        <v>26</v>
      </c>
      <c r="B29" s="236" t="s">
        <v>87</v>
      </c>
      <c r="C29" s="261" t="s">
        <v>11</v>
      </c>
      <c r="D29" s="260" t="s">
        <v>30</v>
      </c>
      <c r="E29" s="575">
        <v>10.832004140700972</v>
      </c>
      <c r="F29" s="575">
        <v>0.35117192425656402</v>
      </c>
      <c r="G29" s="575">
        <v>0</v>
      </c>
      <c r="H29" s="575">
        <v>0.35117192425656402</v>
      </c>
      <c r="I29" s="575">
        <v>0</v>
      </c>
      <c r="J29" s="575">
        <v>0</v>
      </c>
      <c r="K29" s="575">
        <v>0</v>
      </c>
      <c r="L29" s="575">
        <v>0</v>
      </c>
      <c r="M29" s="575">
        <v>10.480832216444409</v>
      </c>
      <c r="N29" s="575">
        <v>7.0340941928938454</v>
      </c>
      <c r="O29" s="575">
        <v>0</v>
      </c>
      <c r="P29" s="575">
        <v>0.35117192425656402</v>
      </c>
      <c r="Q29" s="575">
        <v>7.0332502100000038</v>
      </c>
    </row>
    <row r="30" spans="1:17">
      <c r="A30" s="237">
        <v>26</v>
      </c>
      <c r="B30" s="236" t="s">
        <v>107</v>
      </c>
      <c r="C30" s="261" t="s">
        <v>11</v>
      </c>
      <c r="D30" s="260" t="s">
        <v>29</v>
      </c>
      <c r="E30" s="575">
        <v>8.1486804326427436</v>
      </c>
      <c r="F30" s="575">
        <v>9.9696647531632002E-2</v>
      </c>
      <c r="G30" s="575">
        <v>6.4847200000000002E-3</v>
      </c>
      <c r="H30" s="575">
        <v>9.3211927531632002E-2</v>
      </c>
      <c r="I30" s="575">
        <v>0</v>
      </c>
      <c r="J30" s="575">
        <v>0</v>
      </c>
      <c r="K30" s="575">
        <v>0</v>
      </c>
      <c r="L30" s="575">
        <v>0</v>
      </c>
      <c r="M30" s="575">
        <v>8.0489837851111119</v>
      </c>
      <c r="N30" s="575">
        <v>5.1736806</v>
      </c>
      <c r="O30" s="575">
        <v>6.4847200000000002E-3</v>
      </c>
      <c r="P30" s="575">
        <v>9.3211927531632002E-2</v>
      </c>
      <c r="Q30" s="575">
        <v>5.1671958800000004</v>
      </c>
    </row>
    <row r="31" spans="1:17">
      <c r="A31" s="237">
        <v>26</v>
      </c>
      <c r="B31" s="236" t="s">
        <v>236</v>
      </c>
      <c r="C31" s="261" t="s">
        <v>11</v>
      </c>
      <c r="D31" s="260" t="s">
        <v>31</v>
      </c>
      <c r="E31" s="575">
        <v>9.7489062578510008</v>
      </c>
      <c r="F31" s="575">
        <v>0.177167021406548</v>
      </c>
      <c r="G31" s="575">
        <v>0</v>
      </c>
      <c r="H31" s="575">
        <v>0.177167021406548</v>
      </c>
      <c r="I31" s="575">
        <v>0</v>
      </c>
      <c r="J31" s="575">
        <v>0</v>
      </c>
      <c r="K31" s="575">
        <v>0</v>
      </c>
      <c r="L31" s="575">
        <v>0</v>
      </c>
      <c r="M31" s="575">
        <v>9.5717392364444525</v>
      </c>
      <c r="N31" s="575">
        <v>6.0049167358905571</v>
      </c>
      <c r="O31" s="575">
        <v>0</v>
      </c>
      <c r="P31" s="575">
        <v>0.177167021406548</v>
      </c>
      <c r="Q31" s="575">
        <v>5.9882873700000001</v>
      </c>
    </row>
    <row r="32" spans="1:17">
      <c r="A32" s="237">
        <v>26</v>
      </c>
      <c r="B32" s="236" t="s">
        <v>237</v>
      </c>
      <c r="C32" s="261" t="s">
        <v>11</v>
      </c>
      <c r="D32" s="260" t="s">
        <v>394</v>
      </c>
      <c r="E32" s="575">
        <v>19.198120645370057</v>
      </c>
      <c r="F32" s="575">
        <v>1.784268332481155</v>
      </c>
      <c r="G32" s="575">
        <v>1.8623000000000001E-4</v>
      </c>
      <c r="H32" s="575">
        <v>1.7840821024811551</v>
      </c>
      <c r="I32" s="575">
        <v>0</v>
      </c>
      <c r="J32" s="575">
        <v>0</v>
      </c>
      <c r="K32" s="575">
        <v>0</v>
      </c>
      <c r="L32" s="575">
        <v>0</v>
      </c>
      <c r="M32" s="575">
        <v>17.413852312888903</v>
      </c>
      <c r="N32" s="575">
        <v>11.457492180821854</v>
      </c>
      <c r="O32" s="575">
        <v>1.8623000000000001E-4</v>
      </c>
      <c r="P32" s="575">
        <v>1.7840821024811551</v>
      </c>
      <c r="Q32" s="575">
        <v>11.029986029999998</v>
      </c>
    </row>
    <row r="33" spans="1:17">
      <c r="A33" s="237">
        <v>26</v>
      </c>
      <c r="B33" s="236" t="s">
        <v>163</v>
      </c>
      <c r="C33" s="261" t="s">
        <v>11</v>
      </c>
      <c r="D33" s="260" t="s">
        <v>403</v>
      </c>
      <c r="E33" s="575">
        <v>8.3229521842711751</v>
      </c>
      <c r="F33" s="575">
        <v>0.92507586216005588</v>
      </c>
      <c r="G33" s="575">
        <v>-5.7003440000000002E-2</v>
      </c>
      <c r="H33" s="575">
        <v>0.98207930216005601</v>
      </c>
      <c r="I33" s="575">
        <v>0</v>
      </c>
      <c r="J33" s="575">
        <v>0</v>
      </c>
      <c r="K33" s="575">
        <v>0</v>
      </c>
      <c r="L33" s="575">
        <v>0</v>
      </c>
      <c r="M33" s="575">
        <v>7.3978763221111201</v>
      </c>
      <c r="N33" s="575">
        <v>5.2737267625338298</v>
      </c>
      <c r="O33" s="575">
        <v>-5.7003440000000002E-2</v>
      </c>
      <c r="P33" s="575">
        <v>0.98207930216005601</v>
      </c>
      <c r="Q33" s="575">
        <v>5.0367759400000072</v>
      </c>
    </row>
    <row r="34" spans="1:17">
      <c r="A34" s="237">
        <v>26</v>
      </c>
      <c r="B34" s="236" t="s">
        <v>404</v>
      </c>
      <c r="C34" s="261" t="s">
        <v>11</v>
      </c>
      <c r="D34" s="260" t="s">
        <v>395</v>
      </c>
      <c r="E34" s="575">
        <v>0.79</v>
      </c>
      <c r="F34" s="575">
        <v>0</v>
      </c>
      <c r="G34" s="575">
        <v>0</v>
      </c>
      <c r="H34" s="575">
        <v>0</v>
      </c>
      <c r="I34" s="575">
        <v>0</v>
      </c>
      <c r="J34" s="575">
        <v>0</v>
      </c>
      <c r="K34" s="575">
        <v>0</v>
      </c>
      <c r="L34" s="575">
        <v>0</v>
      </c>
      <c r="M34" s="575">
        <v>0.79</v>
      </c>
      <c r="N34" s="575">
        <v>0</v>
      </c>
      <c r="O34" s="575">
        <v>0</v>
      </c>
      <c r="P34" s="575">
        <v>0</v>
      </c>
      <c r="Q34" s="575">
        <v>0</v>
      </c>
    </row>
    <row r="35" spans="1:17">
      <c r="A35" s="237">
        <v>26</v>
      </c>
      <c r="B35" s="236" t="s">
        <v>59</v>
      </c>
      <c r="C35" s="261" t="s">
        <v>11</v>
      </c>
      <c r="D35" s="297" t="s">
        <v>33</v>
      </c>
      <c r="E35" s="575">
        <v>32.310171536243274</v>
      </c>
      <c r="F35" s="575">
        <v>4.6391715362432757</v>
      </c>
      <c r="G35" s="575">
        <v>0.31194496428511498</v>
      </c>
      <c r="H35" s="575">
        <v>4.3272265719581604</v>
      </c>
      <c r="I35" s="575">
        <v>0</v>
      </c>
      <c r="J35" s="575">
        <v>0</v>
      </c>
      <c r="K35" s="575">
        <v>0</v>
      </c>
      <c r="L35" s="575">
        <v>0</v>
      </c>
      <c r="M35" s="575">
        <v>27.671000000000003</v>
      </c>
      <c r="N35" s="575">
        <v>18.999944964285113</v>
      </c>
      <c r="O35" s="575">
        <v>0.31194496428511498</v>
      </c>
      <c r="P35" s="575">
        <v>4.3272265719581604</v>
      </c>
      <c r="Q35" s="575">
        <v>18.688000000000002</v>
      </c>
    </row>
    <row r="36" spans="1:17">
      <c r="A36" s="237">
        <v>26</v>
      </c>
      <c r="B36" s="236" t="s">
        <v>34</v>
      </c>
      <c r="C36" s="261" t="s">
        <v>11</v>
      </c>
      <c r="D36" s="297" t="s">
        <v>34</v>
      </c>
      <c r="E36" s="575">
        <v>20.162130072261515</v>
      </c>
      <c r="F36" s="575">
        <v>5.6558275822615309</v>
      </c>
      <c r="G36" s="575">
        <v>6.7216999999999999E-2</v>
      </c>
      <c r="H36" s="575">
        <v>5.5886105822615306</v>
      </c>
      <c r="I36" s="575">
        <v>0</v>
      </c>
      <c r="J36" s="575">
        <v>0</v>
      </c>
      <c r="K36" s="575">
        <v>0</v>
      </c>
      <c r="L36" s="575">
        <v>0</v>
      </c>
      <c r="M36" s="575">
        <v>14.506302489999991</v>
      </c>
      <c r="N36" s="575">
        <v>10.919712641273859</v>
      </c>
      <c r="O36" s="575">
        <v>6.7216999999999999E-2</v>
      </c>
      <c r="P36" s="575">
        <v>5.5886105822615306</v>
      </c>
      <c r="Q36" s="575">
        <v>9.0654955949999962</v>
      </c>
    </row>
    <row r="37" spans="1:17">
      <c r="A37" s="237">
        <v>26</v>
      </c>
      <c r="B37" s="236" t="s">
        <v>399</v>
      </c>
      <c r="C37" s="261" t="s">
        <v>11</v>
      </c>
      <c r="D37" s="260" t="s">
        <v>296</v>
      </c>
      <c r="E37" s="575">
        <v>4.8118491227131752</v>
      </c>
      <c r="F37" s="575">
        <v>0.42152157771318</v>
      </c>
      <c r="G37" s="575">
        <v>4.5393300000000003E-3</v>
      </c>
      <c r="H37" s="575">
        <v>0.41698224771317999</v>
      </c>
      <c r="I37" s="575">
        <v>0</v>
      </c>
      <c r="J37" s="575">
        <v>0</v>
      </c>
      <c r="K37" s="575">
        <v>0</v>
      </c>
      <c r="L37" s="575">
        <v>0</v>
      </c>
      <c r="M37" s="575">
        <v>4.3903275449999954</v>
      </c>
      <c r="N37" s="575">
        <v>2.8112273899999951</v>
      </c>
      <c r="O37" s="575">
        <v>4.5393300000000003E-3</v>
      </c>
      <c r="P37" s="575">
        <v>0.41698224771317999</v>
      </c>
      <c r="Q37" s="575">
        <v>2.806688059999995</v>
      </c>
    </row>
    <row r="38" spans="1:17" ht="27.6">
      <c r="A38" s="237">
        <v>26</v>
      </c>
      <c r="B38" s="236" t="s">
        <v>400</v>
      </c>
      <c r="C38" s="261" t="s">
        <v>11</v>
      </c>
      <c r="D38" s="260" t="s">
        <v>396</v>
      </c>
      <c r="E38" s="575">
        <v>7.4880918056461834</v>
      </c>
      <c r="F38" s="575">
        <v>3.6338327306461897</v>
      </c>
      <c r="G38" s="575">
        <v>0</v>
      </c>
      <c r="H38" s="575">
        <v>3.6338327306461897</v>
      </c>
      <c r="I38" s="575">
        <v>0</v>
      </c>
      <c r="J38" s="575">
        <v>0</v>
      </c>
      <c r="K38" s="575">
        <v>0</v>
      </c>
      <c r="L38" s="575">
        <v>0</v>
      </c>
      <c r="M38" s="575">
        <v>3.8542590749999932</v>
      </c>
      <c r="N38" s="575">
        <v>3.7546582311752759</v>
      </c>
      <c r="O38" s="575">
        <v>0</v>
      </c>
      <c r="P38" s="575">
        <v>3.6338327306461897</v>
      </c>
      <c r="Q38" s="575">
        <v>2.158471364999996</v>
      </c>
    </row>
    <row r="39" spans="1:17">
      <c r="A39" s="237">
        <v>26</v>
      </c>
      <c r="B39" s="236" t="s">
        <v>401</v>
      </c>
      <c r="C39" s="261" t="s">
        <v>11</v>
      </c>
      <c r="D39" s="260" t="s">
        <v>397</v>
      </c>
      <c r="E39" s="575">
        <v>0.28999999999999998</v>
      </c>
      <c r="F39" s="575">
        <v>0</v>
      </c>
      <c r="G39" s="575">
        <v>0</v>
      </c>
      <c r="H39" s="575">
        <v>0</v>
      </c>
      <c r="I39" s="575">
        <v>0</v>
      </c>
      <c r="J39" s="575">
        <v>0</v>
      </c>
      <c r="K39" s="575">
        <v>0</v>
      </c>
      <c r="L39" s="575">
        <v>0</v>
      </c>
      <c r="M39" s="575">
        <v>0.28999999999999998</v>
      </c>
      <c r="N39" s="575">
        <v>0.19178144</v>
      </c>
      <c r="O39" s="575">
        <v>0</v>
      </c>
      <c r="P39" s="575">
        <v>0</v>
      </c>
      <c r="Q39" s="575">
        <v>0.19178144</v>
      </c>
    </row>
    <row r="40" spans="1:17">
      <c r="A40" s="237">
        <v>26</v>
      </c>
      <c r="B40" s="236" t="s">
        <v>93</v>
      </c>
      <c r="C40" s="261" t="s">
        <v>11</v>
      </c>
      <c r="D40" s="260" t="s">
        <v>35</v>
      </c>
      <c r="E40" s="575">
        <v>0.94768058828163704</v>
      </c>
      <c r="F40" s="575">
        <v>6.7319353281637004E-2</v>
      </c>
      <c r="G40" s="575">
        <v>6.2677670000000005E-2</v>
      </c>
      <c r="H40" s="575">
        <v>4.6416832816369999E-3</v>
      </c>
      <c r="I40" s="575">
        <v>0</v>
      </c>
      <c r="J40" s="575">
        <v>0</v>
      </c>
      <c r="K40" s="575">
        <v>0</v>
      </c>
      <c r="L40" s="575">
        <v>0</v>
      </c>
      <c r="M40" s="575">
        <v>0.88036123500000008</v>
      </c>
      <c r="N40" s="575">
        <v>0.59888419000000004</v>
      </c>
      <c r="O40" s="575">
        <v>6.2677670000000005E-2</v>
      </c>
      <c r="P40" s="575">
        <v>4.6416832816369999E-3</v>
      </c>
      <c r="Q40" s="575">
        <v>0.53620652000000002</v>
      </c>
    </row>
    <row r="41" spans="1:17">
      <c r="A41" s="237">
        <v>26</v>
      </c>
      <c r="B41" s="236" t="s">
        <v>238</v>
      </c>
      <c r="C41" s="261" t="s">
        <v>11</v>
      </c>
      <c r="D41" s="260" t="s">
        <v>36</v>
      </c>
      <c r="E41" s="575">
        <v>6.624508555620527</v>
      </c>
      <c r="F41" s="575">
        <v>1.533153920620524</v>
      </c>
      <c r="G41" s="575">
        <v>0</v>
      </c>
      <c r="H41" s="575">
        <v>1.533153920620524</v>
      </c>
      <c r="I41" s="575">
        <v>0</v>
      </c>
      <c r="J41" s="575">
        <v>0</v>
      </c>
      <c r="K41" s="575">
        <v>0</v>
      </c>
      <c r="L41" s="575">
        <v>0</v>
      </c>
      <c r="M41" s="575">
        <v>5.0913546350000027</v>
      </c>
      <c r="N41" s="575">
        <v>3.563161390098589</v>
      </c>
      <c r="O41" s="575">
        <v>0</v>
      </c>
      <c r="P41" s="575">
        <v>1.533153920620524</v>
      </c>
      <c r="Q41" s="575">
        <v>3.3723482100000046</v>
      </c>
    </row>
    <row r="42" spans="1:17">
      <c r="A42" s="237">
        <v>26</v>
      </c>
      <c r="B42" s="236" t="s">
        <v>419</v>
      </c>
      <c r="C42" s="261" t="s">
        <v>11</v>
      </c>
      <c r="D42" s="260" t="s">
        <v>398</v>
      </c>
      <c r="E42" s="575">
        <v>0</v>
      </c>
      <c r="F42" s="575">
        <v>0</v>
      </c>
      <c r="G42" s="575">
        <v>0</v>
      </c>
      <c r="H42" s="575">
        <v>0</v>
      </c>
      <c r="I42" s="575">
        <v>0</v>
      </c>
      <c r="J42" s="575">
        <v>0</v>
      </c>
      <c r="K42" s="575">
        <v>0</v>
      </c>
      <c r="L42" s="575">
        <v>0</v>
      </c>
      <c r="M42" s="575">
        <v>0</v>
      </c>
      <c r="N42" s="575">
        <v>0</v>
      </c>
      <c r="O42" s="575">
        <v>0</v>
      </c>
      <c r="P42" s="575">
        <v>0</v>
      </c>
      <c r="Q42" s="575">
        <v>0</v>
      </c>
    </row>
    <row r="43" spans="1:17">
      <c r="A43" s="237" t="s">
        <v>374</v>
      </c>
      <c r="B43" s="236" t="s">
        <v>374</v>
      </c>
      <c r="C43" s="576"/>
      <c r="D43" s="576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</row>
    <row r="44" spans="1:17">
      <c r="A44" s="237" t="s">
        <v>191</v>
      </c>
      <c r="B44" s="236" t="s">
        <v>13</v>
      </c>
      <c r="C44" s="261" t="s">
        <v>37</v>
      </c>
      <c r="D44" s="296" t="s">
        <v>12</v>
      </c>
      <c r="E44" s="575">
        <v>195.34302036561357</v>
      </c>
      <c r="F44" s="575">
        <v>73.101296043795358</v>
      </c>
      <c r="G44" s="575">
        <v>14.195779941798126</v>
      </c>
      <c r="H44" s="575">
        <v>58.905516101997222</v>
      </c>
      <c r="I44" s="575">
        <v>0</v>
      </c>
      <c r="J44" s="575">
        <v>0</v>
      </c>
      <c r="K44" s="575">
        <v>0</v>
      </c>
      <c r="L44" s="575">
        <v>0</v>
      </c>
      <c r="M44" s="575">
        <v>122.24172432181824</v>
      </c>
      <c r="N44" s="575">
        <v>112.68974317982017</v>
      </c>
      <c r="O44" s="575">
        <v>14.195779941798126</v>
      </c>
      <c r="P44" s="575">
        <v>58.905516101997222</v>
      </c>
      <c r="Q44" s="575">
        <v>80.375683254999998</v>
      </c>
    </row>
    <row r="45" spans="1:17" ht="27.6">
      <c r="A45" s="237" t="s">
        <v>191</v>
      </c>
      <c r="B45" s="236" t="s">
        <v>243</v>
      </c>
      <c r="C45" s="261" t="s">
        <v>37</v>
      </c>
      <c r="D45" s="576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</row>
    <row r="46" spans="1:17">
      <c r="A46" s="237" t="s">
        <v>191</v>
      </c>
      <c r="B46" s="236" t="s">
        <v>234</v>
      </c>
      <c r="C46" s="261" t="s">
        <v>37</v>
      </c>
      <c r="D46" s="297" t="s">
        <v>14</v>
      </c>
      <c r="E46" s="575">
        <v>0</v>
      </c>
      <c r="F46" s="575">
        <v>0</v>
      </c>
      <c r="G46" s="575">
        <v>0</v>
      </c>
      <c r="H46" s="575">
        <v>0</v>
      </c>
      <c r="I46" s="575">
        <v>0</v>
      </c>
      <c r="J46" s="575">
        <v>0</v>
      </c>
      <c r="K46" s="575">
        <v>0</v>
      </c>
      <c r="L46" s="575">
        <v>0</v>
      </c>
      <c r="M46" s="575">
        <v>0</v>
      </c>
      <c r="N46" s="575">
        <v>0</v>
      </c>
      <c r="O46" s="575">
        <v>0</v>
      </c>
      <c r="P46" s="575">
        <v>0</v>
      </c>
      <c r="Q46" s="575">
        <v>0</v>
      </c>
    </row>
    <row r="47" spans="1:17">
      <c r="A47" s="237" t="s">
        <v>191</v>
      </c>
      <c r="B47" s="236" t="s">
        <v>58</v>
      </c>
      <c r="C47" s="261" t="s">
        <v>37</v>
      </c>
      <c r="D47" s="297" t="s">
        <v>15</v>
      </c>
      <c r="E47" s="575">
        <v>91.782832669424977</v>
      </c>
      <c r="F47" s="575">
        <v>34.485316619424999</v>
      </c>
      <c r="G47" s="575">
        <v>4.3964095794847236</v>
      </c>
      <c r="H47" s="575">
        <v>30.088907039940274</v>
      </c>
      <c r="I47" s="575">
        <v>0</v>
      </c>
      <c r="J47" s="575">
        <v>0</v>
      </c>
      <c r="K47" s="575">
        <v>0</v>
      </c>
      <c r="L47" s="575">
        <v>0</v>
      </c>
      <c r="M47" s="575">
        <v>57.297516049999999</v>
      </c>
      <c r="N47" s="575">
        <v>56.566450499954378</v>
      </c>
      <c r="O47" s="575">
        <v>4.3964095794847236</v>
      </c>
      <c r="P47" s="575">
        <v>30.088907039940274</v>
      </c>
      <c r="Q47" s="575">
        <v>39.18056206</v>
      </c>
    </row>
    <row r="48" spans="1:17">
      <c r="A48" s="237" t="s">
        <v>191</v>
      </c>
      <c r="B48" s="236" t="s">
        <v>17</v>
      </c>
      <c r="C48" s="261" t="s">
        <v>37</v>
      </c>
      <c r="D48" s="259" t="s">
        <v>101</v>
      </c>
      <c r="E48" s="575">
        <v>11.034120504199327</v>
      </c>
      <c r="F48" s="575">
        <v>4.8541205041993267</v>
      </c>
      <c r="G48" s="575">
        <v>0.54786040710407202</v>
      </c>
      <c r="H48" s="575">
        <v>4.3062600970952545</v>
      </c>
      <c r="I48" s="575">
        <v>0</v>
      </c>
      <c r="J48" s="575">
        <v>0</v>
      </c>
      <c r="K48" s="575">
        <v>0</v>
      </c>
      <c r="L48" s="575">
        <v>0</v>
      </c>
      <c r="M48" s="575">
        <v>6.18</v>
      </c>
      <c r="N48" s="575">
        <v>8.5508149104348732</v>
      </c>
      <c r="O48" s="575">
        <v>0.54786040710407202</v>
      </c>
      <c r="P48" s="575">
        <v>4.3062600970952545</v>
      </c>
      <c r="Q48" s="575">
        <v>4.4641420099999998</v>
      </c>
    </row>
    <row r="49" spans="1:17">
      <c r="A49" s="237" t="s">
        <v>191</v>
      </c>
      <c r="B49" s="236" t="s">
        <v>18</v>
      </c>
      <c r="C49" s="261" t="s">
        <v>37</v>
      </c>
      <c r="D49" s="259" t="s">
        <v>102</v>
      </c>
      <c r="E49" s="575">
        <v>0.28000000000000003</v>
      </c>
      <c r="F49" s="575">
        <v>0</v>
      </c>
      <c r="G49" s="575">
        <v>0</v>
      </c>
      <c r="H49" s="575">
        <v>0</v>
      </c>
      <c r="I49" s="575">
        <v>0</v>
      </c>
      <c r="J49" s="575">
        <v>0</v>
      </c>
      <c r="K49" s="575">
        <v>0</v>
      </c>
      <c r="L49" s="575">
        <v>0</v>
      </c>
      <c r="M49" s="575">
        <v>0.28000000000000003</v>
      </c>
      <c r="N49" s="575">
        <v>0.19537824000000001</v>
      </c>
      <c r="O49" s="575">
        <v>0</v>
      </c>
      <c r="P49" s="575">
        <v>0</v>
      </c>
      <c r="Q49" s="575">
        <v>0.19537824000000001</v>
      </c>
    </row>
    <row r="50" spans="1:17">
      <c r="A50" s="237" t="s">
        <v>191</v>
      </c>
      <c r="B50" s="236" t="s">
        <v>19</v>
      </c>
      <c r="C50" s="261" t="s">
        <v>37</v>
      </c>
      <c r="D50" s="259" t="s">
        <v>103</v>
      </c>
      <c r="E50" s="575">
        <v>31.717447635626435</v>
      </c>
      <c r="F50" s="575">
        <v>12.25993158562644</v>
      </c>
      <c r="G50" s="575">
        <v>2.25910768419164</v>
      </c>
      <c r="H50" s="575">
        <v>10.000823901434799</v>
      </c>
      <c r="I50" s="575">
        <v>0</v>
      </c>
      <c r="J50" s="575">
        <v>0</v>
      </c>
      <c r="K50" s="575">
        <v>0</v>
      </c>
      <c r="L50" s="575">
        <v>0</v>
      </c>
      <c r="M50" s="575">
        <v>19.457516049999999</v>
      </c>
      <c r="N50" s="575">
        <v>18.808795241952449</v>
      </c>
      <c r="O50" s="575">
        <v>2.25910768419164</v>
      </c>
      <c r="P50" s="575">
        <v>10.000823901434799</v>
      </c>
      <c r="Q50" s="575">
        <v>13.180092070000001</v>
      </c>
    </row>
    <row r="51" spans="1:17">
      <c r="A51" s="237" t="s">
        <v>191</v>
      </c>
      <c r="B51" s="236" t="s">
        <v>77</v>
      </c>
      <c r="C51" s="261" t="s">
        <v>37</v>
      </c>
      <c r="D51" s="259" t="s">
        <v>20</v>
      </c>
      <c r="E51" s="575">
        <v>7.771937877359564</v>
      </c>
      <c r="F51" s="575">
        <v>3.7519378773595671</v>
      </c>
      <c r="G51" s="575">
        <v>0.17473042594138</v>
      </c>
      <c r="H51" s="575">
        <v>3.5772074514181869</v>
      </c>
      <c r="I51" s="575">
        <v>0</v>
      </c>
      <c r="J51" s="575">
        <v>0</v>
      </c>
      <c r="K51" s="575">
        <v>0</v>
      </c>
      <c r="L51" s="575">
        <v>0</v>
      </c>
      <c r="M51" s="575">
        <v>4.0199999999999969</v>
      </c>
      <c r="N51" s="575">
        <v>2.9852672619672869</v>
      </c>
      <c r="O51" s="575">
        <v>0.17473042594138</v>
      </c>
      <c r="P51" s="575">
        <v>3.5772074514181869</v>
      </c>
      <c r="Q51" s="575">
        <v>2.3087235400000004</v>
      </c>
    </row>
    <row r="52" spans="1:17">
      <c r="A52" s="237" t="s">
        <v>191</v>
      </c>
      <c r="B52" s="236" t="s">
        <v>78</v>
      </c>
      <c r="C52" s="261" t="s">
        <v>37</v>
      </c>
      <c r="D52" s="259" t="s">
        <v>21</v>
      </c>
      <c r="E52" s="575">
        <v>6.2858085348673773</v>
      </c>
      <c r="F52" s="575">
        <v>2.2558085348673771</v>
      </c>
      <c r="G52" s="575">
        <v>0.16254179194848301</v>
      </c>
      <c r="H52" s="575">
        <v>2.0932667429188943</v>
      </c>
      <c r="I52" s="575">
        <v>0</v>
      </c>
      <c r="J52" s="575">
        <v>0</v>
      </c>
      <c r="K52" s="575">
        <v>0</v>
      </c>
      <c r="L52" s="575">
        <v>0</v>
      </c>
      <c r="M52" s="575">
        <v>4.03</v>
      </c>
      <c r="N52" s="575">
        <v>3.2792414791432272</v>
      </c>
      <c r="O52" s="575">
        <v>0.16254179194848301</v>
      </c>
      <c r="P52" s="575">
        <v>2.0932667429188943</v>
      </c>
      <c r="Q52" s="575">
        <v>2.8884366400000001</v>
      </c>
    </row>
    <row r="53" spans="1:17">
      <c r="A53" s="237" t="s">
        <v>191</v>
      </c>
      <c r="B53" s="236" t="s">
        <v>393</v>
      </c>
      <c r="C53" s="261" t="s">
        <v>37</v>
      </c>
      <c r="D53" s="259" t="s">
        <v>393</v>
      </c>
      <c r="E53" s="575">
        <v>1.2977896685980679</v>
      </c>
      <c r="F53" s="575">
        <v>0.52778966859806797</v>
      </c>
      <c r="G53" s="575">
        <v>0.13147240739785901</v>
      </c>
      <c r="H53" s="575">
        <v>0.39631726120020899</v>
      </c>
      <c r="I53" s="575">
        <v>0</v>
      </c>
      <c r="J53" s="575">
        <v>0</v>
      </c>
      <c r="K53" s="575">
        <v>0</v>
      </c>
      <c r="L53" s="575">
        <v>0</v>
      </c>
      <c r="M53" s="575">
        <v>0.77</v>
      </c>
      <c r="N53" s="575">
        <v>0.57856285739785906</v>
      </c>
      <c r="O53" s="575">
        <v>0.13147240739785901</v>
      </c>
      <c r="P53" s="575">
        <v>0.39631726120020899</v>
      </c>
      <c r="Q53" s="575">
        <v>0.44709045000000003</v>
      </c>
    </row>
    <row r="54" spans="1:17">
      <c r="A54" s="237" t="s">
        <v>191</v>
      </c>
      <c r="B54" s="236" t="s">
        <v>80</v>
      </c>
      <c r="C54" s="261" t="s">
        <v>37</v>
      </c>
      <c r="D54" s="259" t="s">
        <v>80</v>
      </c>
      <c r="E54" s="575">
        <v>12.89</v>
      </c>
      <c r="F54" s="575">
        <v>0</v>
      </c>
      <c r="G54" s="575">
        <v>0</v>
      </c>
      <c r="H54" s="575">
        <v>0</v>
      </c>
      <c r="I54" s="575">
        <v>0</v>
      </c>
      <c r="J54" s="575">
        <v>0</v>
      </c>
      <c r="K54" s="575">
        <v>0</v>
      </c>
      <c r="L54" s="575">
        <v>0</v>
      </c>
      <c r="M54" s="575">
        <v>12.89</v>
      </c>
      <c r="N54" s="575">
        <v>9.3812095400000004</v>
      </c>
      <c r="O54" s="575">
        <v>0</v>
      </c>
      <c r="P54" s="575">
        <v>0</v>
      </c>
      <c r="Q54" s="575">
        <v>9.3812095400000004</v>
      </c>
    </row>
    <row r="55" spans="1:17">
      <c r="A55" s="237" t="s">
        <v>191</v>
      </c>
      <c r="B55" s="236" t="s">
        <v>104</v>
      </c>
      <c r="C55" s="261" t="s">
        <v>37</v>
      </c>
      <c r="D55" s="261" t="s">
        <v>405</v>
      </c>
      <c r="E55" s="575">
        <v>9.4096466242572063</v>
      </c>
      <c r="F55" s="575">
        <v>5.6196466242572063</v>
      </c>
      <c r="G55" s="575">
        <v>0.16417210645014199</v>
      </c>
      <c r="H55" s="575">
        <v>5.4554745178070645</v>
      </c>
      <c r="I55" s="575">
        <v>0</v>
      </c>
      <c r="J55" s="575">
        <v>0</v>
      </c>
      <c r="K55" s="575">
        <v>0</v>
      </c>
      <c r="L55" s="575">
        <v>0</v>
      </c>
      <c r="M55" s="575">
        <v>3.79</v>
      </c>
      <c r="N55" s="575">
        <v>7.3840677479812307</v>
      </c>
      <c r="O55" s="575">
        <v>0.16417210645014199</v>
      </c>
      <c r="P55" s="575">
        <v>5.4554745178070645</v>
      </c>
      <c r="Q55" s="575">
        <v>2.6329552600000001</v>
      </c>
    </row>
    <row r="56" spans="1:17">
      <c r="A56" s="237" t="s">
        <v>191</v>
      </c>
      <c r="B56" s="236" t="s">
        <v>105</v>
      </c>
      <c r="C56" s="261" t="s">
        <v>37</v>
      </c>
      <c r="D56" s="260" t="s">
        <v>25</v>
      </c>
      <c r="E56" s="575">
        <v>11.096081824517015</v>
      </c>
      <c r="F56" s="575">
        <v>5.2160818245170129</v>
      </c>
      <c r="G56" s="575">
        <v>0.95652475645114809</v>
      </c>
      <c r="H56" s="575">
        <v>4.259557068065865</v>
      </c>
      <c r="I56" s="575">
        <v>0</v>
      </c>
      <c r="J56" s="575">
        <v>0</v>
      </c>
      <c r="K56" s="575">
        <v>0</v>
      </c>
      <c r="L56" s="575">
        <v>0</v>
      </c>
      <c r="M56" s="575">
        <v>5.8800000000000008</v>
      </c>
      <c r="N56" s="575">
        <v>5.4031132210774633</v>
      </c>
      <c r="O56" s="575">
        <v>0.95652475645114809</v>
      </c>
      <c r="P56" s="575">
        <v>4.259557068065865</v>
      </c>
      <c r="Q56" s="575">
        <v>3.6825343100000003</v>
      </c>
    </row>
    <row r="57" spans="1:17">
      <c r="A57" s="237" t="s">
        <v>191</v>
      </c>
      <c r="B57" s="236" t="s">
        <v>26</v>
      </c>
      <c r="C57" s="261" t="s">
        <v>37</v>
      </c>
      <c r="D57" s="297" t="s">
        <v>26</v>
      </c>
      <c r="E57" s="575">
        <v>57.102217576169146</v>
      </c>
      <c r="F57" s="575">
        <v>20.177500914350965</v>
      </c>
      <c r="G57" s="575">
        <v>4.0815085434232916</v>
      </c>
      <c r="H57" s="575">
        <v>16.095992370927675</v>
      </c>
      <c r="I57" s="575">
        <v>0</v>
      </c>
      <c r="J57" s="575">
        <v>0</v>
      </c>
      <c r="K57" s="575">
        <v>0</v>
      </c>
      <c r="L57" s="575">
        <v>0</v>
      </c>
      <c r="M57" s="575">
        <v>36.924716661818188</v>
      </c>
      <c r="N57" s="575">
        <v>30.658953956618639</v>
      </c>
      <c r="O57" s="575">
        <v>4.0815085434232916</v>
      </c>
      <c r="P57" s="575">
        <v>16.095992370927675</v>
      </c>
      <c r="Q57" s="575">
        <v>23.168395044999997</v>
      </c>
    </row>
    <row r="58" spans="1:17">
      <c r="A58" s="237" t="s">
        <v>191</v>
      </c>
      <c r="B58" s="236" t="s">
        <v>235</v>
      </c>
      <c r="C58" s="261" t="s">
        <v>37</v>
      </c>
      <c r="D58" s="260" t="s">
        <v>28</v>
      </c>
      <c r="E58" s="575">
        <v>12.954353331320432</v>
      </c>
      <c r="F58" s="575">
        <v>4.305418749502242</v>
      </c>
      <c r="G58" s="575">
        <v>0.66368268448272194</v>
      </c>
      <c r="H58" s="575">
        <v>3.6417360650195203</v>
      </c>
      <c r="I58" s="575">
        <v>0</v>
      </c>
      <c r="J58" s="575">
        <v>0</v>
      </c>
      <c r="K58" s="575">
        <v>0</v>
      </c>
      <c r="L58" s="575">
        <v>0</v>
      </c>
      <c r="M58" s="575">
        <v>8.6489345818181906</v>
      </c>
      <c r="N58" s="575">
        <v>7.414754172380972</v>
      </c>
      <c r="O58" s="575">
        <v>0.66368268448272194</v>
      </c>
      <c r="P58" s="575">
        <v>3.6417360650195203</v>
      </c>
      <c r="Q58" s="575">
        <v>5.5321711049999998</v>
      </c>
    </row>
    <row r="59" spans="1:17">
      <c r="A59" s="237" t="s">
        <v>191</v>
      </c>
      <c r="B59" s="236" t="s">
        <v>106</v>
      </c>
      <c r="C59" s="261" t="s">
        <v>37</v>
      </c>
      <c r="D59" s="260" t="s">
        <v>27</v>
      </c>
      <c r="E59" s="575">
        <v>5.7011529868898867</v>
      </c>
      <c r="F59" s="575">
        <v>1.834421880526248</v>
      </c>
      <c r="G59" s="575">
        <v>0.48033698349436799</v>
      </c>
      <c r="H59" s="575">
        <v>1.35408489703188</v>
      </c>
      <c r="I59" s="575">
        <v>0</v>
      </c>
      <c r="J59" s="575">
        <v>0</v>
      </c>
      <c r="K59" s="575">
        <v>0</v>
      </c>
      <c r="L59" s="575">
        <v>0</v>
      </c>
      <c r="M59" s="575">
        <v>3.8667311063636394</v>
      </c>
      <c r="N59" s="575">
        <v>2.7361842424943674</v>
      </c>
      <c r="O59" s="575">
        <v>0.48033698349436799</v>
      </c>
      <c r="P59" s="575">
        <v>1.35408489703188</v>
      </c>
      <c r="Q59" s="575">
        <v>2.2558472590000003</v>
      </c>
    </row>
    <row r="60" spans="1:17">
      <c r="A60" s="237" t="s">
        <v>191</v>
      </c>
      <c r="B60" s="236" t="s">
        <v>87</v>
      </c>
      <c r="C60" s="261" t="s">
        <v>37</v>
      </c>
      <c r="D60" s="260" t="s">
        <v>30</v>
      </c>
      <c r="E60" s="575">
        <v>7.4819180705386161</v>
      </c>
      <c r="F60" s="575">
        <v>2.1814355269022569</v>
      </c>
      <c r="G60" s="575">
        <v>0.23564059164377998</v>
      </c>
      <c r="H60" s="575">
        <v>1.9457949352584769</v>
      </c>
      <c r="I60" s="575">
        <v>0</v>
      </c>
      <c r="J60" s="575">
        <v>0</v>
      </c>
      <c r="K60" s="575">
        <v>0</v>
      </c>
      <c r="L60" s="575">
        <v>0</v>
      </c>
      <c r="M60" s="575">
        <v>5.3004825436363587</v>
      </c>
      <c r="N60" s="575">
        <v>3.9185419407226671</v>
      </c>
      <c r="O60" s="575">
        <v>0.23564059164377998</v>
      </c>
      <c r="P60" s="575">
        <v>1.9457949352584769</v>
      </c>
      <c r="Q60" s="575">
        <v>3.6193474219999997</v>
      </c>
    </row>
    <row r="61" spans="1:17">
      <c r="A61" s="237" t="s">
        <v>191</v>
      </c>
      <c r="B61" s="236" t="s">
        <v>107</v>
      </c>
      <c r="C61" s="261" t="s">
        <v>37</v>
      </c>
      <c r="D61" s="260" t="s">
        <v>29</v>
      </c>
      <c r="E61" s="575">
        <v>4.6551884912376895</v>
      </c>
      <c r="F61" s="575">
        <v>1.199698523964962</v>
      </c>
      <c r="G61" s="575">
        <v>0.31152766658631903</v>
      </c>
      <c r="H61" s="575">
        <v>0.88817085737864299</v>
      </c>
      <c r="I61" s="575">
        <v>0</v>
      </c>
      <c r="J61" s="575">
        <v>0</v>
      </c>
      <c r="K61" s="575">
        <v>0</v>
      </c>
      <c r="L61" s="575">
        <v>0</v>
      </c>
      <c r="M61" s="575">
        <v>3.4554899672727282</v>
      </c>
      <c r="N61" s="575">
        <v>2.2461220710436871</v>
      </c>
      <c r="O61" s="575">
        <v>0.31152766658631903</v>
      </c>
      <c r="P61" s="575">
        <v>0.88817085737864299</v>
      </c>
      <c r="Q61" s="575">
        <v>1.873194129</v>
      </c>
    </row>
    <row r="62" spans="1:17">
      <c r="A62" s="237" t="s">
        <v>191</v>
      </c>
      <c r="B62" s="236" t="s">
        <v>236</v>
      </c>
      <c r="C62" s="261" t="s">
        <v>37</v>
      </c>
      <c r="D62" s="260" t="s">
        <v>31</v>
      </c>
      <c r="E62" s="575">
        <v>4.9541364446713807</v>
      </c>
      <c r="F62" s="575">
        <v>2.714269843762291</v>
      </c>
      <c r="G62" s="575">
        <v>0.81112784925857795</v>
      </c>
      <c r="H62" s="575">
        <v>1.9031419945037129</v>
      </c>
      <c r="I62" s="575">
        <v>0</v>
      </c>
      <c r="J62" s="575">
        <v>0</v>
      </c>
      <c r="K62" s="575">
        <v>0</v>
      </c>
      <c r="L62" s="575">
        <v>0</v>
      </c>
      <c r="M62" s="575">
        <v>2.2398666009090897</v>
      </c>
      <c r="N62" s="575">
        <v>3.1873106888984801</v>
      </c>
      <c r="O62" s="575">
        <v>0.81112784925857795</v>
      </c>
      <c r="P62" s="575">
        <v>1.9031419945037129</v>
      </c>
      <c r="Q62" s="575">
        <v>1.447044631</v>
      </c>
    </row>
    <row r="63" spans="1:17">
      <c r="A63" s="237" t="s">
        <v>191</v>
      </c>
      <c r="B63" s="236" t="s">
        <v>237</v>
      </c>
      <c r="C63" s="261" t="s">
        <v>37</v>
      </c>
      <c r="D63" s="576" t="s">
        <v>184</v>
      </c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</row>
    <row r="64" spans="1:17">
      <c r="A64" s="237" t="s">
        <v>191</v>
      </c>
      <c r="B64" s="236" t="s">
        <v>163</v>
      </c>
      <c r="C64" s="261" t="s">
        <v>37</v>
      </c>
      <c r="D64" s="576" t="s">
        <v>32</v>
      </c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</row>
    <row r="65" spans="1:17">
      <c r="A65" s="237" t="s">
        <v>191</v>
      </c>
      <c r="B65" s="236" t="s">
        <v>404</v>
      </c>
      <c r="C65" s="261" t="s">
        <v>37</v>
      </c>
      <c r="D65" s="260" t="s">
        <v>395</v>
      </c>
      <c r="E65" s="575">
        <v>-3.2178181818179998E-3</v>
      </c>
      <c r="F65" s="575">
        <v>0</v>
      </c>
      <c r="G65" s="575">
        <v>0</v>
      </c>
      <c r="H65" s="575">
        <v>0</v>
      </c>
      <c r="I65" s="575">
        <v>0</v>
      </c>
      <c r="J65" s="575">
        <v>0</v>
      </c>
      <c r="K65" s="575">
        <v>0</v>
      </c>
      <c r="L65" s="575">
        <v>0</v>
      </c>
      <c r="M65" s="575">
        <v>-3.2178181818179998E-3</v>
      </c>
      <c r="N65" s="575">
        <v>-1.7698E-3</v>
      </c>
      <c r="O65" s="575">
        <v>0</v>
      </c>
      <c r="P65" s="575">
        <v>0</v>
      </c>
      <c r="Q65" s="575">
        <v>-1.7698E-3</v>
      </c>
    </row>
    <row r="66" spans="1:17">
      <c r="A66" s="237" t="s">
        <v>191</v>
      </c>
      <c r="B66" s="236" t="s">
        <v>59</v>
      </c>
      <c r="C66" s="261" t="s">
        <v>37</v>
      </c>
      <c r="D66" s="297" t="s">
        <v>33</v>
      </c>
      <c r="E66" s="575">
        <v>18.537388057445916</v>
      </c>
      <c r="F66" s="575">
        <v>4.867388057445913</v>
      </c>
      <c r="G66" s="575">
        <v>3.1210472006888099</v>
      </c>
      <c r="H66" s="575">
        <v>1.746340856757103</v>
      </c>
      <c r="I66" s="575">
        <v>0</v>
      </c>
      <c r="J66" s="575">
        <v>0</v>
      </c>
      <c r="K66" s="575">
        <v>0</v>
      </c>
      <c r="L66" s="575">
        <v>0</v>
      </c>
      <c r="M66" s="575">
        <v>13.67</v>
      </c>
      <c r="N66" s="575">
        <v>12.889591511665614</v>
      </c>
      <c r="O66" s="575">
        <v>3.1210472006888099</v>
      </c>
      <c r="P66" s="575">
        <v>1.746340856757103</v>
      </c>
      <c r="Q66" s="575">
        <v>9.5</v>
      </c>
    </row>
    <row r="67" spans="1:17">
      <c r="A67" s="237" t="s">
        <v>191</v>
      </c>
      <c r="B67" s="236" t="s">
        <v>34</v>
      </c>
      <c r="C67" s="261" t="s">
        <v>37</v>
      </c>
      <c r="D67" s="297" t="s">
        <v>34</v>
      </c>
      <c r="E67" s="575">
        <v>27.920582062573512</v>
      </c>
      <c r="F67" s="575">
        <v>13.57109045257349</v>
      </c>
      <c r="G67" s="575">
        <v>2.596814618201305</v>
      </c>
      <c r="H67" s="575">
        <v>10.974275834372186</v>
      </c>
      <c r="I67" s="575">
        <v>0</v>
      </c>
      <c r="J67" s="575">
        <v>0</v>
      </c>
      <c r="K67" s="575">
        <v>0</v>
      </c>
      <c r="L67" s="575">
        <v>0</v>
      </c>
      <c r="M67" s="575">
        <v>14.349491610000008</v>
      </c>
      <c r="N67" s="575">
        <v>12.574747211581496</v>
      </c>
      <c r="O67" s="575">
        <v>2.596814618201305</v>
      </c>
      <c r="P67" s="575">
        <v>10.974275834372186</v>
      </c>
      <c r="Q67" s="575">
        <v>8.526726150000016</v>
      </c>
    </row>
    <row r="68" spans="1:17">
      <c r="A68" s="237" t="s">
        <v>191</v>
      </c>
      <c r="B68" s="236" t="s">
        <v>399</v>
      </c>
      <c r="C68" s="261" t="s">
        <v>37</v>
      </c>
      <c r="D68" s="260" t="s">
        <v>296</v>
      </c>
      <c r="E68" s="575">
        <v>8.5116649832113485</v>
      </c>
      <c r="F68" s="575">
        <v>4.1414202332113357</v>
      </c>
      <c r="G68" s="575">
        <v>1.257272362898421</v>
      </c>
      <c r="H68" s="575">
        <v>2.8841478703129151</v>
      </c>
      <c r="I68" s="575">
        <v>0</v>
      </c>
      <c r="J68" s="575">
        <v>0</v>
      </c>
      <c r="K68" s="575">
        <v>0</v>
      </c>
      <c r="L68" s="575">
        <v>0</v>
      </c>
      <c r="M68" s="575">
        <v>4.3702447500000101</v>
      </c>
      <c r="N68" s="575">
        <v>4.5820833103035561</v>
      </c>
      <c r="O68" s="575">
        <v>1.257272362898421</v>
      </c>
      <c r="P68" s="575">
        <v>2.8841478703129151</v>
      </c>
      <c r="Q68" s="575">
        <v>2.9372184400000099</v>
      </c>
    </row>
    <row r="69" spans="1:17" ht="27.6">
      <c r="A69" s="237" t="s">
        <v>191</v>
      </c>
      <c r="B69" s="236" t="s">
        <v>400</v>
      </c>
      <c r="C69" s="261" t="s">
        <v>37</v>
      </c>
      <c r="D69" s="260" t="s">
        <v>396</v>
      </c>
      <c r="E69" s="575">
        <v>3.8839755206285429</v>
      </c>
      <c r="F69" s="575">
        <v>1.3372388406285429</v>
      </c>
      <c r="G69" s="575">
        <v>0.14084515</v>
      </c>
      <c r="H69" s="575">
        <v>1.1963936906285428</v>
      </c>
      <c r="I69" s="575">
        <v>0</v>
      </c>
      <c r="J69" s="575">
        <v>0</v>
      </c>
      <c r="K69" s="575">
        <v>0</v>
      </c>
      <c r="L69" s="575">
        <v>0</v>
      </c>
      <c r="M69" s="575">
        <v>2.54673668</v>
      </c>
      <c r="N69" s="575">
        <v>1.623322370309964</v>
      </c>
      <c r="O69" s="575">
        <v>0.14084515</v>
      </c>
      <c r="P69" s="575">
        <v>1.1963936906285428</v>
      </c>
      <c r="Q69" s="575">
        <v>1.118389469999999</v>
      </c>
    </row>
    <row r="70" spans="1:17">
      <c r="A70" s="237" t="s">
        <v>191</v>
      </c>
      <c r="B70" s="236" t="s">
        <v>401</v>
      </c>
      <c r="C70" s="261" t="s">
        <v>37</v>
      </c>
      <c r="D70" s="260" t="s">
        <v>397</v>
      </c>
      <c r="E70" s="575">
        <v>3.9068530891904976</v>
      </c>
      <c r="F70" s="575">
        <v>1.933903189190497</v>
      </c>
      <c r="G70" s="575">
        <v>0.34409931917778103</v>
      </c>
      <c r="H70" s="575">
        <v>1.5898038700127159</v>
      </c>
      <c r="I70" s="575">
        <v>0</v>
      </c>
      <c r="J70" s="575">
        <v>0</v>
      </c>
      <c r="K70" s="575">
        <v>0</v>
      </c>
      <c r="L70" s="575">
        <v>0</v>
      </c>
      <c r="M70" s="575">
        <v>1.9729498999999999</v>
      </c>
      <c r="N70" s="575">
        <v>1.9896556326178212</v>
      </c>
      <c r="O70" s="575">
        <v>0.34409931917778103</v>
      </c>
      <c r="P70" s="575">
        <v>1.5898038700127159</v>
      </c>
      <c r="Q70" s="575">
        <v>1.283579880000004</v>
      </c>
    </row>
    <row r="71" spans="1:17">
      <c r="A71" s="237" t="s">
        <v>191</v>
      </c>
      <c r="B71" s="236" t="s">
        <v>93</v>
      </c>
      <c r="C71" s="261" t="s">
        <v>37</v>
      </c>
      <c r="D71" s="260" t="s">
        <v>35</v>
      </c>
      <c r="E71" s="575">
        <v>5.373170467855779</v>
      </c>
      <c r="F71" s="575">
        <v>2.5596312778557788</v>
      </c>
      <c r="G71" s="575">
        <v>0.44732227322972895</v>
      </c>
      <c r="H71" s="575">
        <v>2.11230900462605</v>
      </c>
      <c r="I71" s="575">
        <v>0</v>
      </c>
      <c r="J71" s="575">
        <v>0</v>
      </c>
      <c r="K71" s="575">
        <v>0</v>
      </c>
      <c r="L71" s="575">
        <v>0</v>
      </c>
      <c r="M71" s="575">
        <v>2.8135391900000002</v>
      </c>
      <c r="N71" s="575">
        <v>2.2930806062868232</v>
      </c>
      <c r="O71" s="575">
        <v>0.44732227322972895</v>
      </c>
      <c r="P71" s="575">
        <v>2.11230900462605</v>
      </c>
      <c r="Q71" s="575">
        <v>1.550982710000004</v>
      </c>
    </row>
    <row r="72" spans="1:17">
      <c r="A72" s="237" t="s">
        <v>191</v>
      </c>
      <c r="B72" s="236" t="s">
        <v>238</v>
      </c>
      <c r="C72" s="261" t="s">
        <v>37</v>
      </c>
      <c r="D72" s="260" t="s">
        <v>36</v>
      </c>
      <c r="E72" s="575">
        <v>6.2449180016873358</v>
      </c>
      <c r="F72" s="575">
        <v>3.5988969116873362</v>
      </c>
      <c r="G72" s="575">
        <v>0.407275512895374</v>
      </c>
      <c r="H72" s="575">
        <v>3.1916213987919622</v>
      </c>
      <c r="I72" s="575">
        <v>0</v>
      </c>
      <c r="J72" s="575">
        <v>0</v>
      </c>
      <c r="K72" s="575">
        <v>0</v>
      </c>
      <c r="L72" s="575">
        <v>0</v>
      </c>
      <c r="M72" s="575">
        <v>2.6460210900000001</v>
      </c>
      <c r="N72" s="575">
        <v>2.086605292063334</v>
      </c>
      <c r="O72" s="575">
        <v>0.407275512895374</v>
      </c>
      <c r="P72" s="575">
        <v>3.1916213987919622</v>
      </c>
      <c r="Q72" s="575">
        <v>1.6365556499999983</v>
      </c>
    </row>
    <row r="73" spans="1:17">
      <c r="A73" s="237"/>
      <c r="B73" s="236" t="s">
        <v>419</v>
      </c>
      <c r="C73" s="261" t="s">
        <v>37</v>
      </c>
      <c r="D73" s="260" t="s">
        <v>398</v>
      </c>
      <c r="E73" s="575">
        <v>0</v>
      </c>
      <c r="F73" s="575">
        <v>0</v>
      </c>
      <c r="G73" s="575">
        <v>0</v>
      </c>
      <c r="H73" s="575">
        <v>0</v>
      </c>
      <c r="I73" s="575">
        <v>0</v>
      </c>
      <c r="J73" s="575">
        <v>0</v>
      </c>
      <c r="K73" s="575">
        <v>0</v>
      </c>
      <c r="L73" s="575">
        <v>0</v>
      </c>
      <c r="M73" s="575">
        <v>0</v>
      </c>
      <c r="N73" s="575">
        <v>0</v>
      </c>
      <c r="O73" s="575">
        <v>0</v>
      </c>
      <c r="P73" s="575">
        <v>0</v>
      </c>
      <c r="Q73" s="575">
        <v>0</v>
      </c>
    </row>
    <row r="74" spans="1:17">
      <c r="A74" s="237" t="s">
        <v>374</v>
      </c>
      <c r="B74" s="236"/>
      <c r="C74" s="576"/>
      <c r="D74" s="576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</row>
    <row r="75" spans="1:17">
      <c r="A75" s="237" t="s">
        <v>218</v>
      </c>
      <c r="B75" s="236" t="s">
        <v>13</v>
      </c>
      <c r="C75" s="297" t="s">
        <v>108</v>
      </c>
      <c r="D75" s="296" t="s">
        <v>12</v>
      </c>
      <c r="E75" s="575">
        <v>60.214647544956144</v>
      </c>
      <c r="F75" s="575">
        <v>39.879982899999987</v>
      </c>
      <c r="G75" s="575">
        <v>-0.12001710000000901</v>
      </c>
      <c r="H75" s="575">
        <v>0</v>
      </c>
      <c r="I75" s="575">
        <v>0</v>
      </c>
      <c r="J75" s="575">
        <v>0</v>
      </c>
      <c r="K75" s="575">
        <v>40</v>
      </c>
      <c r="L75" s="575">
        <v>0</v>
      </c>
      <c r="M75" s="575">
        <v>20.334664644956145</v>
      </c>
      <c r="N75" s="575">
        <v>35.927108620590971</v>
      </c>
      <c r="O75" s="575">
        <v>-0.12001710000000901</v>
      </c>
      <c r="P75" s="575">
        <v>0</v>
      </c>
      <c r="Q75" s="575">
        <v>12.047125720590987</v>
      </c>
    </row>
    <row r="76" spans="1:17" ht="27.6">
      <c r="A76" s="237" t="s">
        <v>218</v>
      </c>
      <c r="B76" s="236" t="s">
        <v>243</v>
      </c>
      <c r="C76" s="297" t="s">
        <v>108</v>
      </c>
      <c r="D76" s="576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</row>
    <row r="77" spans="1:17">
      <c r="A77" s="237" t="s">
        <v>218</v>
      </c>
      <c r="B77" s="236" t="s">
        <v>234</v>
      </c>
      <c r="C77" s="297" t="s">
        <v>108</v>
      </c>
      <c r="D77" s="297" t="s">
        <v>14</v>
      </c>
      <c r="E77" s="575">
        <v>40</v>
      </c>
      <c r="F77" s="575">
        <v>40</v>
      </c>
      <c r="G77" s="575">
        <v>0</v>
      </c>
      <c r="H77" s="575">
        <v>0</v>
      </c>
      <c r="I77" s="575">
        <v>0</v>
      </c>
      <c r="J77" s="575">
        <v>0</v>
      </c>
      <c r="K77" s="575">
        <v>40</v>
      </c>
      <c r="L77" s="575">
        <v>0</v>
      </c>
      <c r="M77" s="575">
        <v>0</v>
      </c>
      <c r="N77" s="575">
        <v>24</v>
      </c>
      <c r="O77" s="575">
        <v>0</v>
      </c>
      <c r="P77" s="575">
        <v>0</v>
      </c>
      <c r="Q77" s="575">
        <v>0</v>
      </c>
    </row>
    <row r="78" spans="1:17">
      <c r="A78" s="237" t="s">
        <v>218</v>
      </c>
      <c r="B78" s="236" t="s">
        <v>58</v>
      </c>
      <c r="C78" s="297" t="s">
        <v>108</v>
      </c>
      <c r="D78" s="297" t="s">
        <v>15</v>
      </c>
      <c r="E78" s="575">
        <v>6.4731484406951862</v>
      </c>
      <c r="F78" s="575">
        <v>-0.12772239000000901</v>
      </c>
      <c r="G78" s="575">
        <v>-0.12772239000000901</v>
      </c>
      <c r="H78" s="575">
        <v>0</v>
      </c>
      <c r="I78" s="575">
        <v>0</v>
      </c>
      <c r="J78" s="575">
        <v>0</v>
      </c>
      <c r="K78" s="575">
        <v>0</v>
      </c>
      <c r="L78" s="575">
        <v>0</v>
      </c>
      <c r="M78" s="575">
        <v>6.6008708306951949</v>
      </c>
      <c r="N78" s="575">
        <v>4.9372424768983905</v>
      </c>
      <c r="O78" s="575">
        <v>-0.12772239000000901</v>
      </c>
      <c r="P78" s="575">
        <v>0</v>
      </c>
      <c r="Q78" s="575">
        <v>5.0649648668984</v>
      </c>
    </row>
    <row r="79" spans="1:17">
      <c r="A79" s="237" t="s">
        <v>218</v>
      </c>
      <c r="B79" s="236" t="s">
        <v>17</v>
      </c>
      <c r="C79" s="297" t="s">
        <v>108</v>
      </c>
      <c r="D79" s="259" t="s">
        <v>101</v>
      </c>
      <c r="E79" s="575">
        <v>1.1930854848092001</v>
      </c>
      <c r="F79" s="575">
        <v>-0.12922272000001001</v>
      </c>
      <c r="G79" s="575">
        <v>-0.12922272000001001</v>
      </c>
      <c r="H79" s="575">
        <v>0</v>
      </c>
      <c r="I79" s="575">
        <v>0</v>
      </c>
      <c r="J79" s="575">
        <v>0</v>
      </c>
      <c r="K79" s="575">
        <v>0</v>
      </c>
      <c r="L79" s="575">
        <v>0</v>
      </c>
      <c r="M79" s="575">
        <v>1.3223082048092099</v>
      </c>
      <c r="N79" s="575">
        <v>0.63350029160305898</v>
      </c>
      <c r="O79" s="575">
        <v>-0.12922272000001001</v>
      </c>
      <c r="P79" s="575">
        <v>0</v>
      </c>
      <c r="Q79" s="575">
        <v>0.76272301160306899</v>
      </c>
    </row>
    <row r="80" spans="1:17">
      <c r="A80" s="237" t="s">
        <v>218</v>
      </c>
      <c r="B80" s="236" t="s">
        <v>18</v>
      </c>
      <c r="C80" s="297" t="s">
        <v>108</v>
      </c>
      <c r="D80" s="259" t="s">
        <v>102</v>
      </c>
      <c r="E80" s="575">
        <v>3.5560864849894E-2</v>
      </c>
      <c r="F80" s="575">
        <v>0</v>
      </c>
      <c r="G80" s="575">
        <v>0</v>
      </c>
      <c r="H80" s="575">
        <v>0</v>
      </c>
      <c r="I80" s="575">
        <v>0</v>
      </c>
      <c r="J80" s="575">
        <v>0</v>
      </c>
      <c r="K80" s="575">
        <v>0</v>
      </c>
      <c r="L80" s="575">
        <v>0</v>
      </c>
      <c r="M80" s="575">
        <v>3.5560864849894E-2</v>
      </c>
      <c r="N80" s="575">
        <v>2.4487891616631001E-2</v>
      </c>
      <c r="O80" s="575">
        <v>0</v>
      </c>
      <c r="P80" s="575">
        <v>0</v>
      </c>
      <c r="Q80" s="575">
        <v>2.4487891616631001E-2</v>
      </c>
    </row>
    <row r="81" spans="1:17">
      <c r="A81" s="237" t="s">
        <v>218</v>
      </c>
      <c r="B81" s="236" t="s">
        <v>19</v>
      </c>
      <c r="C81" s="297" t="s">
        <v>108</v>
      </c>
      <c r="D81" s="259" t="s">
        <v>103</v>
      </c>
      <c r="E81" s="575">
        <v>0.907190065193622</v>
      </c>
      <c r="F81" s="575">
        <v>0</v>
      </c>
      <c r="G81" s="575">
        <v>0</v>
      </c>
      <c r="H81" s="575">
        <v>0</v>
      </c>
      <c r="I81" s="575">
        <v>0</v>
      </c>
      <c r="J81" s="575">
        <v>0</v>
      </c>
      <c r="K81" s="575">
        <v>0</v>
      </c>
      <c r="L81" s="575">
        <v>0</v>
      </c>
      <c r="M81" s="575">
        <v>0.907190065193622</v>
      </c>
      <c r="N81" s="575">
        <v>0.49148257839787401</v>
      </c>
      <c r="O81" s="575">
        <v>0</v>
      </c>
      <c r="P81" s="575">
        <v>0</v>
      </c>
      <c r="Q81" s="575">
        <v>0.49148257839787401</v>
      </c>
    </row>
    <row r="82" spans="1:17">
      <c r="A82" s="237" t="s">
        <v>218</v>
      </c>
      <c r="B82" s="236" t="s">
        <v>77</v>
      </c>
      <c r="C82" s="297" t="s">
        <v>108</v>
      </c>
      <c r="D82" s="259" t="s">
        <v>20</v>
      </c>
      <c r="E82" s="575">
        <v>1.6085695138110701</v>
      </c>
      <c r="F82" s="575">
        <v>0</v>
      </c>
      <c r="G82" s="575">
        <v>0</v>
      </c>
      <c r="H82" s="575">
        <v>0</v>
      </c>
      <c r="I82" s="575">
        <v>0</v>
      </c>
      <c r="J82" s="575">
        <v>0</v>
      </c>
      <c r="K82" s="575">
        <v>0</v>
      </c>
      <c r="L82" s="575">
        <v>0</v>
      </c>
      <c r="M82" s="575">
        <v>1.6085695138110701</v>
      </c>
      <c r="N82" s="575">
        <v>1.5148320279370231</v>
      </c>
      <c r="O82" s="575">
        <v>0</v>
      </c>
      <c r="P82" s="575">
        <v>0</v>
      </c>
      <c r="Q82" s="575">
        <v>1.5148320279370231</v>
      </c>
    </row>
    <row r="83" spans="1:17">
      <c r="A83" s="237" t="s">
        <v>218</v>
      </c>
      <c r="B83" s="236" t="s">
        <v>78</v>
      </c>
      <c r="C83" s="297" t="s">
        <v>108</v>
      </c>
      <c r="D83" s="259" t="s">
        <v>21</v>
      </c>
      <c r="E83" s="575">
        <v>0.39531898242098601</v>
      </c>
      <c r="F83" s="575">
        <v>0</v>
      </c>
      <c r="G83" s="575">
        <v>0</v>
      </c>
      <c r="H83" s="575">
        <v>0</v>
      </c>
      <c r="I83" s="575">
        <v>0</v>
      </c>
      <c r="J83" s="575">
        <v>0</v>
      </c>
      <c r="K83" s="575">
        <v>0</v>
      </c>
      <c r="L83" s="575">
        <v>0</v>
      </c>
      <c r="M83" s="575">
        <v>0.39531898242098601</v>
      </c>
      <c r="N83" s="575">
        <v>0.202761674140329</v>
      </c>
      <c r="O83" s="575">
        <v>0</v>
      </c>
      <c r="P83" s="575">
        <v>0</v>
      </c>
      <c r="Q83" s="575">
        <v>0.202761674140329</v>
      </c>
    </row>
    <row r="84" spans="1:17">
      <c r="A84" s="237" t="s">
        <v>218</v>
      </c>
      <c r="B84" s="236" t="s">
        <v>393</v>
      </c>
      <c r="C84" s="297" t="s">
        <v>108</v>
      </c>
      <c r="D84" s="259" t="s">
        <v>393</v>
      </c>
      <c r="E84" s="575">
        <v>0.11960767337411</v>
      </c>
      <c r="F84" s="575">
        <v>0</v>
      </c>
      <c r="G84" s="575">
        <v>0</v>
      </c>
      <c r="H84" s="575">
        <v>0</v>
      </c>
      <c r="I84" s="575">
        <v>0</v>
      </c>
      <c r="J84" s="575">
        <v>0</v>
      </c>
      <c r="K84" s="575">
        <v>0</v>
      </c>
      <c r="L84" s="575">
        <v>0</v>
      </c>
      <c r="M84" s="575">
        <v>0.11960767337411</v>
      </c>
      <c r="N84" s="575">
        <v>0.19295432445803701</v>
      </c>
      <c r="O84" s="575">
        <v>0</v>
      </c>
      <c r="P84" s="575">
        <v>0</v>
      </c>
      <c r="Q84" s="575">
        <v>0.19295432445803701</v>
      </c>
    </row>
    <row r="85" spans="1:17">
      <c r="A85" s="237" t="s">
        <v>218</v>
      </c>
      <c r="B85" s="236" t="s">
        <v>80</v>
      </c>
      <c r="C85" s="297" t="s">
        <v>108</v>
      </c>
      <c r="D85" s="259" t="s">
        <v>80</v>
      </c>
      <c r="E85" s="575">
        <v>0</v>
      </c>
      <c r="F85" s="575">
        <v>0</v>
      </c>
      <c r="G85" s="575">
        <v>0</v>
      </c>
      <c r="H85" s="575">
        <v>0</v>
      </c>
      <c r="I85" s="575">
        <v>0</v>
      </c>
      <c r="J85" s="575">
        <v>0</v>
      </c>
      <c r="K85" s="575">
        <v>0</v>
      </c>
      <c r="L85" s="575">
        <v>0</v>
      </c>
      <c r="M85" s="575">
        <v>0</v>
      </c>
      <c r="N85" s="575">
        <v>0</v>
      </c>
      <c r="O85" s="575">
        <v>0</v>
      </c>
      <c r="P85" s="575">
        <v>0</v>
      </c>
      <c r="Q85" s="575">
        <v>0</v>
      </c>
    </row>
    <row r="86" spans="1:17">
      <c r="A86" s="237" t="s">
        <v>218</v>
      </c>
      <c r="B86" s="236" t="s">
        <v>104</v>
      </c>
      <c r="C86" s="297" t="s">
        <v>108</v>
      </c>
      <c r="D86" s="261" t="s">
        <v>405</v>
      </c>
      <c r="E86" s="575">
        <v>0.290293229900702</v>
      </c>
      <c r="F86" s="575">
        <v>0</v>
      </c>
      <c r="G86" s="575">
        <v>0</v>
      </c>
      <c r="H86" s="575">
        <v>0</v>
      </c>
      <c r="I86" s="575">
        <v>0</v>
      </c>
      <c r="J86" s="575">
        <v>0</v>
      </c>
      <c r="K86" s="575">
        <v>0</v>
      </c>
      <c r="L86" s="575">
        <v>0</v>
      </c>
      <c r="M86" s="575">
        <v>0.290293229900702</v>
      </c>
      <c r="N86" s="575">
        <v>0.28944440996690102</v>
      </c>
      <c r="O86" s="575">
        <v>0</v>
      </c>
      <c r="P86" s="575">
        <v>0</v>
      </c>
      <c r="Q86" s="575">
        <v>0.28944440996690102</v>
      </c>
    </row>
    <row r="87" spans="1:17">
      <c r="A87" s="237" t="s">
        <v>218</v>
      </c>
      <c r="B87" s="236" t="s">
        <v>105</v>
      </c>
      <c r="C87" s="297" t="s">
        <v>108</v>
      </c>
      <c r="D87" s="260" t="s">
        <v>25</v>
      </c>
      <c r="E87" s="575">
        <v>1.9235226263356013</v>
      </c>
      <c r="F87" s="575">
        <v>1.5003300000010001E-3</v>
      </c>
      <c r="G87" s="575">
        <v>1.5003300000010001E-3</v>
      </c>
      <c r="H87" s="575">
        <v>0</v>
      </c>
      <c r="I87" s="575">
        <v>0</v>
      </c>
      <c r="J87" s="575">
        <v>0</v>
      </c>
      <c r="K87" s="575">
        <v>0</v>
      </c>
      <c r="L87" s="575">
        <v>0</v>
      </c>
      <c r="M87" s="575">
        <v>1.9220222963356002</v>
      </c>
      <c r="N87" s="575">
        <v>1.5877792787785352</v>
      </c>
      <c r="O87" s="575">
        <v>1.5003300000010001E-3</v>
      </c>
      <c r="P87" s="575">
        <v>0</v>
      </c>
      <c r="Q87" s="575">
        <v>1.586278948778534</v>
      </c>
    </row>
    <row r="88" spans="1:17">
      <c r="A88" s="237" t="s">
        <v>218</v>
      </c>
      <c r="B88" s="236" t="s">
        <v>26</v>
      </c>
      <c r="C88" s="297" t="s">
        <v>108</v>
      </c>
      <c r="D88" s="297" t="s">
        <v>26</v>
      </c>
      <c r="E88" s="575">
        <v>5.8041439922946605</v>
      </c>
      <c r="F88" s="575">
        <v>-1.2742000000000016E-4</v>
      </c>
      <c r="G88" s="575">
        <v>-1.2742000000000016E-4</v>
      </c>
      <c r="H88" s="575">
        <v>0</v>
      </c>
      <c r="I88" s="575">
        <v>0</v>
      </c>
      <c r="J88" s="575">
        <v>0</v>
      </c>
      <c r="K88" s="575">
        <v>0</v>
      </c>
      <c r="L88" s="575">
        <v>0</v>
      </c>
      <c r="M88" s="575">
        <v>5.8042714122946597</v>
      </c>
      <c r="N88" s="575">
        <v>2.2241862593981194</v>
      </c>
      <c r="O88" s="575">
        <v>-1.2742000000000016E-4</v>
      </c>
      <c r="P88" s="575">
        <v>0</v>
      </c>
      <c r="Q88" s="575">
        <v>2.2243136793981195</v>
      </c>
    </row>
    <row r="89" spans="1:17">
      <c r="A89" s="237" t="s">
        <v>218</v>
      </c>
      <c r="B89" s="236" t="s">
        <v>235</v>
      </c>
      <c r="C89" s="297" t="s">
        <v>108</v>
      </c>
      <c r="D89" s="260" t="s">
        <v>28</v>
      </c>
      <c r="E89" s="575">
        <v>0.59173813214761695</v>
      </c>
      <c r="F89" s="575">
        <v>-4.83513E-3</v>
      </c>
      <c r="G89" s="575">
        <v>-4.83513E-3</v>
      </c>
      <c r="H89" s="575">
        <v>0</v>
      </c>
      <c r="I89" s="575">
        <v>0</v>
      </c>
      <c r="J89" s="575">
        <v>0</v>
      </c>
      <c r="K89" s="575">
        <v>0</v>
      </c>
      <c r="L89" s="575">
        <v>0</v>
      </c>
      <c r="M89" s="575">
        <v>0.59657326214761697</v>
      </c>
      <c r="N89" s="575">
        <v>0.34529549784353297</v>
      </c>
      <c r="O89" s="575">
        <v>-4.83513E-3</v>
      </c>
      <c r="P89" s="575">
        <v>0</v>
      </c>
      <c r="Q89" s="575">
        <v>0.35013062784353299</v>
      </c>
    </row>
    <row r="90" spans="1:17">
      <c r="A90" s="237" t="s">
        <v>218</v>
      </c>
      <c r="B90" s="236" t="s">
        <v>106</v>
      </c>
      <c r="C90" s="297" t="s">
        <v>108</v>
      </c>
      <c r="D90" s="260" t="s">
        <v>27</v>
      </c>
      <c r="E90" s="575">
        <v>0.44409983127359604</v>
      </c>
      <c r="F90" s="575">
        <v>0</v>
      </c>
      <c r="G90" s="575">
        <v>0</v>
      </c>
      <c r="H90" s="575">
        <v>0</v>
      </c>
      <c r="I90" s="575">
        <v>0</v>
      </c>
      <c r="J90" s="575">
        <v>0</v>
      </c>
      <c r="K90" s="575">
        <v>0</v>
      </c>
      <c r="L90" s="575">
        <v>0</v>
      </c>
      <c r="M90" s="575">
        <v>0.44409983127359604</v>
      </c>
      <c r="N90" s="575">
        <v>0.27319497875945503</v>
      </c>
      <c r="O90" s="575">
        <v>0</v>
      </c>
      <c r="P90" s="575">
        <v>0</v>
      </c>
      <c r="Q90" s="575">
        <v>0.27319497875945503</v>
      </c>
    </row>
    <row r="91" spans="1:17">
      <c r="A91" s="237" t="s">
        <v>218</v>
      </c>
      <c r="B91" s="236" t="s">
        <v>87</v>
      </c>
      <c r="C91" s="297" t="s">
        <v>108</v>
      </c>
      <c r="D91" s="260" t="s">
        <v>30</v>
      </c>
      <c r="E91" s="575">
        <v>0.63737720478062898</v>
      </c>
      <c r="F91" s="575">
        <v>0</v>
      </c>
      <c r="G91" s="575">
        <v>0</v>
      </c>
      <c r="H91" s="575">
        <v>0</v>
      </c>
      <c r="I91" s="575">
        <v>0</v>
      </c>
      <c r="J91" s="575">
        <v>0</v>
      </c>
      <c r="K91" s="575">
        <v>0</v>
      </c>
      <c r="L91" s="575">
        <v>0</v>
      </c>
      <c r="M91" s="575">
        <v>0.63737720478062898</v>
      </c>
      <c r="N91" s="575">
        <v>6.7667669503391994E-2</v>
      </c>
      <c r="O91" s="575">
        <v>0</v>
      </c>
      <c r="P91" s="575">
        <v>0</v>
      </c>
      <c r="Q91" s="575">
        <v>6.7667669503391994E-2</v>
      </c>
    </row>
    <row r="92" spans="1:17">
      <c r="A92" s="237" t="s">
        <v>218</v>
      </c>
      <c r="B92" s="236" t="s">
        <v>107</v>
      </c>
      <c r="C92" s="297" t="s">
        <v>108</v>
      </c>
      <c r="D92" s="260" t="s">
        <v>29</v>
      </c>
      <c r="E92" s="575">
        <v>0.95062093852324892</v>
      </c>
      <c r="F92" s="575">
        <v>5.4253499999999998E-3</v>
      </c>
      <c r="G92" s="575">
        <v>5.4253499999999998E-3</v>
      </c>
      <c r="H92" s="575">
        <v>0</v>
      </c>
      <c r="I92" s="575">
        <v>0</v>
      </c>
      <c r="J92" s="575">
        <v>0</v>
      </c>
      <c r="K92" s="575">
        <v>0</v>
      </c>
      <c r="L92" s="575">
        <v>0</v>
      </c>
      <c r="M92" s="575">
        <v>0.94519558852324903</v>
      </c>
      <c r="N92" s="575">
        <v>0.32310126089499597</v>
      </c>
      <c r="O92" s="575">
        <v>5.4253499999999998E-3</v>
      </c>
      <c r="P92" s="575">
        <v>0</v>
      </c>
      <c r="Q92" s="575">
        <v>0.31767591089499597</v>
      </c>
    </row>
    <row r="93" spans="1:17">
      <c r="A93" s="237" t="s">
        <v>218</v>
      </c>
      <c r="B93" s="236" t="s">
        <v>236</v>
      </c>
      <c r="C93" s="297" t="s">
        <v>108</v>
      </c>
      <c r="D93" s="260" t="s">
        <v>31</v>
      </c>
      <c r="E93" s="575">
        <v>0.52314691579821992</v>
      </c>
      <c r="F93" s="575">
        <v>0</v>
      </c>
      <c r="G93" s="575">
        <v>0</v>
      </c>
      <c r="H93" s="575">
        <v>0</v>
      </c>
      <c r="I93" s="575">
        <v>0</v>
      </c>
      <c r="J93" s="575">
        <v>0</v>
      </c>
      <c r="K93" s="575">
        <v>0</v>
      </c>
      <c r="L93" s="575">
        <v>0</v>
      </c>
      <c r="M93" s="575">
        <v>0.52314691579821992</v>
      </c>
      <c r="N93" s="575">
        <v>0.33451397923492499</v>
      </c>
      <c r="O93" s="575">
        <v>0</v>
      </c>
      <c r="P93" s="575">
        <v>0</v>
      </c>
      <c r="Q93" s="575">
        <v>0.33451397923492499</v>
      </c>
    </row>
    <row r="94" spans="1:17">
      <c r="A94" s="237" t="s">
        <v>218</v>
      </c>
      <c r="B94" s="236" t="s">
        <v>237</v>
      </c>
      <c r="C94" s="297" t="s">
        <v>108</v>
      </c>
      <c r="D94" s="260" t="s">
        <v>394</v>
      </c>
      <c r="E94" s="575">
        <v>1.5202234209962602</v>
      </c>
      <c r="F94" s="575">
        <v>-7.1763999999999997E-4</v>
      </c>
      <c r="G94" s="575">
        <v>-7.1763999999999997E-4</v>
      </c>
      <c r="H94" s="575">
        <v>0</v>
      </c>
      <c r="I94" s="575">
        <v>0</v>
      </c>
      <c r="J94" s="575">
        <v>0</v>
      </c>
      <c r="K94" s="575">
        <v>0</v>
      </c>
      <c r="L94" s="575">
        <v>0</v>
      </c>
      <c r="M94" s="575">
        <v>1.5209410609962601</v>
      </c>
      <c r="N94" s="575">
        <v>0.55494686225880807</v>
      </c>
      <c r="O94" s="575">
        <v>-7.1763999999999997E-4</v>
      </c>
      <c r="P94" s="575">
        <v>0</v>
      </c>
      <c r="Q94" s="575">
        <v>0.55566450225880804</v>
      </c>
    </row>
    <row r="95" spans="1:17">
      <c r="A95" s="237" t="s">
        <v>218</v>
      </c>
      <c r="B95" s="236" t="s">
        <v>163</v>
      </c>
      <c r="C95" s="297" t="s">
        <v>108</v>
      </c>
      <c r="D95" s="260" t="s">
        <v>403</v>
      </c>
      <c r="E95" s="575">
        <v>1.1369375487750899</v>
      </c>
      <c r="F95" s="575">
        <v>0</v>
      </c>
      <c r="G95" s="575">
        <v>0</v>
      </c>
      <c r="H95" s="575">
        <v>0</v>
      </c>
      <c r="I95" s="575">
        <v>0</v>
      </c>
      <c r="J95" s="575">
        <v>0</v>
      </c>
      <c r="K95" s="575">
        <v>0</v>
      </c>
      <c r="L95" s="575">
        <v>0</v>
      </c>
      <c r="M95" s="575">
        <v>1.1369375487750899</v>
      </c>
      <c r="N95" s="575">
        <v>0.32546601090300997</v>
      </c>
      <c r="O95" s="575">
        <v>0</v>
      </c>
      <c r="P95" s="575">
        <v>0</v>
      </c>
      <c r="Q95" s="575">
        <v>0.32546601090300997</v>
      </c>
    </row>
    <row r="96" spans="1:17">
      <c r="A96" s="237" t="s">
        <v>218</v>
      </c>
      <c r="B96" s="236" t="s">
        <v>404</v>
      </c>
      <c r="C96" s="297" t="s">
        <v>108</v>
      </c>
      <c r="D96" s="260" t="s">
        <v>395</v>
      </c>
      <c r="E96" s="575">
        <v>0</v>
      </c>
      <c r="F96" s="575">
        <v>0</v>
      </c>
      <c r="G96" s="575">
        <v>0</v>
      </c>
      <c r="H96" s="575">
        <v>0</v>
      </c>
      <c r="I96" s="575">
        <v>0</v>
      </c>
      <c r="J96" s="575">
        <v>0</v>
      </c>
      <c r="K96" s="575">
        <v>0</v>
      </c>
      <c r="L96" s="575">
        <v>0</v>
      </c>
      <c r="M96" s="575">
        <v>0</v>
      </c>
      <c r="N96" s="575">
        <v>0</v>
      </c>
      <c r="O96" s="575">
        <v>0</v>
      </c>
      <c r="P96" s="575">
        <v>0</v>
      </c>
      <c r="Q96" s="575">
        <v>0</v>
      </c>
    </row>
    <row r="97" spans="1:17">
      <c r="A97" s="237" t="s">
        <v>218</v>
      </c>
      <c r="B97" s="236" t="s">
        <v>59</v>
      </c>
      <c r="C97" s="297" t="s">
        <v>108</v>
      </c>
      <c r="D97" s="297" t="s">
        <v>33</v>
      </c>
      <c r="E97" s="575">
        <v>5.2892659419342891</v>
      </c>
      <c r="F97" s="575">
        <v>6.2990900000000002E-3</v>
      </c>
      <c r="G97" s="575">
        <v>6.2990900000000002E-3</v>
      </c>
      <c r="H97" s="575">
        <v>0</v>
      </c>
      <c r="I97" s="575">
        <v>0</v>
      </c>
      <c r="J97" s="575">
        <v>0</v>
      </c>
      <c r="K97" s="575">
        <v>0</v>
      </c>
      <c r="L97" s="575">
        <v>0</v>
      </c>
      <c r="M97" s="575">
        <v>5.2829668519342903</v>
      </c>
      <c r="N97" s="575">
        <v>3.9262990899999997</v>
      </c>
      <c r="O97" s="575">
        <v>6.2990900000000002E-3</v>
      </c>
      <c r="P97" s="575">
        <v>0</v>
      </c>
      <c r="Q97" s="575">
        <v>3.92</v>
      </c>
    </row>
    <row r="98" spans="1:17">
      <c r="A98" s="237" t="s">
        <v>218</v>
      </c>
      <c r="B98" s="236" t="s">
        <v>34</v>
      </c>
      <c r="C98" s="297" t="s">
        <v>108</v>
      </c>
      <c r="D98" s="297" t="s">
        <v>34</v>
      </c>
      <c r="E98" s="575">
        <v>2.6480891700320024</v>
      </c>
      <c r="F98" s="575">
        <v>1.5336200000000001E-3</v>
      </c>
      <c r="G98" s="575">
        <v>1.5336200000000001E-3</v>
      </c>
      <c r="H98" s="575">
        <v>0</v>
      </c>
      <c r="I98" s="575">
        <v>0</v>
      </c>
      <c r="J98" s="575">
        <v>0</v>
      </c>
      <c r="K98" s="575">
        <v>0</v>
      </c>
      <c r="L98" s="575">
        <v>0</v>
      </c>
      <c r="M98" s="575">
        <v>2.6465555500320024</v>
      </c>
      <c r="N98" s="575">
        <v>0.83938079429447021</v>
      </c>
      <c r="O98" s="575">
        <v>1.5336200000000001E-3</v>
      </c>
      <c r="P98" s="575">
        <v>0</v>
      </c>
      <c r="Q98" s="575">
        <v>0.8378471742944702</v>
      </c>
    </row>
    <row r="99" spans="1:17">
      <c r="A99" s="237" t="s">
        <v>218</v>
      </c>
      <c r="B99" s="236" t="s">
        <v>399</v>
      </c>
      <c r="C99" s="297" t="s">
        <v>108</v>
      </c>
      <c r="D99" s="260" t="s">
        <v>296</v>
      </c>
      <c r="E99" s="575">
        <v>0.59109999999999996</v>
      </c>
      <c r="F99" s="575">
        <v>0</v>
      </c>
      <c r="G99" s="575">
        <v>0</v>
      </c>
      <c r="H99" s="575">
        <v>0</v>
      </c>
      <c r="I99" s="575">
        <v>0</v>
      </c>
      <c r="J99" s="575">
        <v>0</v>
      </c>
      <c r="K99" s="575">
        <v>0</v>
      </c>
      <c r="L99" s="575">
        <v>0</v>
      </c>
      <c r="M99" s="575">
        <v>0.59109999999999996</v>
      </c>
      <c r="N99" s="575">
        <v>0.31593394978981298</v>
      </c>
      <c r="O99" s="575">
        <v>0</v>
      </c>
      <c r="P99" s="575">
        <v>0</v>
      </c>
      <c r="Q99" s="575">
        <v>0.31593394978981298</v>
      </c>
    </row>
    <row r="100" spans="1:17" ht="27.6">
      <c r="A100" s="237" t="s">
        <v>218</v>
      </c>
      <c r="B100" s="236" t="s">
        <v>400</v>
      </c>
      <c r="C100" s="297" t="s">
        <v>108</v>
      </c>
      <c r="D100" s="260" t="s">
        <v>396</v>
      </c>
      <c r="E100" s="575">
        <v>0.52654294000000001</v>
      </c>
      <c r="F100" s="575">
        <v>5.4294E-4</v>
      </c>
      <c r="G100" s="575">
        <v>5.4294E-4</v>
      </c>
      <c r="H100" s="575">
        <v>0</v>
      </c>
      <c r="I100" s="575">
        <v>0</v>
      </c>
      <c r="J100" s="575">
        <v>0</v>
      </c>
      <c r="K100" s="575">
        <v>0</v>
      </c>
      <c r="L100" s="575">
        <v>0</v>
      </c>
      <c r="M100" s="575">
        <v>0.52600000000000002</v>
      </c>
      <c r="N100" s="575">
        <v>0.178728295197743</v>
      </c>
      <c r="O100" s="575">
        <v>5.4294E-4</v>
      </c>
      <c r="P100" s="575">
        <v>0</v>
      </c>
      <c r="Q100" s="575">
        <v>0.17818535519774301</v>
      </c>
    </row>
    <row r="101" spans="1:17">
      <c r="A101" s="237" t="s">
        <v>218</v>
      </c>
      <c r="B101" s="236" t="s">
        <v>401</v>
      </c>
      <c r="C101" s="297" t="s">
        <v>108</v>
      </c>
      <c r="D101" s="260" t="s">
        <v>397</v>
      </c>
      <c r="E101" s="575">
        <v>0.12355068</v>
      </c>
      <c r="F101" s="575">
        <v>9.9068000000000008E-4</v>
      </c>
      <c r="G101" s="575">
        <v>9.9068000000000008E-4</v>
      </c>
      <c r="H101" s="575">
        <v>0</v>
      </c>
      <c r="I101" s="575">
        <v>0</v>
      </c>
      <c r="J101" s="575">
        <v>0</v>
      </c>
      <c r="K101" s="575">
        <v>0</v>
      </c>
      <c r="L101" s="575">
        <v>0</v>
      </c>
      <c r="M101" s="575">
        <v>0.12256</v>
      </c>
      <c r="N101" s="575">
        <v>7.1932935354077993E-2</v>
      </c>
      <c r="O101" s="575">
        <v>9.9068000000000008E-4</v>
      </c>
      <c r="P101" s="575">
        <v>0</v>
      </c>
      <c r="Q101" s="575">
        <v>7.0942255354077999E-2</v>
      </c>
    </row>
    <row r="102" spans="1:17">
      <c r="A102" s="237" t="s">
        <v>218</v>
      </c>
      <c r="B102" s="236" t="s">
        <v>93</v>
      </c>
      <c r="C102" s="297" t="s">
        <v>108</v>
      </c>
      <c r="D102" s="260" t="s">
        <v>35</v>
      </c>
      <c r="E102" s="575">
        <v>0.68189555003200197</v>
      </c>
      <c r="F102" s="575">
        <v>0</v>
      </c>
      <c r="G102" s="575">
        <v>0</v>
      </c>
      <c r="H102" s="575">
        <v>0</v>
      </c>
      <c r="I102" s="575">
        <v>0</v>
      </c>
      <c r="J102" s="575">
        <v>0</v>
      </c>
      <c r="K102" s="575">
        <v>0</v>
      </c>
      <c r="L102" s="575">
        <v>0</v>
      </c>
      <c r="M102" s="575">
        <v>0.68189555003200197</v>
      </c>
      <c r="N102" s="575">
        <v>0.12126560258635</v>
      </c>
      <c r="O102" s="575">
        <v>0</v>
      </c>
      <c r="P102" s="575">
        <v>0</v>
      </c>
      <c r="Q102" s="575">
        <v>0.12126560258635</v>
      </c>
    </row>
    <row r="103" spans="1:17">
      <c r="A103" s="237" t="s">
        <v>218</v>
      </c>
      <c r="B103" s="236" t="s">
        <v>238</v>
      </c>
      <c r="C103" s="297" t="s">
        <v>108</v>
      </c>
      <c r="D103" s="260" t="s">
        <v>36</v>
      </c>
      <c r="E103" s="575">
        <v>0.72499999999999998</v>
      </c>
      <c r="F103" s="575">
        <v>0</v>
      </c>
      <c r="G103" s="575">
        <v>0</v>
      </c>
      <c r="H103" s="575">
        <v>0</v>
      </c>
      <c r="I103" s="575">
        <v>0</v>
      </c>
      <c r="J103" s="575">
        <v>0</v>
      </c>
      <c r="K103" s="575">
        <v>0</v>
      </c>
      <c r="L103" s="575">
        <v>0</v>
      </c>
      <c r="M103" s="575">
        <v>0.72499999999999998</v>
      </c>
      <c r="N103" s="575">
        <v>0.15152001136648599</v>
      </c>
      <c r="O103" s="575">
        <v>0</v>
      </c>
      <c r="P103" s="575">
        <v>0</v>
      </c>
      <c r="Q103" s="575">
        <v>0.15152001136648599</v>
      </c>
    </row>
    <row r="104" spans="1:17">
      <c r="A104" s="237" t="s">
        <v>218</v>
      </c>
      <c r="B104" s="236" t="s">
        <v>419</v>
      </c>
      <c r="C104" s="297" t="s">
        <v>108</v>
      </c>
      <c r="D104" s="260" t="s">
        <v>398</v>
      </c>
      <c r="E104" s="575">
        <v>0</v>
      </c>
      <c r="F104" s="575">
        <v>0</v>
      </c>
      <c r="G104" s="575">
        <v>0</v>
      </c>
      <c r="H104" s="575">
        <v>0</v>
      </c>
      <c r="I104" s="575">
        <v>0</v>
      </c>
      <c r="J104" s="575">
        <v>0</v>
      </c>
      <c r="K104" s="575">
        <v>0</v>
      </c>
      <c r="L104" s="575">
        <v>0</v>
      </c>
      <c r="M104" s="575">
        <v>0</v>
      </c>
      <c r="N104" s="575">
        <v>0</v>
      </c>
      <c r="O104" s="575">
        <v>0</v>
      </c>
      <c r="P104" s="575">
        <v>0</v>
      </c>
      <c r="Q104" s="575">
        <v>0</v>
      </c>
    </row>
    <row r="105" spans="1:17">
      <c r="A105" s="237"/>
      <c r="B105" s="235"/>
      <c r="C105" s="576" t="s">
        <v>374</v>
      </c>
      <c r="D105" s="576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</row>
    <row r="106" spans="1:17">
      <c r="A106" s="237" t="s">
        <v>57</v>
      </c>
      <c r="B106" s="236" t="s">
        <v>13</v>
      </c>
      <c r="C106" s="297" t="s">
        <v>308</v>
      </c>
      <c r="D106" s="260" t="s">
        <v>109</v>
      </c>
      <c r="E106" s="575">
        <v>16.5</v>
      </c>
      <c r="F106" s="575">
        <v>0</v>
      </c>
      <c r="G106" s="575">
        <v>0</v>
      </c>
      <c r="H106" s="575">
        <v>0</v>
      </c>
      <c r="I106" s="575">
        <v>0</v>
      </c>
      <c r="J106" s="575">
        <v>0</v>
      </c>
      <c r="K106" s="575">
        <v>0</v>
      </c>
      <c r="L106" s="575">
        <v>0</v>
      </c>
      <c r="M106" s="575">
        <v>16.5</v>
      </c>
      <c r="N106" s="575">
        <v>10.5</v>
      </c>
      <c r="O106" s="575">
        <v>0</v>
      </c>
      <c r="P106" s="575">
        <v>0</v>
      </c>
      <c r="Q106" s="575">
        <v>10.5</v>
      </c>
    </row>
    <row r="107" spans="1:17">
      <c r="A107" s="237" t="s">
        <v>39</v>
      </c>
      <c r="B107" s="236" t="s">
        <v>13</v>
      </c>
      <c r="C107" s="576" t="s">
        <v>374</v>
      </c>
      <c r="D107" s="576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</row>
    <row r="108" spans="1:17">
      <c r="A108" s="237" t="s">
        <v>239</v>
      </c>
      <c r="B108" s="236" t="s">
        <v>13</v>
      </c>
      <c r="C108" s="576" t="s">
        <v>374</v>
      </c>
      <c r="D108" s="576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</row>
    <row r="109" spans="1:17">
      <c r="A109" s="237" t="s">
        <v>374</v>
      </c>
      <c r="B109" s="236"/>
      <c r="C109" s="576" t="s">
        <v>374</v>
      </c>
      <c r="D109" s="576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</row>
    <row r="111" spans="1:17">
      <c r="A111" s="237" t="s">
        <v>242</v>
      </c>
      <c r="B111" s="236" t="s">
        <v>13</v>
      </c>
      <c r="D111" s="297" t="s">
        <v>14</v>
      </c>
      <c r="E111" s="337">
        <f>E13+E44+E75</f>
        <v>564.83484881923312</v>
      </c>
      <c r="F111" s="337">
        <f>F13+F44+F75</f>
        <v>172.92984669223662</v>
      </c>
      <c r="G111" s="337">
        <f t="shared" ref="G111:M111" si="0">G13+G44+G75</f>
        <v>15.08301356639649</v>
      </c>
      <c r="H111" s="337">
        <f>H13+H44+H75</f>
        <v>117.84683312584015</v>
      </c>
      <c r="I111" s="337">
        <f t="shared" si="0"/>
        <v>0</v>
      </c>
      <c r="J111" s="337">
        <f t="shared" si="0"/>
        <v>0</v>
      </c>
      <c r="K111" s="337">
        <f t="shared" si="0"/>
        <v>40</v>
      </c>
      <c r="L111" s="337">
        <f t="shared" si="0"/>
        <v>0</v>
      </c>
      <c r="M111" s="337">
        <f>M13+M44+M75</f>
        <v>391.90500212699652</v>
      </c>
      <c r="N111" s="337">
        <f t="shared" ref="F111:Q111" si="1">N13+N44+N75</f>
        <v>316.00384092610398</v>
      </c>
      <c r="O111" s="337">
        <f t="shared" si="1"/>
        <v>15.08301356639649</v>
      </c>
      <c r="P111" s="337">
        <f t="shared" ref="P111" si="2">P13+P44+P75</f>
        <v>117.84683312584015</v>
      </c>
      <c r="Q111" s="337">
        <f t="shared" si="1"/>
        <v>249.45652716059095</v>
      </c>
    </row>
    <row r="112" spans="1:17">
      <c r="A112" s="237" t="s">
        <v>242</v>
      </c>
      <c r="B112" s="236" t="s">
        <v>416</v>
      </c>
    </row>
    <row r="113" spans="1:17">
      <c r="A113" s="237" t="s">
        <v>242</v>
      </c>
      <c r="B113" s="236" t="s">
        <v>234</v>
      </c>
    </row>
    <row r="114" spans="1:17">
      <c r="A114" s="237" t="s">
        <v>242</v>
      </c>
      <c r="B114" s="236" t="s">
        <v>58</v>
      </c>
      <c r="C114" s="236" t="s">
        <v>58</v>
      </c>
      <c r="D114" s="297" t="s">
        <v>15</v>
      </c>
      <c r="E114" s="337">
        <f>E16+E47+E78</f>
        <v>249.98095744658181</v>
      </c>
      <c r="F114" s="337">
        <f>F16+F47+F78</f>
        <v>64.929944285886634</v>
      </c>
      <c r="G114" s="337">
        <f>G16+G47+G78</f>
        <v>4.9471084397979732</v>
      </c>
      <c r="H114" s="337">
        <f>H16+H47+H78</f>
        <v>59.982835846088648</v>
      </c>
      <c r="I114" s="337">
        <f>I16+I47+I78</f>
        <v>0</v>
      </c>
      <c r="J114" s="337">
        <f>J16+J47+J78</f>
        <v>0</v>
      </c>
      <c r="K114" s="337">
        <f>K16+K47+K78</f>
        <v>0</v>
      </c>
      <c r="L114" s="337">
        <f>L16+L47+L78</f>
        <v>0</v>
      </c>
      <c r="M114" s="337">
        <f>M16+M47+M78</f>
        <v>185.05101316069519</v>
      </c>
      <c r="N114" s="337">
        <f>N16+N47+N78</f>
        <v>141.25778433738395</v>
      </c>
      <c r="O114" s="337">
        <f>O16+O47+O78</f>
        <v>4.9471084397979732</v>
      </c>
      <c r="P114" s="337">
        <f>P16+P47+P78</f>
        <v>59.982835846088648</v>
      </c>
      <c r="Q114" s="337">
        <f>Q16+Q47+Q78</f>
        <v>118.71689436689837</v>
      </c>
    </row>
    <row r="115" spans="1:17">
      <c r="A115" s="237" t="s">
        <v>242</v>
      </c>
      <c r="B115" s="236" t="s">
        <v>17</v>
      </c>
      <c r="C115" s="236" t="s">
        <v>17</v>
      </c>
      <c r="D115" s="259" t="s">
        <v>101</v>
      </c>
      <c r="E115" s="337">
        <f t="shared" ref="E115:Q115" si="3">E17+E48+E79</f>
        <v>45.20326235402883</v>
      </c>
      <c r="F115" s="337">
        <f t="shared" si="3"/>
        <v>9.6212474392196192</v>
      </c>
      <c r="G115" s="337">
        <f t="shared" si="3"/>
        <v>0.686037514563275</v>
      </c>
      <c r="H115" s="337">
        <f t="shared" si="3"/>
        <v>8.9352099246563448</v>
      </c>
      <c r="I115" s="337">
        <f t="shared" si="3"/>
        <v>0</v>
      </c>
      <c r="J115" s="337">
        <f t="shared" si="3"/>
        <v>0</v>
      </c>
      <c r="K115" s="337">
        <f t="shared" si="3"/>
        <v>0</v>
      </c>
      <c r="L115" s="337">
        <f t="shared" si="3"/>
        <v>0</v>
      </c>
      <c r="M115" s="337">
        <f t="shared" si="3"/>
        <v>35.582014914809207</v>
      </c>
      <c r="N115" s="337">
        <f t="shared" si="3"/>
        <v>27.877064027584137</v>
      </c>
      <c r="O115" s="337">
        <f t="shared" si="3"/>
        <v>0.686037514563275</v>
      </c>
      <c r="P115" s="337">
        <f t="shared" si="3"/>
        <v>8.9352099246563448</v>
      </c>
      <c r="Q115" s="337">
        <f t="shared" si="3"/>
        <v>23.434445881603047</v>
      </c>
    </row>
    <row r="116" spans="1:17">
      <c r="A116" s="237" t="s">
        <v>242</v>
      </c>
      <c r="B116" s="236" t="s">
        <v>18</v>
      </c>
      <c r="C116" s="236" t="s">
        <v>18</v>
      </c>
      <c r="D116" s="259" t="s">
        <v>102</v>
      </c>
      <c r="E116" s="337">
        <f t="shared" ref="E116:Q116" si="4">E18+E49+E80</f>
        <v>0.50588570484989404</v>
      </c>
      <c r="F116" s="337">
        <f t="shared" si="4"/>
        <v>0</v>
      </c>
      <c r="G116" s="337">
        <f t="shared" si="4"/>
        <v>0</v>
      </c>
      <c r="H116" s="337">
        <f t="shared" si="4"/>
        <v>0</v>
      </c>
      <c r="I116" s="337">
        <f t="shared" si="4"/>
        <v>0</v>
      </c>
      <c r="J116" s="337">
        <f t="shared" si="4"/>
        <v>0</v>
      </c>
      <c r="K116" s="337">
        <f t="shared" si="4"/>
        <v>0</v>
      </c>
      <c r="L116" s="337">
        <f t="shared" si="4"/>
        <v>0</v>
      </c>
      <c r="M116" s="337">
        <f t="shared" si="4"/>
        <v>0.50588570484989404</v>
      </c>
      <c r="N116" s="337">
        <f t="shared" si="4"/>
        <v>0.33497069161663101</v>
      </c>
      <c r="O116" s="337">
        <f t="shared" si="4"/>
        <v>0</v>
      </c>
      <c r="P116" s="337">
        <f t="shared" si="4"/>
        <v>0</v>
      </c>
      <c r="Q116" s="337">
        <f t="shared" si="4"/>
        <v>0.33497069161663101</v>
      </c>
    </row>
    <row r="117" spans="1:17">
      <c r="A117" s="237" t="s">
        <v>242</v>
      </c>
      <c r="B117" s="236" t="s">
        <v>19</v>
      </c>
      <c r="C117" s="236" t="s">
        <v>19</v>
      </c>
      <c r="D117" s="259" t="s">
        <v>103</v>
      </c>
      <c r="E117" s="337">
        <f t="shared" ref="E117:Q117" si="5">E19+E50+E81</f>
        <v>55.410300122643896</v>
      </c>
      <c r="F117" s="337">
        <f t="shared" si="5"/>
        <v>14.302853427450277</v>
      </c>
      <c r="G117" s="337">
        <f t="shared" si="5"/>
        <v>2.331978255394568</v>
      </c>
      <c r="H117" s="337">
        <f t="shared" si="5"/>
        <v>11.970875172055708</v>
      </c>
      <c r="I117" s="337">
        <f t="shared" si="5"/>
        <v>0</v>
      </c>
      <c r="J117" s="337">
        <f t="shared" si="5"/>
        <v>0</v>
      </c>
      <c r="K117" s="337">
        <f t="shared" si="5"/>
        <v>0</v>
      </c>
      <c r="L117" s="337">
        <f t="shared" si="5"/>
        <v>0</v>
      </c>
      <c r="M117" s="337">
        <f t="shared" si="5"/>
        <v>41.107446695193623</v>
      </c>
      <c r="N117" s="337">
        <f t="shared" si="5"/>
        <v>33.362669607017814</v>
      </c>
      <c r="O117" s="337">
        <f t="shared" si="5"/>
        <v>2.331978255394568</v>
      </c>
      <c r="P117" s="337">
        <f t="shared" si="5"/>
        <v>11.970875172055708</v>
      </c>
      <c r="Q117" s="337">
        <f t="shared" si="5"/>
        <v>27.133322188397877</v>
      </c>
    </row>
    <row r="118" spans="1:17">
      <c r="A118" s="237" t="s">
        <v>242</v>
      </c>
      <c r="B118" s="236" t="s">
        <v>77</v>
      </c>
      <c r="C118" s="236" t="s">
        <v>77</v>
      </c>
      <c r="D118" s="259" t="s">
        <v>20</v>
      </c>
      <c r="E118" s="337">
        <f t="shared" ref="E118:Q118" si="6">E20+E51+E82</f>
        <v>50.454427096459412</v>
      </c>
      <c r="F118" s="337">
        <f t="shared" si="6"/>
        <v>19.219069172648346</v>
      </c>
      <c r="G118" s="337">
        <f t="shared" si="6"/>
        <v>0.42706631619019797</v>
      </c>
      <c r="H118" s="337">
        <f t="shared" si="6"/>
        <v>18.792002856458147</v>
      </c>
      <c r="I118" s="337">
        <f t="shared" si="6"/>
        <v>0</v>
      </c>
      <c r="J118" s="337">
        <f t="shared" si="6"/>
        <v>0</v>
      </c>
      <c r="K118" s="337">
        <f t="shared" si="6"/>
        <v>0</v>
      </c>
      <c r="L118" s="337">
        <f t="shared" si="6"/>
        <v>0</v>
      </c>
      <c r="M118" s="337">
        <f t="shared" si="6"/>
        <v>31.235357923811065</v>
      </c>
      <c r="N118" s="337">
        <f t="shared" si="6"/>
        <v>25.445098738513586</v>
      </c>
      <c r="O118" s="337">
        <f t="shared" si="6"/>
        <v>0.42706631619019797</v>
      </c>
      <c r="P118" s="337">
        <f t="shared" si="6"/>
        <v>18.792002856458147</v>
      </c>
      <c r="Q118" s="337">
        <f t="shared" si="6"/>
        <v>21.045409917937022</v>
      </c>
    </row>
    <row r="119" spans="1:17">
      <c r="A119" s="237" t="s">
        <v>242</v>
      </c>
      <c r="B119" s="236" t="s">
        <v>78</v>
      </c>
      <c r="C119" s="236" t="s">
        <v>78</v>
      </c>
      <c r="D119" s="259" t="s">
        <v>21</v>
      </c>
      <c r="E119" s="337">
        <f t="shared" ref="E119:Q119" si="7">E21+E52+E83</f>
        <v>17.714799341328522</v>
      </c>
      <c r="F119" s="337">
        <f t="shared" si="7"/>
        <v>2.8268992489075373</v>
      </c>
      <c r="G119" s="337">
        <f t="shared" si="7"/>
        <v>0.16254179194848301</v>
      </c>
      <c r="H119" s="337">
        <f t="shared" si="7"/>
        <v>2.6643574569590545</v>
      </c>
      <c r="I119" s="337">
        <f t="shared" si="7"/>
        <v>0</v>
      </c>
      <c r="J119" s="337">
        <f t="shared" si="7"/>
        <v>0</v>
      </c>
      <c r="K119" s="337">
        <f t="shared" si="7"/>
        <v>0</v>
      </c>
      <c r="L119" s="337">
        <f t="shared" si="7"/>
        <v>0</v>
      </c>
      <c r="M119" s="337">
        <f t="shared" si="7"/>
        <v>14.887900092420987</v>
      </c>
      <c r="N119" s="337">
        <f t="shared" si="7"/>
        <v>10.350170322563665</v>
      </c>
      <c r="O119" s="337">
        <f t="shared" si="7"/>
        <v>0.16254179194848301</v>
      </c>
      <c r="P119" s="337">
        <f t="shared" si="7"/>
        <v>2.6643574569590545</v>
      </c>
      <c r="Q119" s="337">
        <f t="shared" si="7"/>
        <v>9.5806714741403294</v>
      </c>
    </row>
    <row r="120" spans="1:17">
      <c r="A120" s="237" t="s">
        <v>242</v>
      </c>
      <c r="B120" s="236" t="s">
        <v>393</v>
      </c>
      <c r="C120" s="236" t="s">
        <v>393</v>
      </c>
      <c r="D120" s="259" t="s">
        <v>393</v>
      </c>
      <c r="E120" s="337">
        <f t="shared" ref="E120:Q120" si="8">E22+E53+E84</f>
        <v>4.7861503815335826</v>
      </c>
      <c r="F120" s="337">
        <f t="shared" si="8"/>
        <v>0.54506049815947299</v>
      </c>
      <c r="G120" s="337">
        <f t="shared" si="8"/>
        <v>0.13147240739785901</v>
      </c>
      <c r="H120" s="337">
        <f t="shared" si="8"/>
        <v>0.41358809076161401</v>
      </c>
      <c r="I120" s="337">
        <f t="shared" si="8"/>
        <v>0</v>
      </c>
      <c r="J120" s="337">
        <f t="shared" si="8"/>
        <v>0</v>
      </c>
      <c r="K120" s="337">
        <f t="shared" si="8"/>
        <v>0</v>
      </c>
      <c r="L120" s="337">
        <f t="shared" si="8"/>
        <v>0</v>
      </c>
      <c r="M120" s="337">
        <f t="shared" si="8"/>
        <v>4.2410898833741095</v>
      </c>
      <c r="N120" s="337">
        <f t="shared" si="8"/>
        <v>2.4146027508816892</v>
      </c>
      <c r="O120" s="337">
        <f t="shared" si="8"/>
        <v>0.13147240739785901</v>
      </c>
      <c r="P120" s="337">
        <f t="shared" si="8"/>
        <v>0.41358809076161401</v>
      </c>
      <c r="Q120" s="337">
        <f t="shared" si="8"/>
        <v>2.2738727044580371</v>
      </c>
    </row>
    <row r="121" spans="1:17">
      <c r="A121" s="237" t="s">
        <v>242</v>
      </c>
      <c r="B121" s="236" t="s">
        <v>80</v>
      </c>
      <c r="C121" s="236" t="s">
        <v>80</v>
      </c>
      <c r="D121" s="214" t="s">
        <v>80</v>
      </c>
      <c r="E121" s="337">
        <f t="shared" ref="E121:Q121" si="9">E23+E54+E85</f>
        <v>18.251587390000001</v>
      </c>
      <c r="F121" s="337">
        <f t="shared" si="9"/>
        <v>0</v>
      </c>
      <c r="G121" s="337">
        <f t="shared" si="9"/>
        <v>0</v>
      </c>
      <c r="H121" s="337">
        <f t="shared" si="9"/>
        <v>0</v>
      </c>
      <c r="I121" s="337">
        <f t="shared" si="9"/>
        <v>0</v>
      </c>
      <c r="J121" s="337">
        <f t="shared" si="9"/>
        <v>0</v>
      </c>
      <c r="K121" s="337">
        <f t="shared" si="9"/>
        <v>0</v>
      </c>
      <c r="L121" s="337">
        <f t="shared" si="9"/>
        <v>0</v>
      </c>
      <c r="M121" s="337">
        <f t="shared" si="9"/>
        <v>18.251587390000001</v>
      </c>
      <c r="N121" s="337">
        <f t="shared" si="9"/>
        <v>9.4343593000000006</v>
      </c>
      <c r="O121" s="337">
        <f t="shared" si="9"/>
        <v>0</v>
      </c>
      <c r="P121" s="337">
        <f t="shared" si="9"/>
        <v>0</v>
      </c>
      <c r="Q121" s="337">
        <f t="shared" si="9"/>
        <v>9.4343593000000006</v>
      </c>
    </row>
    <row r="122" spans="1:17">
      <c r="A122" s="237" t="s">
        <v>242</v>
      </c>
      <c r="B122" s="236" t="s">
        <v>104</v>
      </c>
      <c r="C122" s="236" t="s">
        <v>104</v>
      </c>
      <c r="D122" s="261" t="s">
        <v>405</v>
      </c>
      <c r="E122" s="337">
        <f t="shared" ref="E122:Q122" si="10">E24+E55+E86</f>
        <v>17.326043635658166</v>
      </c>
      <c r="F122" s="337">
        <f t="shared" si="10"/>
        <v>7.0856806157574663</v>
      </c>
      <c r="G122" s="337">
        <f t="shared" si="10"/>
        <v>0.16417210645014199</v>
      </c>
      <c r="H122" s="337">
        <f t="shared" si="10"/>
        <v>6.9215085093073245</v>
      </c>
      <c r="I122" s="337">
        <f t="shared" si="10"/>
        <v>0</v>
      </c>
      <c r="J122" s="337">
        <f t="shared" si="10"/>
        <v>0</v>
      </c>
      <c r="K122" s="337">
        <f t="shared" si="10"/>
        <v>0</v>
      </c>
      <c r="L122" s="337">
        <f t="shared" si="10"/>
        <v>0</v>
      </c>
      <c r="M122" s="337">
        <f t="shared" si="10"/>
        <v>10.240363019900702</v>
      </c>
      <c r="N122" s="337">
        <f t="shared" si="10"/>
        <v>11.400658107948132</v>
      </c>
      <c r="O122" s="337">
        <f t="shared" si="10"/>
        <v>0.16417210645014199</v>
      </c>
      <c r="P122" s="337">
        <f t="shared" si="10"/>
        <v>6.9215085093073245</v>
      </c>
      <c r="Q122" s="337">
        <f t="shared" si="10"/>
        <v>6.6495456199669007</v>
      </c>
    </row>
    <row r="123" spans="1:17">
      <c r="A123" s="237" t="s">
        <v>242</v>
      </c>
      <c r="B123" s="236" t="s">
        <v>105</v>
      </c>
      <c r="C123" s="236" t="s">
        <v>105</v>
      </c>
      <c r="D123" s="260" t="s">
        <v>25</v>
      </c>
      <c r="E123" s="337">
        <f t="shared" ref="E123:Q123" si="11">E25+E56+E87</f>
        <v>40.328501420079512</v>
      </c>
      <c r="F123" s="337">
        <f t="shared" si="11"/>
        <v>11.329133883743902</v>
      </c>
      <c r="G123" s="337">
        <f t="shared" si="11"/>
        <v>1.043840047853448</v>
      </c>
      <c r="H123" s="337">
        <f t="shared" si="11"/>
        <v>10.285293835890455</v>
      </c>
      <c r="I123" s="337">
        <f t="shared" si="11"/>
        <v>0</v>
      </c>
      <c r="J123" s="337">
        <f t="shared" si="11"/>
        <v>0</v>
      </c>
      <c r="K123" s="337">
        <f t="shared" si="11"/>
        <v>0</v>
      </c>
      <c r="L123" s="337">
        <f t="shared" si="11"/>
        <v>0</v>
      </c>
      <c r="M123" s="337">
        <f t="shared" si="11"/>
        <v>28.999367536335601</v>
      </c>
      <c r="N123" s="337">
        <f t="shared" si="11"/>
        <v>20.638190791258296</v>
      </c>
      <c r="O123" s="337">
        <f t="shared" si="11"/>
        <v>1.043840047853448</v>
      </c>
      <c r="P123" s="337">
        <f t="shared" si="11"/>
        <v>10.285293835890455</v>
      </c>
      <c r="Q123" s="337">
        <f t="shared" si="11"/>
        <v>18.830296588778538</v>
      </c>
    </row>
    <row r="124" spans="1:17">
      <c r="A124" s="237" t="s">
        <v>242</v>
      </c>
      <c r="B124" s="236" t="s">
        <v>26</v>
      </c>
      <c r="C124" s="236" t="s">
        <v>26</v>
      </c>
      <c r="D124" s="297" t="s">
        <v>26</v>
      </c>
      <c r="E124" s="337">
        <f t="shared" ref="E124:Q124" si="12">E26+E57+E88</f>
        <v>167.98626453216082</v>
      </c>
      <c r="F124" s="337">
        <f t="shared" si="12"/>
        <v>39.25859206782583</v>
      </c>
      <c r="G124" s="337">
        <f t="shared" si="12"/>
        <v>4.0310486334232918</v>
      </c>
      <c r="H124" s="337">
        <f t="shared" si="12"/>
        <v>35.227543434402534</v>
      </c>
      <c r="I124" s="337">
        <f t="shared" si="12"/>
        <v>0</v>
      </c>
      <c r="J124" s="337">
        <f t="shared" si="12"/>
        <v>0</v>
      </c>
      <c r="K124" s="337">
        <f t="shared" si="12"/>
        <v>0</v>
      </c>
      <c r="L124" s="337">
        <f t="shared" si="12"/>
        <v>0</v>
      </c>
      <c r="M124" s="337">
        <f t="shared" si="12"/>
        <v>128.727672464335</v>
      </c>
      <c r="N124" s="337">
        <f t="shared" si="12"/>
        <v>90.596380375619475</v>
      </c>
      <c r="O124" s="337">
        <f t="shared" si="12"/>
        <v>4.0310486334232918</v>
      </c>
      <c r="P124" s="337">
        <f t="shared" si="12"/>
        <v>35.227543434402534</v>
      </c>
      <c r="Q124" s="337">
        <f t="shared" si="12"/>
        <v>80.201563874398133</v>
      </c>
    </row>
    <row r="125" spans="1:17">
      <c r="A125" s="237" t="s">
        <v>242</v>
      </c>
      <c r="B125" s="236" t="s">
        <v>235</v>
      </c>
      <c r="C125" s="236" t="s">
        <v>235</v>
      </c>
      <c r="D125" s="260" t="s">
        <v>28</v>
      </c>
      <c r="E125" s="337">
        <f t="shared" ref="E125:Q125" si="13">E27+E58+E89</f>
        <v>48.177489005927079</v>
      </c>
      <c r="F125" s="337">
        <f t="shared" si="13"/>
        <v>19.988037506627972</v>
      </c>
      <c r="G125" s="337">
        <f t="shared" si="13"/>
        <v>0.65884755448272192</v>
      </c>
      <c r="H125" s="337">
        <f t="shared" si="13"/>
        <v>19.329189952145249</v>
      </c>
      <c r="I125" s="337">
        <f t="shared" si="13"/>
        <v>0</v>
      </c>
      <c r="J125" s="337">
        <f t="shared" si="13"/>
        <v>0</v>
      </c>
      <c r="K125" s="337">
        <f t="shared" si="13"/>
        <v>0</v>
      </c>
      <c r="L125" s="337">
        <f t="shared" si="13"/>
        <v>0</v>
      </c>
      <c r="M125" s="337">
        <f t="shared" si="13"/>
        <v>28.189451499299107</v>
      </c>
      <c r="N125" s="337">
        <f t="shared" si="13"/>
        <v>22.173553152201432</v>
      </c>
      <c r="O125" s="337">
        <f t="shared" si="13"/>
        <v>0.65884755448272192</v>
      </c>
      <c r="P125" s="337">
        <f t="shared" si="13"/>
        <v>19.329189952145249</v>
      </c>
      <c r="Q125" s="337">
        <f t="shared" si="13"/>
        <v>18.08203175284353</v>
      </c>
    </row>
    <row r="126" spans="1:17">
      <c r="A126" s="237" t="s">
        <v>242</v>
      </c>
      <c r="B126" s="236" t="s">
        <v>106</v>
      </c>
      <c r="C126" s="236" t="s">
        <v>106</v>
      </c>
      <c r="D126" s="260" t="s">
        <v>27</v>
      </c>
      <c r="E126" s="337">
        <f t="shared" ref="E126:Q126" si="14">E28+E59+E90</f>
        <v>19.55309457856556</v>
      </c>
      <c r="F126" s="337">
        <f t="shared" si="14"/>
        <v>1.890806779039423</v>
      </c>
      <c r="G126" s="337">
        <f t="shared" si="14"/>
        <v>0.48033698349436799</v>
      </c>
      <c r="H126" s="337">
        <f t="shared" si="14"/>
        <v>1.4104697955450549</v>
      </c>
      <c r="I126" s="337">
        <f t="shared" si="14"/>
        <v>0</v>
      </c>
      <c r="J126" s="337">
        <f t="shared" si="14"/>
        <v>0</v>
      </c>
      <c r="K126" s="337">
        <f t="shared" si="14"/>
        <v>0</v>
      </c>
      <c r="L126" s="337">
        <f t="shared" si="14"/>
        <v>0</v>
      </c>
      <c r="M126" s="337">
        <f t="shared" si="14"/>
        <v>17.662287799526137</v>
      </c>
      <c r="N126" s="337">
        <f t="shared" si="14"/>
        <v>11.365205426739516</v>
      </c>
      <c r="O126" s="337">
        <f t="shared" si="14"/>
        <v>0.48033698349436799</v>
      </c>
      <c r="P126" s="337">
        <f t="shared" si="14"/>
        <v>1.4104697955450549</v>
      </c>
      <c r="Q126" s="337">
        <f t="shared" si="14"/>
        <v>10.882671937759458</v>
      </c>
    </row>
    <row r="127" spans="1:17">
      <c r="A127" s="237" t="s">
        <v>242</v>
      </c>
      <c r="B127" s="236" t="s">
        <v>87</v>
      </c>
      <c r="C127" s="236" t="s">
        <v>87</v>
      </c>
      <c r="D127" s="260" t="s">
        <v>30</v>
      </c>
      <c r="E127" s="337">
        <f t="shared" ref="E127:Q127" si="15">E29+E60+E91</f>
        <v>18.95129941602022</v>
      </c>
      <c r="F127" s="337">
        <f t="shared" si="15"/>
        <v>2.532607451158821</v>
      </c>
      <c r="G127" s="337">
        <f t="shared" si="15"/>
        <v>0.23564059164377998</v>
      </c>
      <c r="H127" s="337">
        <f t="shared" si="15"/>
        <v>2.2969668595150408</v>
      </c>
      <c r="I127" s="337">
        <f t="shared" si="15"/>
        <v>0</v>
      </c>
      <c r="J127" s="337">
        <f t="shared" si="15"/>
        <v>0</v>
      </c>
      <c r="K127" s="337">
        <f t="shared" si="15"/>
        <v>0</v>
      </c>
      <c r="L127" s="337">
        <f t="shared" si="15"/>
        <v>0</v>
      </c>
      <c r="M127" s="337">
        <f t="shared" si="15"/>
        <v>16.418691964861399</v>
      </c>
      <c r="N127" s="337">
        <f t="shared" si="15"/>
        <v>11.020303803119903</v>
      </c>
      <c r="O127" s="337">
        <f t="shared" si="15"/>
        <v>0.23564059164377998</v>
      </c>
      <c r="P127" s="337">
        <f t="shared" si="15"/>
        <v>2.2969668595150408</v>
      </c>
      <c r="Q127" s="337">
        <f t="shared" si="15"/>
        <v>10.720265301503394</v>
      </c>
    </row>
    <row r="128" spans="1:17">
      <c r="A128" s="237" t="s">
        <v>242</v>
      </c>
      <c r="B128" s="236" t="s">
        <v>107</v>
      </c>
      <c r="C128" s="236" t="s">
        <v>107</v>
      </c>
      <c r="D128" s="260" t="s">
        <v>29</v>
      </c>
      <c r="E128" s="337">
        <f t="shared" ref="E128:Q128" si="16">E30+E61+E92</f>
        <v>13.754489862403682</v>
      </c>
      <c r="F128" s="337">
        <f t="shared" si="16"/>
        <v>1.3048205214965942</v>
      </c>
      <c r="G128" s="337">
        <f t="shared" si="16"/>
        <v>0.32343773658631902</v>
      </c>
      <c r="H128" s="337">
        <f t="shared" si="16"/>
        <v>0.98138278491027497</v>
      </c>
      <c r="I128" s="337">
        <f t="shared" si="16"/>
        <v>0</v>
      </c>
      <c r="J128" s="337">
        <f t="shared" si="16"/>
        <v>0</v>
      </c>
      <c r="K128" s="337">
        <f t="shared" si="16"/>
        <v>0</v>
      </c>
      <c r="L128" s="337">
        <f t="shared" si="16"/>
        <v>0</v>
      </c>
      <c r="M128" s="337">
        <f t="shared" si="16"/>
        <v>12.449669340907089</v>
      </c>
      <c r="N128" s="337">
        <f t="shared" si="16"/>
        <v>7.7429039319386828</v>
      </c>
      <c r="O128" s="337">
        <f t="shared" si="16"/>
        <v>0.32343773658631902</v>
      </c>
      <c r="P128" s="337">
        <f t="shared" si="16"/>
        <v>0.98138278491027497</v>
      </c>
      <c r="Q128" s="337">
        <f t="shared" si="16"/>
        <v>7.3580659198949965</v>
      </c>
    </row>
    <row r="129" spans="1:17">
      <c r="A129" s="237" t="s">
        <v>242</v>
      </c>
      <c r="B129" s="236" t="s">
        <v>236</v>
      </c>
      <c r="C129" s="236" t="s">
        <v>236</v>
      </c>
      <c r="D129" s="260" t="s">
        <v>31</v>
      </c>
      <c r="E129" s="337">
        <f t="shared" ref="E129:Q129" si="17">E31+E62+E93</f>
        <v>15.226189618320602</v>
      </c>
      <c r="F129" s="337">
        <f t="shared" si="17"/>
        <v>2.8914368651688389</v>
      </c>
      <c r="G129" s="337">
        <f t="shared" si="17"/>
        <v>0.81112784925857795</v>
      </c>
      <c r="H129" s="337">
        <f t="shared" si="17"/>
        <v>2.0803090159102609</v>
      </c>
      <c r="I129" s="337">
        <f t="shared" si="17"/>
        <v>0</v>
      </c>
      <c r="J129" s="337">
        <f t="shared" si="17"/>
        <v>0</v>
      </c>
      <c r="K129" s="337">
        <f t="shared" si="17"/>
        <v>0</v>
      </c>
      <c r="L129" s="337">
        <f t="shared" si="17"/>
        <v>0</v>
      </c>
      <c r="M129" s="337">
        <f t="shared" si="17"/>
        <v>12.334752753151763</v>
      </c>
      <c r="N129" s="337">
        <f t="shared" si="17"/>
        <v>9.5267414040239622</v>
      </c>
      <c r="O129" s="337">
        <f t="shared" si="17"/>
        <v>0.81112784925857795</v>
      </c>
      <c r="P129" s="337">
        <f t="shared" si="17"/>
        <v>2.0803090159102609</v>
      </c>
      <c r="Q129" s="337">
        <f t="shared" si="17"/>
        <v>7.7698459802349245</v>
      </c>
    </row>
    <row r="130" spans="1:17">
      <c r="A130" s="237" t="s">
        <v>242</v>
      </c>
      <c r="B130" s="236" t="s">
        <v>237</v>
      </c>
      <c r="C130" s="236" t="s">
        <v>237</v>
      </c>
      <c r="D130" s="260" t="s">
        <v>394</v>
      </c>
      <c r="E130" s="337">
        <f t="shared" ref="E130:Q130" si="18">E32+E63+E94</f>
        <v>20.718344066366317</v>
      </c>
      <c r="F130" s="337">
        <f t="shared" si="18"/>
        <v>1.7835506924811551</v>
      </c>
      <c r="G130" s="337">
        <f t="shared" si="18"/>
        <v>-5.3140999999999996E-4</v>
      </c>
      <c r="H130" s="337">
        <f t="shared" si="18"/>
        <v>1.7840821024811551</v>
      </c>
      <c r="I130" s="337">
        <f t="shared" si="18"/>
        <v>0</v>
      </c>
      <c r="J130" s="337">
        <f t="shared" si="18"/>
        <v>0</v>
      </c>
      <c r="K130" s="337">
        <f t="shared" si="18"/>
        <v>0</v>
      </c>
      <c r="L130" s="337">
        <f t="shared" si="18"/>
        <v>0</v>
      </c>
      <c r="M130" s="337">
        <f t="shared" si="18"/>
        <v>18.934793373885164</v>
      </c>
      <c r="N130" s="337">
        <f t="shared" si="18"/>
        <v>12.012439043080661</v>
      </c>
      <c r="O130" s="337">
        <f t="shared" si="18"/>
        <v>-5.3140999999999996E-4</v>
      </c>
      <c r="P130" s="337">
        <f t="shared" si="18"/>
        <v>1.7840821024811551</v>
      </c>
      <c r="Q130" s="337">
        <f t="shared" si="18"/>
        <v>11.585650532258807</v>
      </c>
    </row>
    <row r="131" spans="1:17">
      <c r="A131" s="237" t="s">
        <v>242</v>
      </c>
      <c r="B131" s="236" t="s">
        <v>163</v>
      </c>
      <c r="C131" s="236" t="s">
        <v>163</v>
      </c>
      <c r="D131" s="260" t="s">
        <v>403</v>
      </c>
      <c r="E131" s="337">
        <f t="shared" ref="E131:Q131" si="19">E33+E64+E95</f>
        <v>9.4598897330462641</v>
      </c>
      <c r="F131" s="337">
        <f t="shared" si="19"/>
        <v>0.92507586216005588</v>
      </c>
      <c r="G131" s="337">
        <f t="shared" si="19"/>
        <v>-5.7003440000000002E-2</v>
      </c>
      <c r="H131" s="337">
        <f t="shared" si="19"/>
        <v>0.98207930216005601</v>
      </c>
      <c r="I131" s="337">
        <f t="shared" si="19"/>
        <v>0</v>
      </c>
      <c r="J131" s="337">
        <f t="shared" si="19"/>
        <v>0</v>
      </c>
      <c r="K131" s="337">
        <f t="shared" si="19"/>
        <v>0</v>
      </c>
      <c r="L131" s="337">
        <f t="shared" si="19"/>
        <v>0</v>
      </c>
      <c r="M131" s="337">
        <f t="shared" si="19"/>
        <v>8.5348138708862109</v>
      </c>
      <c r="N131" s="337">
        <f t="shared" si="19"/>
        <v>5.5991927734368394</v>
      </c>
      <c r="O131" s="337">
        <f t="shared" si="19"/>
        <v>-5.7003440000000002E-2</v>
      </c>
      <c r="P131" s="337">
        <f t="shared" si="19"/>
        <v>0.98207930216005601</v>
      </c>
      <c r="Q131" s="337">
        <f t="shared" si="19"/>
        <v>5.3622419509030168</v>
      </c>
    </row>
    <row r="132" spans="1:17">
      <c r="A132" s="237" t="s">
        <v>242</v>
      </c>
      <c r="B132" s="236" t="s">
        <v>404</v>
      </c>
      <c r="C132" s="236" t="s">
        <v>404</v>
      </c>
      <c r="D132" s="214" t="s">
        <v>395</v>
      </c>
      <c r="E132" s="337">
        <f t="shared" ref="E132:Q132" si="20">E34+E65+E96</f>
        <v>0.78678218181818205</v>
      </c>
      <c r="F132" s="337">
        <f t="shared" si="20"/>
        <v>0</v>
      </c>
      <c r="G132" s="337">
        <f t="shared" si="20"/>
        <v>0</v>
      </c>
      <c r="H132" s="337">
        <f t="shared" si="20"/>
        <v>0</v>
      </c>
      <c r="I132" s="337">
        <f t="shared" si="20"/>
        <v>0</v>
      </c>
      <c r="J132" s="337">
        <f t="shared" si="20"/>
        <v>0</v>
      </c>
      <c r="K132" s="337">
        <f t="shared" si="20"/>
        <v>0</v>
      </c>
      <c r="L132" s="337">
        <f t="shared" si="20"/>
        <v>0</v>
      </c>
      <c r="M132" s="337">
        <f t="shared" si="20"/>
        <v>0.78678218181818205</v>
      </c>
      <c r="N132" s="337">
        <f t="shared" si="20"/>
        <v>-1.7698E-3</v>
      </c>
      <c r="O132" s="337">
        <f t="shared" si="20"/>
        <v>0</v>
      </c>
      <c r="P132" s="337">
        <f t="shared" si="20"/>
        <v>0</v>
      </c>
      <c r="Q132" s="337">
        <f t="shared" si="20"/>
        <v>-1.7698E-3</v>
      </c>
    </row>
    <row r="133" spans="1:17">
      <c r="A133" s="237" t="s">
        <v>242</v>
      </c>
      <c r="B133" s="236" t="s">
        <v>59</v>
      </c>
      <c r="C133" s="236" t="s">
        <v>59</v>
      </c>
      <c r="D133" s="297" t="s">
        <v>33</v>
      </c>
      <c r="E133" s="337">
        <f t="shared" ref="E133:Q133" si="21">E35+E66+E97</f>
        <v>56.13682553562348</v>
      </c>
      <c r="F133" s="337">
        <f t="shared" si="21"/>
        <v>9.5128586836891902</v>
      </c>
      <c r="G133" s="337">
        <f t="shared" si="21"/>
        <v>3.439291254973925</v>
      </c>
      <c r="H133" s="337">
        <f t="shared" si="21"/>
        <v>6.073567428715263</v>
      </c>
      <c r="I133" s="337">
        <f t="shared" si="21"/>
        <v>0</v>
      </c>
      <c r="J133" s="337">
        <f t="shared" si="21"/>
        <v>0</v>
      </c>
      <c r="K133" s="337">
        <f t="shared" si="21"/>
        <v>0</v>
      </c>
      <c r="L133" s="337">
        <f t="shared" si="21"/>
        <v>0</v>
      </c>
      <c r="M133" s="337">
        <f t="shared" si="21"/>
        <v>46.623966851934291</v>
      </c>
      <c r="N133" s="337">
        <f t="shared" si="21"/>
        <v>35.815835565950728</v>
      </c>
      <c r="O133" s="337">
        <f t="shared" si="21"/>
        <v>3.439291254973925</v>
      </c>
      <c r="P133" s="337">
        <f t="shared" si="21"/>
        <v>6.073567428715263</v>
      </c>
      <c r="Q133" s="337">
        <f t="shared" si="21"/>
        <v>32.108000000000004</v>
      </c>
    </row>
    <row r="134" spans="1:17">
      <c r="A134" s="237" t="s">
        <v>242</v>
      </c>
      <c r="B134" s="236" t="s">
        <v>34</v>
      </c>
      <c r="C134" s="236" t="s">
        <v>34</v>
      </c>
      <c r="D134" s="297" t="s">
        <v>34</v>
      </c>
      <c r="E134" s="337">
        <f t="shared" ref="E134:Q134" si="22">E36+E67+E98</f>
        <v>50.730801304867029</v>
      </c>
      <c r="F134" s="337">
        <f t="shared" si="22"/>
        <v>19.22845165483502</v>
      </c>
      <c r="G134" s="337">
        <f t="shared" si="22"/>
        <v>2.6655652382013049</v>
      </c>
      <c r="H134" s="337">
        <f t="shared" si="22"/>
        <v>16.562886416633717</v>
      </c>
      <c r="I134" s="337">
        <f t="shared" si="22"/>
        <v>0</v>
      </c>
      <c r="J134" s="337">
        <f t="shared" si="22"/>
        <v>0</v>
      </c>
      <c r="K134" s="337">
        <f t="shared" si="22"/>
        <v>0</v>
      </c>
      <c r="L134" s="337">
        <f t="shared" si="22"/>
        <v>0</v>
      </c>
      <c r="M134" s="337">
        <f t="shared" si="22"/>
        <v>31.502349650031999</v>
      </c>
      <c r="N134" s="337">
        <f t="shared" si="22"/>
        <v>24.333840647149827</v>
      </c>
      <c r="O134" s="337">
        <f t="shared" si="22"/>
        <v>2.6655652382013049</v>
      </c>
      <c r="P134" s="337">
        <f t="shared" si="22"/>
        <v>16.562886416633717</v>
      </c>
      <c r="Q134" s="337">
        <f t="shared" si="22"/>
        <v>18.430068919294481</v>
      </c>
    </row>
    <row r="135" spans="1:17">
      <c r="A135" s="237" t="s">
        <v>242</v>
      </c>
      <c r="B135" s="236" t="s">
        <v>399</v>
      </c>
      <c r="C135" s="236" t="s">
        <v>399</v>
      </c>
      <c r="D135" s="260" t="s">
        <v>296</v>
      </c>
      <c r="E135" s="337">
        <f t="shared" ref="E135:Q135" si="23">E37+E68+E99</f>
        <v>13.914614105924525</v>
      </c>
      <c r="F135" s="337">
        <f t="shared" si="23"/>
        <v>4.5629418109245155</v>
      </c>
      <c r="G135" s="337">
        <f t="shared" si="23"/>
        <v>1.2618116928984211</v>
      </c>
      <c r="H135" s="337">
        <f t="shared" si="23"/>
        <v>3.3011301180260952</v>
      </c>
      <c r="I135" s="337">
        <f t="shared" si="23"/>
        <v>0</v>
      </c>
      <c r="J135" s="337">
        <f t="shared" si="23"/>
        <v>0</v>
      </c>
      <c r="K135" s="337">
        <f t="shared" si="23"/>
        <v>0</v>
      </c>
      <c r="L135" s="337">
        <f t="shared" si="23"/>
        <v>0</v>
      </c>
      <c r="M135" s="337">
        <f t="shared" si="23"/>
        <v>9.3516722950000073</v>
      </c>
      <c r="N135" s="337">
        <f t="shared" si="23"/>
        <v>7.7092446500933649</v>
      </c>
      <c r="O135" s="337">
        <f t="shared" si="23"/>
        <v>1.2618116928984211</v>
      </c>
      <c r="P135" s="337">
        <f t="shared" si="23"/>
        <v>3.3011301180260952</v>
      </c>
      <c r="Q135" s="337">
        <f t="shared" si="23"/>
        <v>6.0598404497898182</v>
      </c>
    </row>
    <row r="136" spans="1:17">
      <c r="A136" s="237" t="s">
        <v>242</v>
      </c>
      <c r="B136" s="236" t="s">
        <v>409</v>
      </c>
      <c r="C136" s="236" t="s">
        <v>400</v>
      </c>
      <c r="D136" s="260" t="s">
        <v>396</v>
      </c>
      <c r="E136" s="337">
        <f t="shared" ref="E136:Q136" si="24">E38+E69+E100</f>
        <v>11.898610266274726</v>
      </c>
      <c r="F136" s="337">
        <f t="shared" si="24"/>
        <v>4.9716145112747325</v>
      </c>
      <c r="G136" s="337">
        <f t="shared" si="24"/>
        <v>0.14138808999999999</v>
      </c>
      <c r="H136" s="337">
        <f t="shared" si="24"/>
        <v>4.8302264212747321</v>
      </c>
      <c r="I136" s="337">
        <f t="shared" si="24"/>
        <v>0</v>
      </c>
      <c r="J136" s="337">
        <f t="shared" si="24"/>
        <v>0</v>
      </c>
      <c r="K136" s="337">
        <f t="shared" si="24"/>
        <v>0</v>
      </c>
      <c r="L136" s="337">
        <f t="shared" si="24"/>
        <v>0</v>
      </c>
      <c r="M136" s="337">
        <f t="shared" si="24"/>
        <v>6.926995754999993</v>
      </c>
      <c r="N136" s="337">
        <f t="shared" si="24"/>
        <v>5.5567088966829825</v>
      </c>
      <c r="O136" s="337">
        <f t="shared" si="24"/>
        <v>0.14138808999999999</v>
      </c>
      <c r="P136" s="337">
        <f t="shared" si="24"/>
        <v>4.8302264212747321</v>
      </c>
      <c r="Q136" s="337">
        <f t="shared" si="24"/>
        <v>3.4550461901977378</v>
      </c>
    </row>
    <row r="137" spans="1:17">
      <c r="A137" s="237" t="s">
        <v>242</v>
      </c>
      <c r="B137" s="236" t="s">
        <v>401</v>
      </c>
      <c r="C137" s="236" t="s">
        <v>401</v>
      </c>
      <c r="D137" s="260" t="s">
        <v>397</v>
      </c>
      <c r="E137" s="337">
        <f t="shared" ref="E137:Q137" si="25">E39+E70+E101</f>
        <v>4.3204037691904977</v>
      </c>
      <c r="F137" s="337">
        <f t="shared" si="25"/>
        <v>1.9348938691904969</v>
      </c>
      <c r="G137" s="337">
        <f t="shared" si="25"/>
        <v>0.34508999917778105</v>
      </c>
      <c r="H137" s="337">
        <f t="shared" si="25"/>
        <v>1.5898038700127159</v>
      </c>
      <c r="I137" s="337">
        <f t="shared" si="25"/>
        <v>0</v>
      </c>
      <c r="J137" s="337">
        <f t="shared" si="25"/>
        <v>0</v>
      </c>
      <c r="K137" s="337">
        <f t="shared" si="25"/>
        <v>0</v>
      </c>
      <c r="L137" s="337">
        <f t="shared" si="25"/>
        <v>0</v>
      </c>
      <c r="M137" s="337">
        <f t="shared" si="25"/>
        <v>2.3855098999999997</v>
      </c>
      <c r="N137" s="337">
        <f t="shared" si="25"/>
        <v>2.2533700079718995</v>
      </c>
      <c r="O137" s="337">
        <f t="shared" si="25"/>
        <v>0.34508999917778105</v>
      </c>
      <c r="P137" s="337">
        <f t="shared" si="25"/>
        <v>1.5898038700127159</v>
      </c>
      <c r="Q137" s="337">
        <f t="shared" si="25"/>
        <v>1.5463035753540819</v>
      </c>
    </row>
    <row r="138" spans="1:17">
      <c r="A138" s="237" t="s">
        <v>242</v>
      </c>
      <c r="B138" s="236" t="s">
        <v>93</v>
      </c>
      <c r="C138" s="236" t="s">
        <v>93</v>
      </c>
      <c r="D138" s="260" t="s">
        <v>35</v>
      </c>
      <c r="E138" s="337">
        <f t="shared" ref="E138:Q138" si="26">E40+E71+E102</f>
        <v>7.0027466061694179</v>
      </c>
      <c r="F138" s="337">
        <f t="shared" si="26"/>
        <v>2.626950631137416</v>
      </c>
      <c r="G138" s="337">
        <f t="shared" si="26"/>
        <v>0.50999994322972897</v>
      </c>
      <c r="H138" s="337">
        <f t="shared" si="26"/>
        <v>2.1169506879076869</v>
      </c>
      <c r="I138" s="337">
        <f t="shared" si="26"/>
        <v>0</v>
      </c>
      <c r="J138" s="337">
        <f t="shared" si="26"/>
        <v>0</v>
      </c>
      <c r="K138" s="337">
        <f t="shared" si="26"/>
        <v>0</v>
      </c>
      <c r="L138" s="337">
        <f t="shared" si="26"/>
        <v>0</v>
      </c>
      <c r="M138" s="337">
        <f t="shared" si="26"/>
        <v>4.3757959750320019</v>
      </c>
      <c r="N138" s="337">
        <f t="shared" si="26"/>
        <v>3.0132303988731732</v>
      </c>
      <c r="O138" s="337">
        <f t="shared" si="26"/>
        <v>0.50999994322972897</v>
      </c>
      <c r="P138" s="337">
        <f t="shared" si="26"/>
        <v>2.1169506879076869</v>
      </c>
      <c r="Q138" s="337">
        <f t="shared" si="26"/>
        <v>2.2084548325863538</v>
      </c>
    </row>
    <row r="139" spans="1:17">
      <c r="A139" s="237" t="s">
        <v>242</v>
      </c>
      <c r="B139" s="236" t="s">
        <v>238</v>
      </c>
      <c r="C139" s="236" t="s">
        <v>238</v>
      </c>
      <c r="D139" s="260" t="s">
        <v>36</v>
      </c>
      <c r="E139" s="337">
        <f>E41+E72+E103</f>
        <v>13.594426557307862</v>
      </c>
      <c r="F139" s="337">
        <f t="shared" ref="E139:Q139" si="27">F41+F72+F103</f>
        <v>5.1320508323078604</v>
      </c>
      <c r="G139" s="337">
        <f t="shared" si="27"/>
        <v>0.407275512895374</v>
      </c>
      <c r="H139" s="337">
        <f t="shared" si="27"/>
        <v>4.724775319412486</v>
      </c>
      <c r="I139" s="337">
        <f t="shared" si="27"/>
        <v>0</v>
      </c>
      <c r="J139" s="337">
        <f t="shared" si="27"/>
        <v>0</v>
      </c>
      <c r="K139" s="337">
        <f t="shared" si="27"/>
        <v>0</v>
      </c>
      <c r="L139" s="337">
        <f t="shared" si="27"/>
        <v>0</v>
      </c>
      <c r="M139" s="337">
        <f t="shared" si="27"/>
        <v>8.4623757250000029</v>
      </c>
      <c r="N139" s="337">
        <f t="shared" si="27"/>
        <v>5.8012866935284091</v>
      </c>
      <c r="O139" s="337">
        <f t="shared" si="27"/>
        <v>0.407275512895374</v>
      </c>
      <c r="P139" s="337">
        <f t="shared" si="27"/>
        <v>4.724775319412486</v>
      </c>
      <c r="Q139" s="337">
        <f t="shared" si="27"/>
        <v>5.1604238713664889</v>
      </c>
    </row>
    <row r="140" spans="1:17">
      <c r="A140" s="237" t="s">
        <v>242</v>
      </c>
      <c r="B140" s="236" t="s">
        <v>419</v>
      </c>
      <c r="C140" s="236" t="s">
        <v>419</v>
      </c>
      <c r="D140" s="260" t="s">
        <v>398</v>
      </c>
      <c r="E140" s="337">
        <f t="shared" ref="E140:Q140" si="28">E42+E73+E104</f>
        <v>0</v>
      </c>
      <c r="F140" s="337">
        <f t="shared" si="28"/>
        <v>0</v>
      </c>
      <c r="G140" s="337">
        <f t="shared" si="28"/>
        <v>0</v>
      </c>
      <c r="H140" s="337">
        <f t="shared" si="28"/>
        <v>0</v>
      </c>
      <c r="I140" s="337">
        <f t="shared" si="28"/>
        <v>0</v>
      </c>
      <c r="J140" s="337">
        <f t="shared" si="28"/>
        <v>0</v>
      </c>
      <c r="K140" s="337">
        <f t="shared" si="28"/>
        <v>0</v>
      </c>
      <c r="L140" s="337">
        <f t="shared" si="28"/>
        <v>0</v>
      </c>
      <c r="M140" s="337">
        <f t="shared" si="28"/>
        <v>0</v>
      </c>
      <c r="N140" s="337">
        <f t="shared" si="28"/>
        <v>0</v>
      </c>
      <c r="O140" s="337">
        <f t="shared" si="28"/>
        <v>0</v>
      </c>
      <c r="P140" s="337">
        <f t="shared" si="28"/>
        <v>0</v>
      </c>
      <c r="Q140" s="337">
        <f t="shared" si="28"/>
        <v>0</v>
      </c>
    </row>
  </sheetData>
  <autoFilter ref="A12:Q109" xr:uid="{2AB830F8-B01F-497A-AE0D-40ED40B1636D}"/>
  <mergeCells count="3">
    <mergeCell ref="E7:Q7"/>
    <mergeCell ref="E8:M8"/>
    <mergeCell ref="N8:Q8"/>
  </mergeCells>
  <pageMargins left="0.7" right="0.7" top="0.75" bottom="0.75" header="0.3" footer="0.3"/>
  <customProperties>
    <customPr name="COR_MapSheets" r:id="rId1"/>
    <customPr name="Serialized_Sheet_Mapping" r:id="rId2"/>
  </customPropertie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140A9-81A7-41CD-8EFE-AEF1B6371BEF}">
  <sheetPr>
    <tabColor rgb="FF808080"/>
  </sheetPr>
  <dimension ref="B3:O172"/>
  <sheetViews>
    <sheetView topLeftCell="A136" workbookViewId="0">
      <selection activeCell="D13" sqref="D13:O16"/>
    </sheetView>
  </sheetViews>
  <sheetFormatPr defaultRowHeight="14.4"/>
  <cols>
    <col min="1" max="1" width="2.77734375" customWidth="1"/>
    <col min="2" max="2" width="31.77734375" customWidth="1"/>
    <col min="3" max="3" width="16.44140625" bestFit="1" customWidth="1"/>
    <col min="4" max="4" width="19.6640625" bestFit="1" customWidth="1"/>
    <col min="5" max="5" width="11.33203125" bestFit="1" customWidth="1"/>
    <col min="6" max="6" width="6.5546875" bestFit="1" customWidth="1"/>
    <col min="7" max="7" width="19.6640625" bestFit="1" customWidth="1"/>
    <col min="8" max="8" width="11.33203125" bestFit="1" customWidth="1"/>
    <col min="9" max="9" width="6.5546875" bestFit="1" customWidth="1"/>
    <col min="10" max="10" width="19.6640625" bestFit="1" customWidth="1"/>
    <col min="11" max="11" width="11.33203125" bestFit="1" customWidth="1"/>
    <col min="12" max="12" width="6.5546875" bestFit="1" customWidth="1"/>
    <col min="13" max="13" width="19.6640625" bestFit="1" customWidth="1"/>
    <col min="14" max="14" width="11.33203125" bestFit="1" customWidth="1"/>
    <col min="15" max="15" width="6.5546875" bestFit="1" customWidth="1"/>
  </cols>
  <sheetData>
    <row r="3" spans="2:15" ht="14.4" hidden="1" customHeight="1">
      <c r="B3" s="389" t="s">
        <v>375</v>
      </c>
      <c r="C3" s="387" t="s">
        <v>363</v>
      </c>
    </row>
    <row r="4" spans="2:15" ht="14.4" hidden="1" customHeight="1">
      <c r="B4" s="389" t="s">
        <v>376</v>
      </c>
      <c r="C4" s="387" t="s">
        <v>291</v>
      </c>
    </row>
    <row r="5" spans="2:15" ht="14.4" hidden="1" customHeight="1">
      <c r="B5" s="389" t="s">
        <v>377</v>
      </c>
      <c r="C5" s="388" t="s">
        <v>364</v>
      </c>
    </row>
    <row r="6" spans="2:15" ht="14.4" hidden="1" customHeight="1">
      <c r="B6" s="389" t="s">
        <v>378</v>
      </c>
      <c r="C6" s="388" t="s">
        <v>1174</v>
      </c>
    </row>
    <row r="7" spans="2:15" ht="14.4" hidden="1" customHeight="1">
      <c r="B7" s="389" t="s">
        <v>379</v>
      </c>
      <c r="C7" s="387" t="s">
        <v>380</v>
      </c>
    </row>
    <row r="8" spans="2:15" ht="14.4" hidden="1" customHeight="1">
      <c r="B8" s="389" t="s">
        <v>381</v>
      </c>
      <c r="C8" s="387" t="s">
        <v>310</v>
      </c>
    </row>
    <row r="9" spans="2:15" ht="14.4" hidden="1" customHeight="1">
      <c r="B9" s="389" t="s">
        <v>382</v>
      </c>
      <c r="C9" s="387" t="s">
        <v>370</v>
      </c>
    </row>
    <row r="10" spans="2:15" ht="14.4" hidden="1" customHeight="1">
      <c r="B10" s="389" t="s">
        <v>383</v>
      </c>
      <c r="C10" s="387"/>
    </row>
    <row r="11" spans="2:15" ht="14.4" hidden="1" customHeight="1">
      <c r="B11" s="389" t="s">
        <v>384</v>
      </c>
      <c r="C11" s="387"/>
    </row>
    <row r="12" spans="2:15" ht="14.4" hidden="1" customHeight="1"/>
    <row r="13" spans="2:15">
      <c r="B13" s="586"/>
      <c r="C13" s="588"/>
      <c r="D13" s="562" t="s">
        <v>8</v>
      </c>
      <c r="E13" s="563"/>
      <c r="F13" s="563"/>
      <c r="G13" s="563"/>
      <c r="H13" s="563"/>
      <c r="I13" s="564"/>
      <c r="J13" s="562" t="s">
        <v>9</v>
      </c>
      <c r="K13" s="563"/>
      <c r="L13" s="563"/>
      <c r="M13" s="563"/>
      <c r="N13" s="563"/>
      <c r="O13" s="564"/>
    </row>
    <row r="14" spans="2:15">
      <c r="B14" s="589"/>
      <c r="C14" s="591"/>
      <c r="D14" s="562" t="s">
        <v>64</v>
      </c>
      <c r="E14" s="563"/>
      <c r="F14" s="563"/>
      <c r="G14" s="563"/>
      <c r="H14" s="563"/>
      <c r="I14" s="564"/>
      <c r="J14" s="562" t="s">
        <v>64</v>
      </c>
      <c r="K14" s="563"/>
      <c r="L14" s="563"/>
      <c r="M14" s="563"/>
      <c r="N14" s="563"/>
      <c r="O14" s="564"/>
    </row>
    <row r="15" spans="2:15">
      <c r="B15" s="589"/>
      <c r="C15" s="591"/>
      <c r="D15" s="562" t="s">
        <v>60</v>
      </c>
      <c r="E15" s="563"/>
      <c r="F15" s="564"/>
      <c r="G15" s="562" t="s">
        <v>111</v>
      </c>
      <c r="H15" s="563"/>
      <c r="I15" s="564"/>
      <c r="J15" s="562" t="s">
        <v>60</v>
      </c>
      <c r="K15" s="563"/>
      <c r="L15" s="564"/>
      <c r="M15" s="562" t="s">
        <v>111</v>
      </c>
      <c r="N15" s="563"/>
      <c r="O15" s="564"/>
    </row>
    <row r="16" spans="2:15">
      <c r="B16" s="592"/>
      <c r="C16" s="594"/>
      <c r="D16" s="51" t="s">
        <v>100</v>
      </c>
      <c r="E16" s="51" t="s">
        <v>199</v>
      </c>
      <c r="F16" s="51" t="s">
        <v>200</v>
      </c>
      <c r="G16" s="51" t="s">
        <v>100</v>
      </c>
      <c r="H16" s="51" t="s">
        <v>199</v>
      </c>
      <c r="I16" s="51" t="s">
        <v>200</v>
      </c>
      <c r="J16" s="51" t="s">
        <v>100</v>
      </c>
      <c r="K16" s="51" t="s">
        <v>199</v>
      </c>
      <c r="L16" s="51" t="s">
        <v>200</v>
      </c>
      <c r="M16" s="51" t="s">
        <v>100</v>
      </c>
      <c r="N16" s="51" t="s">
        <v>199</v>
      </c>
      <c r="O16" s="51" t="s">
        <v>200</v>
      </c>
    </row>
    <row r="17" spans="2:15">
      <c r="B17" s="565" t="s">
        <v>292</v>
      </c>
      <c r="C17" s="101" t="s">
        <v>13</v>
      </c>
      <c r="D17" s="575">
        <v>0</v>
      </c>
      <c r="E17" s="575">
        <v>0</v>
      </c>
      <c r="F17" s="575">
        <v>0</v>
      </c>
      <c r="G17" s="575">
        <v>0</v>
      </c>
      <c r="H17" s="575">
        <v>0</v>
      </c>
      <c r="I17" s="575">
        <v>0</v>
      </c>
      <c r="J17" s="575">
        <v>0</v>
      </c>
      <c r="K17" s="575">
        <v>0</v>
      </c>
      <c r="L17" s="575">
        <v>0</v>
      </c>
      <c r="M17" s="575">
        <v>0</v>
      </c>
      <c r="N17" s="575">
        <v>0</v>
      </c>
      <c r="O17" s="575">
        <v>0</v>
      </c>
    </row>
    <row r="18" spans="2:15">
      <c r="B18" s="566"/>
      <c r="C18" s="53" t="s">
        <v>15</v>
      </c>
      <c r="D18" s="575">
        <v>0</v>
      </c>
      <c r="E18" s="575">
        <v>0</v>
      </c>
      <c r="F18" s="575">
        <v>0</v>
      </c>
      <c r="G18" s="575">
        <v>0</v>
      </c>
      <c r="H18" s="575">
        <v>0</v>
      </c>
      <c r="I18" s="575">
        <v>0</v>
      </c>
      <c r="J18" s="575">
        <v>0</v>
      </c>
      <c r="K18" s="575">
        <v>0</v>
      </c>
      <c r="L18" s="575">
        <v>0</v>
      </c>
      <c r="M18" s="575">
        <v>0</v>
      </c>
      <c r="N18" s="575">
        <v>0</v>
      </c>
      <c r="O18" s="575">
        <v>0</v>
      </c>
    </row>
    <row r="19" spans="2:15">
      <c r="B19" s="566"/>
      <c r="C19" s="103" t="s">
        <v>16</v>
      </c>
      <c r="D19" s="575">
        <v>0</v>
      </c>
      <c r="E19" s="575">
        <v>0</v>
      </c>
      <c r="F19" s="575">
        <v>0</v>
      </c>
      <c r="G19" s="575">
        <v>0</v>
      </c>
      <c r="H19" s="575">
        <v>0</v>
      </c>
      <c r="I19" s="575">
        <v>0</v>
      </c>
      <c r="J19" s="575">
        <v>0</v>
      </c>
      <c r="K19" s="575">
        <v>0</v>
      </c>
      <c r="L19" s="575">
        <v>0</v>
      </c>
      <c r="M19" s="575">
        <v>0</v>
      </c>
      <c r="N19" s="575">
        <v>0</v>
      </c>
      <c r="O19" s="575">
        <v>0</v>
      </c>
    </row>
    <row r="20" spans="2:15">
      <c r="B20" s="566"/>
      <c r="C20" s="52" t="s">
        <v>293</v>
      </c>
      <c r="D20" s="575">
        <v>0</v>
      </c>
      <c r="E20" s="575">
        <v>0</v>
      </c>
      <c r="F20" s="575">
        <v>0</v>
      </c>
      <c r="G20" s="575">
        <v>0</v>
      </c>
      <c r="H20" s="575">
        <v>0</v>
      </c>
      <c r="I20" s="575">
        <v>0</v>
      </c>
      <c r="J20" s="575">
        <v>0</v>
      </c>
      <c r="K20" s="575">
        <v>0</v>
      </c>
      <c r="L20" s="575">
        <v>0</v>
      </c>
      <c r="M20" s="575">
        <v>0</v>
      </c>
      <c r="N20" s="575">
        <v>0</v>
      </c>
      <c r="O20" s="575">
        <v>0</v>
      </c>
    </row>
    <row r="21" spans="2:15">
      <c r="B21" s="566"/>
      <c r="C21" s="52" t="s">
        <v>294</v>
      </c>
      <c r="D21" s="575">
        <v>0</v>
      </c>
      <c r="E21" s="575">
        <v>0</v>
      </c>
      <c r="F21" s="575">
        <v>0</v>
      </c>
      <c r="G21" s="575">
        <v>0</v>
      </c>
      <c r="H21" s="575">
        <v>0</v>
      </c>
      <c r="I21" s="575">
        <v>0</v>
      </c>
      <c r="J21" s="575">
        <v>0</v>
      </c>
      <c r="K21" s="575">
        <v>0</v>
      </c>
      <c r="L21" s="575">
        <v>0</v>
      </c>
      <c r="M21" s="575">
        <v>0</v>
      </c>
      <c r="N21" s="575">
        <v>0</v>
      </c>
      <c r="O21" s="575">
        <v>0</v>
      </c>
    </row>
    <row r="22" spans="2:15">
      <c r="B22" s="566"/>
      <c r="C22" s="52" t="s">
        <v>295</v>
      </c>
      <c r="D22" s="575">
        <v>0</v>
      </c>
      <c r="E22" s="575">
        <v>0</v>
      </c>
      <c r="F22" s="575">
        <v>0</v>
      </c>
      <c r="G22" s="575">
        <v>0</v>
      </c>
      <c r="H22" s="575">
        <v>0</v>
      </c>
      <c r="I22" s="575">
        <v>0</v>
      </c>
      <c r="J22" s="575">
        <v>0</v>
      </c>
      <c r="K22" s="575">
        <v>0</v>
      </c>
      <c r="L22" s="575">
        <v>0</v>
      </c>
      <c r="M22" s="575">
        <v>0</v>
      </c>
      <c r="N22" s="575">
        <v>0</v>
      </c>
      <c r="O22" s="575">
        <v>0</v>
      </c>
    </row>
    <row r="23" spans="2:15">
      <c r="B23" s="566"/>
      <c r="C23" s="52" t="s">
        <v>405</v>
      </c>
      <c r="D23" s="575">
        <v>0</v>
      </c>
      <c r="E23" s="575">
        <v>0</v>
      </c>
      <c r="F23" s="575">
        <v>0</v>
      </c>
      <c r="G23" s="575">
        <v>0</v>
      </c>
      <c r="H23" s="575">
        <v>0</v>
      </c>
      <c r="I23" s="575">
        <v>0</v>
      </c>
      <c r="J23" s="575">
        <v>0</v>
      </c>
      <c r="K23" s="575">
        <v>0</v>
      </c>
      <c r="L23" s="575">
        <v>0</v>
      </c>
      <c r="M23" s="575">
        <v>0</v>
      </c>
      <c r="N23" s="575">
        <v>0</v>
      </c>
      <c r="O23" s="575">
        <v>0</v>
      </c>
    </row>
    <row r="24" spans="2:15">
      <c r="B24" s="566"/>
      <c r="C24" s="103" t="s">
        <v>105</v>
      </c>
      <c r="D24" s="575">
        <v>0</v>
      </c>
      <c r="E24" s="575">
        <v>0</v>
      </c>
      <c r="F24" s="575">
        <v>0</v>
      </c>
      <c r="G24" s="575">
        <v>0</v>
      </c>
      <c r="H24" s="575">
        <v>0</v>
      </c>
      <c r="I24" s="575">
        <v>0</v>
      </c>
      <c r="J24" s="575">
        <v>0</v>
      </c>
      <c r="K24" s="575">
        <v>0</v>
      </c>
      <c r="L24" s="575">
        <v>0</v>
      </c>
      <c r="M24" s="575">
        <v>0</v>
      </c>
      <c r="N24" s="575">
        <v>0</v>
      </c>
      <c r="O24" s="575">
        <v>0</v>
      </c>
    </row>
    <row r="25" spans="2:15">
      <c r="B25" s="566"/>
      <c r="C25" s="53" t="s">
        <v>34</v>
      </c>
      <c r="D25" s="575">
        <v>0</v>
      </c>
      <c r="E25" s="575">
        <v>0</v>
      </c>
      <c r="F25" s="575">
        <v>0</v>
      </c>
      <c r="G25" s="575">
        <v>0</v>
      </c>
      <c r="H25" s="575">
        <v>0</v>
      </c>
      <c r="I25" s="575">
        <v>0</v>
      </c>
      <c r="J25" s="575">
        <v>0</v>
      </c>
      <c r="K25" s="575">
        <v>0</v>
      </c>
      <c r="L25" s="575">
        <v>0</v>
      </c>
      <c r="M25" s="575">
        <v>0</v>
      </c>
      <c r="N25" s="575">
        <v>0</v>
      </c>
      <c r="O25" s="575">
        <v>0</v>
      </c>
    </row>
    <row r="26" spans="2:15">
      <c r="B26" s="566"/>
      <c r="C26" s="103" t="s">
        <v>396</v>
      </c>
      <c r="D26" s="575">
        <v>0</v>
      </c>
      <c r="E26" s="575">
        <v>0</v>
      </c>
      <c r="F26" s="575">
        <v>0</v>
      </c>
      <c r="G26" s="575">
        <v>0</v>
      </c>
      <c r="H26" s="575">
        <v>0</v>
      </c>
      <c r="I26" s="575">
        <v>0</v>
      </c>
      <c r="J26" s="575">
        <v>0</v>
      </c>
      <c r="K26" s="575">
        <v>0</v>
      </c>
      <c r="L26" s="575">
        <v>0</v>
      </c>
      <c r="M26" s="575">
        <v>0</v>
      </c>
      <c r="N26" s="575">
        <v>0</v>
      </c>
      <c r="O26" s="575">
        <v>0</v>
      </c>
    </row>
    <row r="27" spans="2:15">
      <c r="B27" s="566"/>
      <c r="C27" s="103" t="s">
        <v>296</v>
      </c>
      <c r="D27" s="575">
        <v>0</v>
      </c>
      <c r="E27" s="575">
        <v>0</v>
      </c>
      <c r="F27" s="575">
        <v>0</v>
      </c>
      <c r="G27" s="575">
        <v>0</v>
      </c>
      <c r="H27" s="575">
        <v>0</v>
      </c>
      <c r="I27" s="575">
        <v>0</v>
      </c>
      <c r="J27" s="575">
        <v>0</v>
      </c>
      <c r="K27" s="575">
        <v>0</v>
      </c>
      <c r="L27" s="575">
        <v>0</v>
      </c>
      <c r="M27" s="575">
        <v>0</v>
      </c>
      <c r="N27" s="575">
        <v>0</v>
      </c>
      <c r="O27" s="575">
        <v>0</v>
      </c>
    </row>
    <row r="28" spans="2:15">
      <c r="B28" s="566"/>
      <c r="C28" s="103" t="s">
        <v>397</v>
      </c>
      <c r="D28" s="575">
        <v>0</v>
      </c>
      <c r="E28" s="575">
        <v>0</v>
      </c>
      <c r="F28" s="575">
        <v>0</v>
      </c>
      <c r="G28" s="575">
        <v>0</v>
      </c>
      <c r="H28" s="575">
        <v>0</v>
      </c>
      <c r="I28" s="575">
        <v>0</v>
      </c>
      <c r="J28" s="575">
        <v>0</v>
      </c>
      <c r="K28" s="575">
        <v>0</v>
      </c>
      <c r="L28" s="575">
        <v>0</v>
      </c>
      <c r="M28" s="575">
        <v>0</v>
      </c>
      <c r="N28" s="575">
        <v>0</v>
      </c>
      <c r="O28" s="575">
        <v>0</v>
      </c>
    </row>
    <row r="29" spans="2:15">
      <c r="B29" s="566"/>
      <c r="C29" s="103" t="s">
        <v>298</v>
      </c>
      <c r="D29" s="575">
        <v>0</v>
      </c>
      <c r="E29" s="575">
        <v>0</v>
      </c>
      <c r="F29" s="575">
        <v>0</v>
      </c>
      <c r="G29" s="575">
        <v>0</v>
      </c>
      <c r="H29" s="575">
        <v>0</v>
      </c>
      <c r="I29" s="575">
        <v>0</v>
      </c>
      <c r="J29" s="575">
        <v>0</v>
      </c>
      <c r="K29" s="575">
        <v>0</v>
      </c>
      <c r="L29" s="575">
        <v>0</v>
      </c>
      <c r="M29" s="575">
        <v>0</v>
      </c>
      <c r="N29" s="575">
        <v>0</v>
      </c>
      <c r="O29" s="575">
        <v>0</v>
      </c>
    </row>
    <row r="30" spans="2:15">
      <c r="B30" s="566"/>
      <c r="C30" s="103" t="s">
        <v>297</v>
      </c>
      <c r="D30" s="575">
        <v>0</v>
      </c>
      <c r="E30" s="575">
        <v>0</v>
      </c>
      <c r="F30" s="575">
        <v>0</v>
      </c>
      <c r="G30" s="575">
        <v>0</v>
      </c>
      <c r="H30" s="575">
        <v>0</v>
      </c>
      <c r="I30" s="575">
        <v>0</v>
      </c>
      <c r="J30" s="575">
        <v>0</v>
      </c>
      <c r="K30" s="575">
        <v>0</v>
      </c>
      <c r="L30" s="575">
        <v>0</v>
      </c>
      <c r="M30" s="575">
        <v>0</v>
      </c>
      <c r="N30" s="575">
        <v>0</v>
      </c>
      <c r="O30" s="575">
        <v>0</v>
      </c>
    </row>
    <row r="31" spans="2:15">
      <c r="B31" s="566"/>
      <c r="C31" s="103" t="s">
        <v>398</v>
      </c>
      <c r="D31" s="575">
        <v>0</v>
      </c>
      <c r="E31" s="575">
        <v>0</v>
      </c>
      <c r="F31" s="575">
        <v>0</v>
      </c>
      <c r="G31" s="575">
        <v>0</v>
      </c>
      <c r="H31" s="575">
        <v>0</v>
      </c>
      <c r="I31" s="575">
        <v>0</v>
      </c>
      <c r="J31" s="575">
        <v>0</v>
      </c>
      <c r="K31" s="575">
        <v>0</v>
      </c>
      <c r="L31" s="575">
        <v>0</v>
      </c>
      <c r="M31" s="575">
        <v>0</v>
      </c>
      <c r="N31" s="575">
        <v>0</v>
      </c>
      <c r="O31" s="575">
        <v>0</v>
      </c>
    </row>
    <row r="32" spans="2:15">
      <c r="B32" s="566"/>
      <c r="C32" s="53" t="s">
        <v>26</v>
      </c>
      <c r="D32" s="575">
        <v>0</v>
      </c>
      <c r="E32" s="575">
        <v>0</v>
      </c>
      <c r="F32" s="575">
        <v>0</v>
      </c>
      <c r="G32" s="575">
        <v>0</v>
      </c>
      <c r="H32" s="575">
        <v>0</v>
      </c>
      <c r="I32" s="575">
        <v>0</v>
      </c>
      <c r="J32" s="575">
        <v>0</v>
      </c>
      <c r="K32" s="575">
        <v>0</v>
      </c>
      <c r="L32" s="575">
        <v>0</v>
      </c>
      <c r="M32" s="575">
        <v>0</v>
      </c>
      <c r="N32" s="575">
        <v>0</v>
      </c>
      <c r="O32" s="575">
        <v>0</v>
      </c>
    </row>
    <row r="33" spans="2:15">
      <c r="B33" s="566"/>
      <c r="C33" s="103" t="s">
        <v>299</v>
      </c>
      <c r="D33" s="575">
        <v>0</v>
      </c>
      <c r="E33" s="575">
        <v>0</v>
      </c>
      <c r="F33" s="575">
        <v>0</v>
      </c>
      <c r="G33" s="575">
        <v>0</v>
      </c>
      <c r="H33" s="575">
        <v>0</v>
      </c>
      <c r="I33" s="575">
        <v>0</v>
      </c>
      <c r="J33" s="575">
        <v>0</v>
      </c>
      <c r="K33" s="575">
        <v>0</v>
      </c>
      <c r="L33" s="575">
        <v>0</v>
      </c>
      <c r="M33" s="575">
        <v>0</v>
      </c>
      <c r="N33" s="575">
        <v>0</v>
      </c>
      <c r="O33" s="575">
        <v>0</v>
      </c>
    </row>
    <row r="34" spans="2:15">
      <c r="B34" s="566"/>
      <c r="C34" s="103" t="s">
        <v>301</v>
      </c>
      <c r="D34" s="575">
        <v>0</v>
      </c>
      <c r="E34" s="575">
        <v>0</v>
      </c>
      <c r="F34" s="575">
        <v>0</v>
      </c>
      <c r="G34" s="575">
        <v>0</v>
      </c>
      <c r="H34" s="575">
        <v>0</v>
      </c>
      <c r="I34" s="575">
        <v>0</v>
      </c>
      <c r="J34" s="575">
        <v>0</v>
      </c>
      <c r="K34" s="575">
        <v>0</v>
      </c>
      <c r="L34" s="575">
        <v>0</v>
      </c>
      <c r="M34" s="575">
        <v>0</v>
      </c>
      <c r="N34" s="575">
        <v>0</v>
      </c>
      <c r="O34" s="575">
        <v>0</v>
      </c>
    </row>
    <row r="35" spans="2:15">
      <c r="B35" s="566"/>
      <c r="C35" s="103" t="s">
        <v>303</v>
      </c>
      <c r="D35" s="575">
        <v>0</v>
      </c>
      <c r="E35" s="575">
        <v>0</v>
      </c>
      <c r="F35" s="575">
        <v>0</v>
      </c>
      <c r="G35" s="575">
        <v>0</v>
      </c>
      <c r="H35" s="575">
        <v>0</v>
      </c>
      <c r="I35" s="575">
        <v>0</v>
      </c>
      <c r="J35" s="575">
        <v>0</v>
      </c>
      <c r="K35" s="575">
        <v>0</v>
      </c>
      <c r="L35" s="575">
        <v>0</v>
      </c>
      <c r="M35" s="575">
        <v>0</v>
      </c>
      <c r="N35" s="575">
        <v>0</v>
      </c>
      <c r="O35" s="575">
        <v>0</v>
      </c>
    </row>
    <row r="36" spans="2:15">
      <c r="B36" s="566"/>
      <c r="C36" s="103" t="s">
        <v>302</v>
      </c>
      <c r="D36" s="575">
        <v>0</v>
      </c>
      <c r="E36" s="575">
        <v>0</v>
      </c>
      <c r="F36" s="575">
        <v>0</v>
      </c>
      <c r="G36" s="575">
        <v>0</v>
      </c>
      <c r="H36" s="575">
        <v>0</v>
      </c>
      <c r="I36" s="575">
        <v>0</v>
      </c>
      <c r="J36" s="575">
        <v>0</v>
      </c>
      <c r="K36" s="575">
        <v>0</v>
      </c>
      <c r="L36" s="575">
        <v>0</v>
      </c>
      <c r="M36" s="575">
        <v>0</v>
      </c>
      <c r="N36" s="575">
        <v>0</v>
      </c>
      <c r="O36" s="575">
        <v>0</v>
      </c>
    </row>
    <row r="37" spans="2:15">
      <c r="B37" s="566"/>
      <c r="C37" s="103" t="s">
        <v>403</v>
      </c>
      <c r="D37" s="575">
        <v>0</v>
      </c>
      <c r="E37" s="575">
        <v>0</v>
      </c>
      <c r="F37" s="575">
        <v>0</v>
      </c>
      <c r="G37" s="575">
        <v>0</v>
      </c>
      <c r="H37" s="575">
        <v>0</v>
      </c>
      <c r="I37" s="575">
        <v>0</v>
      </c>
      <c r="J37" s="575">
        <v>0</v>
      </c>
      <c r="K37" s="575">
        <v>0</v>
      </c>
      <c r="L37" s="575">
        <v>0</v>
      </c>
      <c r="M37" s="575">
        <v>0</v>
      </c>
      <c r="N37" s="575">
        <v>0</v>
      </c>
      <c r="O37" s="575">
        <v>0</v>
      </c>
    </row>
    <row r="38" spans="2:15">
      <c r="B38" s="566"/>
      <c r="C38" s="103" t="s">
        <v>394</v>
      </c>
      <c r="D38" s="575">
        <v>0</v>
      </c>
      <c r="E38" s="575">
        <v>0</v>
      </c>
      <c r="F38" s="575">
        <v>0</v>
      </c>
      <c r="G38" s="575">
        <v>0</v>
      </c>
      <c r="H38" s="575">
        <v>0</v>
      </c>
      <c r="I38" s="575">
        <v>0</v>
      </c>
      <c r="J38" s="575">
        <v>0</v>
      </c>
      <c r="K38" s="575">
        <v>0</v>
      </c>
      <c r="L38" s="575">
        <v>0</v>
      </c>
      <c r="M38" s="575">
        <v>0</v>
      </c>
      <c r="N38" s="575">
        <v>0</v>
      </c>
      <c r="O38" s="575">
        <v>0</v>
      </c>
    </row>
    <row r="39" spans="2:15">
      <c r="B39" s="566"/>
      <c r="C39" s="103" t="s">
        <v>300</v>
      </c>
      <c r="D39" s="575">
        <v>0</v>
      </c>
      <c r="E39" s="575">
        <v>0</v>
      </c>
      <c r="F39" s="575">
        <v>0</v>
      </c>
      <c r="G39" s="575">
        <v>0</v>
      </c>
      <c r="H39" s="575">
        <v>0</v>
      </c>
      <c r="I39" s="575">
        <v>0</v>
      </c>
      <c r="J39" s="575">
        <v>0</v>
      </c>
      <c r="K39" s="575">
        <v>0</v>
      </c>
      <c r="L39" s="575">
        <v>0</v>
      </c>
      <c r="M39" s="575">
        <v>0</v>
      </c>
      <c r="N39" s="575">
        <v>0</v>
      </c>
      <c r="O39" s="575">
        <v>0</v>
      </c>
    </row>
    <row r="40" spans="2:15">
      <c r="B40" s="566"/>
      <c r="C40" s="103" t="s">
        <v>395</v>
      </c>
      <c r="D40" s="575">
        <v>0</v>
      </c>
      <c r="E40" s="575">
        <v>0</v>
      </c>
      <c r="F40" s="575">
        <v>0</v>
      </c>
      <c r="G40" s="575">
        <v>0</v>
      </c>
      <c r="H40" s="575">
        <v>0</v>
      </c>
      <c r="I40" s="575">
        <v>0</v>
      </c>
      <c r="J40" s="575">
        <v>0</v>
      </c>
      <c r="K40" s="575">
        <v>0</v>
      </c>
      <c r="L40" s="575">
        <v>0</v>
      </c>
      <c r="M40" s="575">
        <v>0</v>
      </c>
      <c r="N40" s="575">
        <v>0</v>
      </c>
      <c r="O40" s="575">
        <v>0</v>
      </c>
    </row>
    <row r="41" spans="2:15">
      <c r="B41" s="566"/>
      <c r="C41" s="53" t="s">
        <v>90</v>
      </c>
      <c r="D41" s="575">
        <v>0</v>
      </c>
      <c r="E41" s="575">
        <v>0</v>
      </c>
      <c r="F41" s="575">
        <v>0</v>
      </c>
      <c r="G41" s="575">
        <v>0</v>
      </c>
      <c r="H41" s="575">
        <v>0</v>
      </c>
      <c r="I41" s="575">
        <v>0</v>
      </c>
      <c r="J41" s="575">
        <v>0</v>
      </c>
      <c r="K41" s="575">
        <v>0</v>
      </c>
      <c r="L41" s="575">
        <v>0</v>
      </c>
      <c r="M41" s="575">
        <v>0</v>
      </c>
      <c r="N41" s="575">
        <v>0</v>
      </c>
      <c r="O41" s="575">
        <v>0</v>
      </c>
    </row>
    <row r="42" spans="2:15">
      <c r="B42" s="567"/>
      <c r="C42" s="53" t="s">
        <v>304</v>
      </c>
      <c r="D42" s="575">
        <v>0</v>
      </c>
      <c r="E42" s="575">
        <v>0</v>
      </c>
      <c r="F42" s="575">
        <v>0</v>
      </c>
      <c r="G42" s="575">
        <v>0</v>
      </c>
      <c r="H42" s="575">
        <v>0</v>
      </c>
      <c r="I42" s="575">
        <v>0</v>
      </c>
      <c r="J42" s="575">
        <v>0</v>
      </c>
      <c r="K42" s="575">
        <v>0</v>
      </c>
      <c r="L42" s="575">
        <v>0</v>
      </c>
      <c r="M42" s="575">
        <v>0</v>
      </c>
      <c r="N42" s="575">
        <v>0</v>
      </c>
      <c r="O42" s="575">
        <v>0</v>
      </c>
    </row>
    <row r="43" spans="2:15">
      <c r="B43" s="568" t="s">
        <v>305</v>
      </c>
      <c r="C43" s="101" t="s">
        <v>13</v>
      </c>
      <c r="D43" s="575">
        <v>0</v>
      </c>
      <c r="E43" s="575">
        <v>0</v>
      </c>
      <c r="F43" s="575">
        <v>0</v>
      </c>
      <c r="G43" s="575">
        <v>0</v>
      </c>
      <c r="H43" s="575">
        <v>0</v>
      </c>
      <c r="I43" s="575">
        <v>0</v>
      </c>
      <c r="J43" s="575">
        <v>0</v>
      </c>
      <c r="K43" s="575">
        <v>0</v>
      </c>
      <c r="L43" s="575">
        <v>0</v>
      </c>
      <c r="M43" s="575">
        <v>0</v>
      </c>
      <c r="N43" s="575">
        <v>0</v>
      </c>
      <c r="O43" s="575">
        <v>0</v>
      </c>
    </row>
    <row r="44" spans="2:15">
      <c r="B44" s="569"/>
      <c r="C44" s="53" t="s">
        <v>15</v>
      </c>
      <c r="D44" s="575">
        <v>0</v>
      </c>
      <c r="E44" s="575">
        <v>0</v>
      </c>
      <c r="F44" s="575">
        <v>0</v>
      </c>
      <c r="G44" s="575">
        <v>0</v>
      </c>
      <c r="H44" s="575">
        <v>0</v>
      </c>
      <c r="I44" s="575">
        <v>0</v>
      </c>
      <c r="J44" s="575">
        <v>0</v>
      </c>
      <c r="K44" s="575">
        <v>0</v>
      </c>
      <c r="L44" s="575">
        <v>0</v>
      </c>
      <c r="M44" s="575">
        <v>0</v>
      </c>
      <c r="N44" s="575">
        <v>0</v>
      </c>
      <c r="O44" s="575">
        <v>0</v>
      </c>
    </row>
    <row r="45" spans="2:15">
      <c r="B45" s="569"/>
      <c r="C45" s="103" t="s">
        <v>16</v>
      </c>
      <c r="D45" s="575">
        <v>0</v>
      </c>
      <c r="E45" s="575">
        <v>0</v>
      </c>
      <c r="F45" s="575">
        <v>0</v>
      </c>
      <c r="G45" s="575">
        <v>0</v>
      </c>
      <c r="H45" s="575">
        <v>0</v>
      </c>
      <c r="I45" s="575">
        <v>0</v>
      </c>
      <c r="J45" s="575">
        <v>0</v>
      </c>
      <c r="K45" s="575">
        <v>0</v>
      </c>
      <c r="L45" s="575">
        <v>0</v>
      </c>
      <c r="M45" s="575">
        <v>0</v>
      </c>
      <c r="N45" s="575">
        <v>0</v>
      </c>
      <c r="O45" s="575">
        <v>0</v>
      </c>
    </row>
    <row r="46" spans="2:15">
      <c r="B46" s="569"/>
      <c r="C46" s="52" t="s">
        <v>293</v>
      </c>
      <c r="D46" s="575">
        <v>0</v>
      </c>
      <c r="E46" s="575">
        <v>0</v>
      </c>
      <c r="F46" s="575">
        <v>0</v>
      </c>
      <c r="G46" s="575">
        <v>0</v>
      </c>
      <c r="H46" s="575">
        <v>0</v>
      </c>
      <c r="I46" s="575">
        <v>0</v>
      </c>
      <c r="J46" s="575">
        <v>0</v>
      </c>
      <c r="K46" s="575">
        <v>0</v>
      </c>
      <c r="L46" s="575">
        <v>0</v>
      </c>
      <c r="M46" s="575">
        <v>0</v>
      </c>
      <c r="N46" s="575">
        <v>0</v>
      </c>
      <c r="O46" s="575">
        <v>0</v>
      </c>
    </row>
    <row r="47" spans="2:15">
      <c r="B47" s="569"/>
      <c r="C47" s="52" t="s">
        <v>294</v>
      </c>
      <c r="D47" s="575">
        <v>0</v>
      </c>
      <c r="E47" s="575">
        <v>0</v>
      </c>
      <c r="F47" s="575">
        <v>0</v>
      </c>
      <c r="G47" s="575">
        <v>0</v>
      </c>
      <c r="H47" s="575">
        <v>0</v>
      </c>
      <c r="I47" s="575">
        <v>0</v>
      </c>
      <c r="J47" s="575">
        <v>0</v>
      </c>
      <c r="K47" s="575">
        <v>0</v>
      </c>
      <c r="L47" s="575">
        <v>0</v>
      </c>
      <c r="M47" s="575">
        <v>0</v>
      </c>
      <c r="N47" s="575">
        <v>0</v>
      </c>
      <c r="O47" s="575">
        <v>0</v>
      </c>
    </row>
    <row r="48" spans="2:15">
      <c r="B48" s="569"/>
      <c r="C48" s="52" t="s">
        <v>295</v>
      </c>
      <c r="D48" s="575">
        <v>0</v>
      </c>
      <c r="E48" s="575">
        <v>0</v>
      </c>
      <c r="F48" s="575">
        <v>0</v>
      </c>
      <c r="G48" s="575">
        <v>0</v>
      </c>
      <c r="H48" s="575">
        <v>0</v>
      </c>
      <c r="I48" s="575">
        <v>0</v>
      </c>
      <c r="J48" s="575">
        <v>0</v>
      </c>
      <c r="K48" s="575">
        <v>0</v>
      </c>
      <c r="L48" s="575">
        <v>0</v>
      </c>
      <c r="M48" s="575">
        <v>0</v>
      </c>
      <c r="N48" s="575">
        <v>0</v>
      </c>
      <c r="O48" s="575">
        <v>0</v>
      </c>
    </row>
    <row r="49" spans="2:15">
      <c r="B49" s="569"/>
      <c r="C49" s="52" t="s">
        <v>405</v>
      </c>
      <c r="D49" s="575">
        <v>0</v>
      </c>
      <c r="E49" s="575">
        <v>0</v>
      </c>
      <c r="F49" s="575">
        <v>0</v>
      </c>
      <c r="G49" s="575">
        <v>0</v>
      </c>
      <c r="H49" s="575">
        <v>0</v>
      </c>
      <c r="I49" s="575">
        <v>0</v>
      </c>
      <c r="J49" s="575">
        <v>0</v>
      </c>
      <c r="K49" s="575">
        <v>0</v>
      </c>
      <c r="L49" s="575">
        <v>0</v>
      </c>
      <c r="M49" s="575">
        <v>0</v>
      </c>
      <c r="N49" s="575">
        <v>0</v>
      </c>
      <c r="O49" s="575">
        <v>0</v>
      </c>
    </row>
    <row r="50" spans="2:15">
      <c r="B50" s="569"/>
      <c r="C50" s="103" t="s">
        <v>105</v>
      </c>
      <c r="D50" s="575">
        <v>0</v>
      </c>
      <c r="E50" s="575">
        <v>0</v>
      </c>
      <c r="F50" s="575">
        <v>0</v>
      </c>
      <c r="G50" s="575">
        <v>0</v>
      </c>
      <c r="H50" s="575">
        <v>0</v>
      </c>
      <c r="I50" s="575">
        <v>0</v>
      </c>
      <c r="J50" s="575">
        <v>0</v>
      </c>
      <c r="K50" s="575">
        <v>0</v>
      </c>
      <c r="L50" s="575">
        <v>0</v>
      </c>
      <c r="M50" s="575">
        <v>0</v>
      </c>
      <c r="N50" s="575">
        <v>0</v>
      </c>
      <c r="O50" s="575">
        <v>0</v>
      </c>
    </row>
    <row r="51" spans="2:15">
      <c r="B51" s="569"/>
      <c r="C51" s="53" t="s">
        <v>34</v>
      </c>
      <c r="D51" s="575">
        <v>0</v>
      </c>
      <c r="E51" s="575">
        <v>0</v>
      </c>
      <c r="F51" s="575">
        <v>0</v>
      </c>
      <c r="G51" s="575">
        <v>0</v>
      </c>
      <c r="H51" s="575">
        <v>0</v>
      </c>
      <c r="I51" s="575">
        <v>0</v>
      </c>
      <c r="J51" s="575">
        <v>0</v>
      </c>
      <c r="K51" s="575">
        <v>0</v>
      </c>
      <c r="L51" s="575">
        <v>0</v>
      </c>
      <c r="M51" s="575">
        <v>0</v>
      </c>
      <c r="N51" s="575">
        <v>0</v>
      </c>
      <c r="O51" s="575">
        <v>0</v>
      </c>
    </row>
    <row r="52" spans="2:15">
      <c r="B52" s="569"/>
      <c r="C52" s="103" t="s">
        <v>396</v>
      </c>
      <c r="D52" s="575">
        <v>0</v>
      </c>
      <c r="E52" s="575">
        <v>0</v>
      </c>
      <c r="F52" s="575">
        <v>0</v>
      </c>
      <c r="G52" s="575">
        <v>0</v>
      </c>
      <c r="H52" s="575">
        <v>0</v>
      </c>
      <c r="I52" s="575">
        <v>0</v>
      </c>
      <c r="J52" s="575">
        <v>0</v>
      </c>
      <c r="K52" s="575">
        <v>0</v>
      </c>
      <c r="L52" s="575">
        <v>0</v>
      </c>
      <c r="M52" s="575">
        <v>0</v>
      </c>
      <c r="N52" s="575">
        <v>0</v>
      </c>
      <c r="O52" s="575">
        <v>0</v>
      </c>
    </row>
    <row r="53" spans="2:15">
      <c r="B53" s="569"/>
      <c r="C53" s="103" t="s">
        <v>296</v>
      </c>
      <c r="D53" s="575">
        <v>0</v>
      </c>
      <c r="E53" s="575">
        <v>0</v>
      </c>
      <c r="F53" s="575">
        <v>0</v>
      </c>
      <c r="G53" s="575">
        <v>0</v>
      </c>
      <c r="H53" s="575">
        <v>0</v>
      </c>
      <c r="I53" s="575">
        <v>0</v>
      </c>
      <c r="J53" s="575">
        <v>0</v>
      </c>
      <c r="K53" s="575">
        <v>0</v>
      </c>
      <c r="L53" s="575">
        <v>0</v>
      </c>
      <c r="M53" s="575">
        <v>0</v>
      </c>
      <c r="N53" s="575">
        <v>0</v>
      </c>
      <c r="O53" s="575">
        <v>0</v>
      </c>
    </row>
    <row r="54" spans="2:15">
      <c r="B54" s="569"/>
      <c r="C54" s="103" t="s">
        <v>397</v>
      </c>
      <c r="D54" s="575">
        <v>0</v>
      </c>
      <c r="E54" s="575">
        <v>0</v>
      </c>
      <c r="F54" s="575">
        <v>0</v>
      </c>
      <c r="G54" s="575">
        <v>0</v>
      </c>
      <c r="H54" s="575">
        <v>0</v>
      </c>
      <c r="I54" s="575">
        <v>0</v>
      </c>
      <c r="J54" s="575">
        <v>0</v>
      </c>
      <c r="K54" s="575">
        <v>0</v>
      </c>
      <c r="L54" s="575">
        <v>0</v>
      </c>
      <c r="M54" s="575">
        <v>0</v>
      </c>
      <c r="N54" s="575">
        <v>0</v>
      </c>
      <c r="O54" s="575">
        <v>0</v>
      </c>
    </row>
    <row r="55" spans="2:15">
      <c r="B55" s="569"/>
      <c r="C55" s="103" t="s">
        <v>298</v>
      </c>
      <c r="D55" s="575">
        <v>0</v>
      </c>
      <c r="E55" s="575">
        <v>0</v>
      </c>
      <c r="F55" s="575">
        <v>0</v>
      </c>
      <c r="G55" s="575">
        <v>0</v>
      </c>
      <c r="H55" s="575">
        <v>0</v>
      </c>
      <c r="I55" s="575">
        <v>0</v>
      </c>
      <c r="J55" s="575">
        <v>0</v>
      </c>
      <c r="K55" s="575">
        <v>0</v>
      </c>
      <c r="L55" s="575">
        <v>0</v>
      </c>
      <c r="M55" s="575">
        <v>0</v>
      </c>
      <c r="N55" s="575">
        <v>0</v>
      </c>
      <c r="O55" s="575">
        <v>0</v>
      </c>
    </row>
    <row r="56" spans="2:15">
      <c r="B56" s="569"/>
      <c r="C56" s="103" t="s">
        <v>297</v>
      </c>
      <c r="D56" s="575">
        <v>0</v>
      </c>
      <c r="E56" s="575">
        <v>0</v>
      </c>
      <c r="F56" s="575">
        <v>0</v>
      </c>
      <c r="G56" s="575">
        <v>0</v>
      </c>
      <c r="H56" s="575">
        <v>0</v>
      </c>
      <c r="I56" s="575">
        <v>0</v>
      </c>
      <c r="J56" s="575">
        <v>0</v>
      </c>
      <c r="K56" s="575">
        <v>0</v>
      </c>
      <c r="L56" s="575">
        <v>0</v>
      </c>
      <c r="M56" s="575">
        <v>0</v>
      </c>
      <c r="N56" s="575">
        <v>0</v>
      </c>
      <c r="O56" s="575">
        <v>0</v>
      </c>
    </row>
    <row r="57" spans="2:15">
      <c r="B57" s="569"/>
      <c r="C57" s="103" t="s">
        <v>398</v>
      </c>
      <c r="D57" s="575">
        <v>0</v>
      </c>
      <c r="E57" s="575">
        <v>0</v>
      </c>
      <c r="F57" s="575">
        <v>0</v>
      </c>
      <c r="G57" s="575">
        <v>0</v>
      </c>
      <c r="H57" s="575">
        <v>0</v>
      </c>
      <c r="I57" s="575">
        <v>0</v>
      </c>
      <c r="J57" s="575">
        <v>0</v>
      </c>
      <c r="K57" s="575">
        <v>0</v>
      </c>
      <c r="L57" s="575">
        <v>0</v>
      </c>
      <c r="M57" s="575">
        <v>0</v>
      </c>
      <c r="N57" s="575">
        <v>0</v>
      </c>
      <c r="O57" s="575">
        <v>0</v>
      </c>
    </row>
    <row r="58" spans="2:15">
      <c r="B58" s="569"/>
      <c r="C58" s="53" t="s">
        <v>26</v>
      </c>
      <c r="D58" s="575">
        <v>0</v>
      </c>
      <c r="E58" s="575">
        <v>0</v>
      </c>
      <c r="F58" s="575">
        <v>0</v>
      </c>
      <c r="G58" s="575">
        <v>0</v>
      </c>
      <c r="H58" s="575">
        <v>0</v>
      </c>
      <c r="I58" s="575">
        <v>0</v>
      </c>
      <c r="J58" s="575">
        <v>0</v>
      </c>
      <c r="K58" s="575">
        <v>0</v>
      </c>
      <c r="L58" s="575">
        <v>0</v>
      </c>
      <c r="M58" s="575">
        <v>0</v>
      </c>
      <c r="N58" s="575">
        <v>0</v>
      </c>
      <c r="O58" s="575">
        <v>0</v>
      </c>
    </row>
    <row r="59" spans="2:15">
      <c r="B59" s="569"/>
      <c r="C59" s="103" t="s">
        <v>299</v>
      </c>
      <c r="D59" s="575">
        <v>0</v>
      </c>
      <c r="E59" s="575">
        <v>0</v>
      </c>
      <c r="F59" s="575">
        <v>0</v>
      </c>
      <c r="G59" s="575">
        <v>0</v>
      </c>
      <c r="H59" s="575">
        <v>0</v>
      </c>
      <c r="I59" s="575">
        <v>0</v>
      </c>
      <c r="J59" s="575">
        <v>0</v>
      </c>
      <c r="K59" s="575">
        <v>0</v>
      </c>
      <c r="L59" s="575">
        <v>0</v>
      </c>
      <c r="M59" s="575">
        <v>0</v>
      </c>
      <c r="N59" s="575">
        <v>0</v>
      </c>
      <c r="O59" s="575">
        <v>0</v>
      </c>
    </row>
    <row r="60" spans="2:15">
      <c r="B60" s="569"/>
      <c r="C60" s="103" t="s">
        <v>301</v>
      </c>
      <c r="D60" s="575">
        <v>0</v>
      </c>
      <c r="E60" s="575">
        <v>0</v>
      </c>
      <c r="F60" s="575">
        <v>0</v>
      </c>
      <c r="G60" s="575">
        <v>0</v>
      </c>
      <c r="H60" s="575">
        <v>0</v>
      </c>
      <c r="I60" s="575">
        <v>0</v>
      </c>
      <c r="J60" s="575">
        <v>0</v>
      </c>
      <c r="K60" s="575">
        <v>0</v>
      </c>
      <c r="L60" s="575">
        <v>0</v>
      </c>
      <c r="M60" s="575">
        <v>0</v>
      </c>
      <c r="N60" s="575">
        <v>0</v>
      </c>
      <c r="O60" s="575">
        <v>0</v>
      </c>
    </row>
    <row r="61" spans="2:15">
      <c r="B61" s="569"/>
      <c r="C61" s="103" t="s">
        <v>303</v>
      </c>
      <c r="D61" s="575">
        <v>0</v>
      </c>
      <c r="E61" s="575">
        <v>0</v>
      </c>
      <c r="F61" s="575">
        <v>0</v>
      </c>
      <c r="G61" s="575">
        <v>0</v>
      </c>
      <c r="H61" s="575">
        <v>0</v>
      </c>
      <c r="I61" s="575">
        <v>0</v>
      </c>
      <c r="J61" s="575">
        <v>0</v>
      </c>
      <c r="K61" s="575">
        <v>0</v>
      </c>
      <c r="L61" s="575">
        <v>0</v>
      </c>
      <c r="M61" s="575">
        <v>0</v>
      </c>
      <c r="N61" s="575">
        <v>0</v>
      </c>
      <c r="O61" s="575">
        <v>0</v>
      </c>
    </row>
    <row r="62" spans="2:15">
      <c r="B62" s="569"/>
      <c r="C62" s="103" t="s">
        <v>302</v>
      </c>
      <c r="D62" s="575">
        <v>0</v>
      </c>
      <c r="E62" s="575">
        <v>0</v>
      </c>
      <c r="F62" s="575">
        <v>0</v>
      </c>
      <c r="G62" s="575">
        <v>0</v>
      </c>
      <c r="H62" s="575">
        <v>0</v>
      </c>
      <c r="I62" s="575">
        <v>0</v>
      </c>
      <c r="J62" s="575">
        <v>0</v>
      </c>
      <c r="K62" s="575">
        <v>0</v>
      </c>
      <c r="L62" s="575">
        <v>0</v>
      </c>
      <c r="M62" s="575">
        <v>0</v>
      </c>
      <c r="N62" s="575">
        <v>0</v>
      </c>
      <c r="O62" s="575">
        <v>0</v>
      </c>
    </row>
    <row r="63" spans="2:15">
      <c r="B63" s="569"/>
      <c r="C63" s="103" t="s">
        <v>403</v>
      </c>
      <c r="D63" s="575">
        <v>0</v>
      </c>
      <c r="E63" s="575">
        <v>0</v>
      </c>
      <c r="F63" s="575">
        <v>0</v>
      </c>
      <c r="G63" s="575">
        <v>0</v>
      </c>
      <c r="H63" s="575">
        <v>0</v>
      </c>
      <c r="I63" s="575">
        <v>0</v>
      </c>
      <c r="J63" s="575">
        <v>0</v>
      </c>
      <c r="K63" s="575">
        <v>0</v>
      </c>
      <c r="L63" s="575">
        <v>0</v>
      </c>
      <c r="M63" s="575">
        <v>0</v>
      </c>
      <c r="N63" s="575">
        <v>0</v>
      </c>
      <c r="O63" s="575">
        <v>0</v>
      </c>
    </row>
    <row r="64" spans="2:15">
      <c r="B64" s="569"/>
      <c r="C64" s="103" t="s">
        <v>394</v>
      </c>
      <c r="D64" s="575">
        <v>0</v>
      </c>
      <c r="E64" s="575">
        <v>0</v>
      </c>
      <c r="F64" s="575">
        <v>0</v>
      </c>
      <c r="G64" s="575">
        <v>0</v>
      </c>
      <c r="H64" s="575">
        <v>0</v>
      </c>
      <c r="I64" s="575">
        <v>0</v>
      </c>
      <c r="J64" s="575">
        <v>0</v>
      </c>
      <c r="K64" s="575">
        <v>0</v>
      </c>
      <c r="L64" s="575">
        <v>0</v>
      </c>
      <c r="M64" s="575">
        <v>0</v>
      </c>
      <c r="N64" s="575">
        <v>0</v>
      </c>
      <c r="O64" s="575">
        <v>0</v>
      </c>
    </row>
    <row r="65" spans="2:15">
      <c r="B65" s="569"/>
      <c r="C65" s="103" t="s">
        <v>300</v>
      </c>
      <c r="D65" s="575">
        <v>0</v>
      </c>
      <c r="E65" s="575">
        <v>0</v>
      </c>
      <c r="F65" s="575">
        <v>0</v>
      </c>
      <c r="G65" s="575">
        <v>0</v>
      </c>
      <c r="H65" s="575">
        <v>0</v>
      </c>
      <c r="I65" s="575">
        <v>0</v>
      </c>
      <c r="J65" s="575">
        <v>0</v>
      </c>
      <c r="K65" s="575">
        <v>0</v>
      </c>
      <c r="L65" s="575">
        <v>0</v>
      </c>
      <c r="M65" s="575">
        <v>0</v>
      </c>
      <c r="N65" s="575">
        <v>0</v>
      </c>
      <c r="O65" s="575">
        <v>0</v>
      </c>
    </row>
    <row r="66" spans="2:15">
      <c r="B66" s="569"/>
      <c r="C66" s="103" t="s">
        <v>395</v>
      </c>
      <c r="D66" s="575">
        <v>0</v>
      </c>
      <c r="E66" s="575">
        <v>0</v>
      </c>
      <c r="F66" s="575">
        <v>0</v>
      </c>
      <c r="G66" s="575">
        <v>0</v>
      </c>
      <c r="H66" s="575">
        <v>0</v>
      </c>
      <c r="I66" s="575">
        <v>0</v>
      </c>
      <c r="J66" s="575">
        <v>0</v>
      </c>
      <c r="K66" s="575">
        <v>0</v>
      </c>
      <c r="L66" s="575">
        <v>0</v>
      </c>
      <c r="M66" s="575">
        <v>0</v>
      </c>
      <c r="N66" s="575">
        <v>0</v>
      </c>
      <c r="O66" s="575">
        <v>0</v>
      </c>
    </row>
    <row r="67" spans="2:15">
      <c r="B67" s="569"/>
      <c r="C67" s="53" t="s">
        <v>90</v>
      </c>
      <c r="D67" s="575">
        <v>0</v>
      </c>
      <c r="E67" s="575">
        <v>0</v>
      </c>
      <c r="F67" s="575">
        <v>0</v>
      </c>
      <c r="G67" s="575">
        <v>0</v>
      </c>
      <c r="H67" s="575">
        <v>0</v>
      </c>
      <c r="I67" s="575">
        <v>0</v>
      </c>
      <c r="J67" s="575">
        <v>0</v>
      </c>
      <c r="K67" s="575">
        <v>0</v>
      </c>
      <c r="L67" s="575">
        <v>0</v>
      </c>
      <c r="M67" s="575">
        <v>0</v>
      </c>
      <c r="N67" s="575">
        <v>0</v>
      </c>
      <c r="O67" s="575">
        <v>0</v>
      </c>
    </row>
    <row r="68" spans="2:15">
      <c r="B68" s="570"/>
      <c r="C68" s="53" t="s">
        <v>304</v>
      </c>
      <c r="D68" s="575">
        <v>0</v>
      </c>
      <c r="E68" s="575">
        <v>0</v>
      </c>
      <c r="F68" s="575">
        <v>0</v>
      </c>
      <c r="G68" s="575">
        <v>0</v>
      </c>
      <c r="H68" s="575">
        <v>0</v>
      </c>
      <c r="I68" s="575">
        <v>0</v>
      </c>
      <c r="J68" s="575">
        <v>0</v>
      </c>
      <c r="K68" s="575">
        <v>0</v>
      </c>
      <c r="L68" s="575">
        <v>0</v>
      </c>
      <c r="M68" s="575">
        <v>0</v>
      </c>
      <c r="N68" s="575">
        <v>0</v>
      </c>
      <c r="O68" s="575">
        <v>0</v>
      </c>
    </row>
    <row r="69" spans="2:15">
      <c r="B69" s="568" t="s">
        <v>110</v>
      </c>
      <c r="C69" s="101" t="s">
        <v>13</v>
      </c>
      <c r="D69" s="575">
        <v>0</v>
      </c>
      <c r="E69" s="575">
        <v>0</v>
      </c>
      <c r="F69" s="575">
        <v>0</v>
      </c>
      <c r="G69" s="575">
        <v>0</v>
      </c>
      <c r="H69" s="575">
        <v>0</v>
      </c>
      <c r="I69" s="575">
        <v>0</v>
      </c>
      <c r="J69" s="575">
        <v>0</v>
      </c>
      <c r="K69" s="575">
        <v>0</v>
      </c>
      <c r="L69" s="575">
        <v>0</v>
      </c>
      <c r="M69" s="575">
        <v>0</v>
      </c>
      <c r="N69" s="575">
        <v>0</v>
      </c>
      <c r="O69" s="575">
        <v>0</v>
      </c>
    </row>
    <row r="70" spans="2:15">
      <c r="B70" s="569"/>
      <c r="C70" s="53" t="s">
        <v>15</v>
      </c>
      <c r="D70" s="575">
        <v>0</v>
      </c>
      <c r="E70" s="575">
        <v>0</v>
      </c>
      <c r="F70" s="575">
        <v>0</v>
      </c>
      <c r="G70" s="575">
        <v>0</v>
      </c>
      <c r="H70" s="575">
        <v>0</v>
      </c>
      <c r="I70" s="575">
        <v>0</v>
      </c>
      <c r="J70" s="575">
        <v>0</v>
      </c>
      <c r="K70" s="575">
        <v>0</v>
      </c>
      <c r="L70" s="575">
        <v>0</v>
      </c>
      <c r="M70" s="575">
        <v>0</v>
      </c>
      <c r="N70" s="575">
        <v>0</v>
      </c>
      <c r="O70" s="575">
        <v>0</v>
      </c>
    </row>
    <row r="71" spans="2:15">
      <c r="B71" s="569"/>
      <c r="C71" s="103" t="s">
        <v>16</v>
      </c>
      <c r="D71" s="575">
        <v>0</v>
      </c>
      <c r="E71" s="575">
        <v>0</v>
      </c>
      <c r="F71" s="575">
        <v>0</v>
      </c>
      <c r="G71" s="575">
        <v>0</v>
      </c>
      <c r="H71" s="575">
        <v>0</v>
      </c>
      <c r="I71" s="575">
        <v>0</v>
      </c>
      <c r="J71" s="575">
        <v>0</v>
      </c>
      <c r="K71" s="575">
        <v>0</v>
      </c>
      <c r="L71" s="575">
        <v>0</v>
      </c>
      <c r="M71" s="575">
        <v>0</v>
      </c>
      <c r="N71" s="575">
        <v>0</v>
      </c>
      <c r="O71" s="575">
        <v>0</v>
      </c>
    </row>
    <row r="72" spans="2:15">
      <c r="B72" s="569"/>
      <c r="C72" s="52" t="s">
        <v>293</v>
      </c>
      <c r="D72" s="575">
        <v>0</v>
      </c>
      <c r="E72" s="575">
        <v>0</v>
      </c>
      <c r="F72" s="575">
        <v>0</v>
      </c>
      <c r="G72" s="575">
        <v>0</v>
      </c>
      <c r="H72" s="575">
        <v>0</v>
      </c>
      <c r="I72" s="575">
        <v>0</v>
      </c>
      <c r="J72" s="575">
        <v>0</v>
      </c>
      <c r="K72" s="575">
        <v>0</v>
      </c>
      <c r="L72" s="575">
        <v>0</v>
      </c>
      <c r="M72" s="575">
        <v>0</v>
      </c>
      <c r="N72" s="575">
        <v>0</v>
      </c>
      <c r="O72" s="575">
        <v>0</v>
      </c>
    </row>
    <row r="73" spans="2:15">
      <c r="B73" s="569"/>
      <c r="C73" s="52" t="s">
        <v>294</v>
      </c>
      <c r="D73" s="575">
        <v>0</v>
      </c>
      <c r="E73" s="575">
        <v>0</v>
      </c>
      <c r="F73" s="575">
        <v>0</v>
      </c>
      <c r="G73" s="575">
        <v>0</v>
      </c>
      <c r="H73" s="575">
        <v>0</v>
      </c>
      <c r="I73" s="575">
        <v>0</v>
      </c>
      <c r="J73" s="575">
        <v>0</v>
      </c>
      <c r="K73" s="575">
        <v>0</v>
      </c>
      <c r="L73" s="575">
        <v>0</v>
      </c>
      <c r="M73" s="575">
        <v>0</v>
      </c>
      <c r="N73" s="575">
        <v>0</v>
      </c>
      <c r="O73" s="575">
        <v>0</v>
      </c>
    </row>
    <row r="74" spans="2:15">
      <c r="B74" s="569"/>
      <c r="C74" s="52" t="s">
        <v>295</v>
      </c>
      <c r="D74" s="575">
        <v>0</v>
      </c>
      <c r="E74" s="575">
        <v>0</v>
      </c>
      <c r="F74" s="575">
        <v>0</v>
      </c>
      <c r="G74" s="575">
        <v>0</v>
      </c>
      <c r="H74" s="575">
        <v>0</v>
      </c>
      <c r="I74" s="575">
        <v>0</v>
      </c>
      <c r="J74" s="575">
        <v>0</v>
      </c>
      <c r="K74" s="575">
        <v>0</v>
      </c>
      <c r="L74" s="575">
        <v>0</v>
      </c>
      <c r="M74" s="575">
        <v>0</v>
      </c>
      <c r="N74" s="575">
        <v>0</v>
      </c>
      <c r="O74" s="575">
        <v>0</v>
      </c>
    </row>
    <row r="75" spans="2:15">
      <c r="B75" s="569"/>
      <c r="C75" s="52" t="s">
        <v>405</v>
      </c>
      <c r="D75" s="575">
        <v>0</v>
      </c>
      <c r="E75" s="575">
        <v>0</v>
      </c>
      <c r="F75" s="575">
        <v>0</v>
      </c>
      <c r="G75" s="575">
        <v>0</v>
      </c>
      <c r="H75" s="575">
        <v>0</v>
      </c>
      <c r="I75" s="575">
        <v>0</v>
      </c>
      <c r="J75" s="575">
        <v>0</v>
      </c>
      <c r="K75" s="575">
        <v>0</v>
      </c>
      <c r="L75" s="575">
        <v>0</v>
      </c>
      <c r="M75" s="575">
        <v>0</v>
      </c>
      <c r="N75" s="575">
        <v>0</v>
      </c>
      <c r="O75" s="575">
        <v>0</v>
      </c>
    </row>
    <row r="76" spans="2:15">
      <c r="B76" s="569"/>
      <c r="C76" s="103" t="s">
        <v>105</v>
      </c>
      <c r="D76" s="575">
        <v>0</v>
      </c>
      <c r="E76" s="575">
        <v>0</v>
      </c>
      <c r="F76" s="575">
        <v>0</v>
      </c>
      <c r="G76" s="575">
        <v>0</v>
      </c>
      <c r="H76" s="575">
        <v>0</v>
      </c>
      <c r="I76" s="575">
        <v>0</v>
      </c>
      <c r="J76" s="575">
        <v>0</v>
      </c>
      <c r="K76" s="575">
        <v>0</v>
      </c>
      <c r="L76" s="575">
        <v>0</v>
      </c>
      <c r="M76" s="575">
        <v>0</v>
      </c>
      <c r="N76" s="575">
        <v>0</v>
      </c>
      <c r="O76" s="575">
        <v>0</v>
      </c>
    </row>
    <row r="77" spans="2:15">
      <c r="B77" s="569"/>
      <c r="C77" s="53" t="s">
        <v>34</v>
      </c>
      <c r="D77" s="575">
        <v>0</v>
      </c>
      <c r="E77" s="575">
        <v>0</v>
      </c>
      <c r="F77" s="575">
        <v>0</v>
      </c>
      <c r="G77" s="575">
        <v>0</v>
      </c>
      <c r="H77" s="575">
        <v>0</v>
      </c>
      <c r="I77" s="575">
        <v>0</v>
      </c>
      <c r="J77" s="575">
        <v>0</v>
      </c>
      <c r="K77" s="575">
        <v>0</v>
      </c>
      <c r="L77" s="575">
        <v>0</v>
      </c>
      <c r="M77" s="575">
        <v>0</v>
      </c>
      <c r="N77" s="575">
        <v>0</v>
      </c>
      <c r="O77" s="575">
        <v>0</v>
      </c>
    </row>
    <row r="78" spans="2:15">
      <c r="B78" s="569"/>
      <c r="C78" s="103" t="s">
        <v>396</v>
      </c>
      <c r="D78" s="575">
        <v>0</v>
      </c>
      <c r="E78" s="575">
        <v>0</v>
      </c>
      <c r="F78" s="575">
        <v>0</v>
      </c>
      <c r="G78" s="575">
        <v>0</v>
      </c>
      <c r="H78" s="575">
        <v>0</v>
      </c>
      <c r="I78" s="575">
        <v>0</v>
      </c>
      <c r="J78" s="575">
        <v>0</v>
      </c>
      <c r="K78" s="575">
        <v>0</v>
      </c>
      <c r="L78" s="575">
        <v>0</v>
      </c>
      <c r="M78" s="575">
        <v>0</v>
      </c>
      <c r="N78" s="575">
        <v>0</v>
      </c>
      <c r="O78" s="575">
        <v>0</v>
      </c>
    </row>
    <row r="79" spans="2:15">
      <c r="B79" s="569"/>
      <c r="C79" s="103" t="s">
        <v>296</v>
      </c>
      <c r="D79" s="575">
        <v>0</v>
      </c>
      <c r="E79" s="575">
        <v>0</v>
      </c>
      <c r="F79" s="575">
        <v>0</v>
      </c>
      <c r="G79" s="575">
        <v>0</v>
      </c>
      <c r="H79" s="575">
        <v>0</v>
      </c>
      <c r="I79" s="575">
        <v>0</v>
      </c>
      <c r="J79" s="575">
        <v>0</v>
      </c>
      <c r="K79" s="575">
        <v>0</v>
      </c>
      <c r="L79" s="575">
        <v>0</v>
      </c>
      <c r="M79" s="575">
        <v>0</v>
      </c>
      <c r="N79" s="575">
        <v>0</v>
      </c>
      <c r="O79" s="575">
        <v>0</v>
      </c>
    </row>
    <row r="80" spans="2:15">
      <c r="B80" s="569"/>
      <c r="C80" s="103" t="s">
        <v>397</v>
      </c>
      <c r="D80" s="575">
        <v>0</v>
      </c>
      <c r="E80" s="575">
        <v>0</v>
      </c>
      <c r="F80" s="575">
        <v>0</v>
      </c>
      <c r="G80" s="575">
        <v>0</v>
      </c>
      <c r="H80" s="575">
        <v>0</v>
      </c>
      <c r="I80" s="575">
        <v>0</v>
      </c>
      <c r="J80" s="575">
        <v>0</v>
      </c>
      <c r="K80" s="575">
        <v>0</v>
      </c>
      <c r="L80" s="575">
        <v>0</v>
      </c>
      <c r="M80" s="575">
        <v>0</v>
      </c>
      <c r="N80" s="575">
        <v>0</v>
      </c>
      <c r="O80" s="575">
        <v>0</v>
      </c>
    </row>
    <row r="81" spans="2:15">
      <c r="B81" s="569"/>
      <c r="C81" s="103" t="s">
        <v>298</v>
      </c>
      <c r="D81" s="575">
        <v>0</v>
      </c>
      <c r="E81" s="575">
        <v>0</v>
      </c>
      <c r="F81" s="575">
        <v>0</v>
      </c>
      <c r="G81" s="575">
        <v>0</v>
      </c>
      <c r="H81" s="575">
        <v>0</v>
      </c>
      <c r="I81" s="575">
        <v>0</v>
      </c>
      <c r="J81" s="575">
        <v>0</v>
      </c>
      <c r="K81" s="575">
        <v>0</v>
      </c>
      <c r="L81" s="575">
        <v>0</v>
      </c>
      <c r="M81" s="575">
        <v>0</v>
      </c>
      <c r="N81" s="575">
        <v>0</v>
      </c>
      <c r="O81" s="575">
        <v>0</v>
      </c>
    </row>
    <row r="82" spans="2:15">
      <c r="B82" s="569"/>
      <c r="C82" s="103" t="s">
        <v>297</v>
      </c>
      <c r="D82" s="575">
        <v>0</v>
      </c>
      <c r="E82" s="575">
        <v>0</v>
      </c>
      <c r="F82" s="575">
        <v>0</v>
      </c>
      <c r="G82" s="575">
        <v>0</v>
      </c>
      <c r="H82" s="575">
        <v>0</v>
      </c>
      <c r="I82" s="575">
        <v>0</v>
      </c>
      <c r="J82" s="575">
        <v>0</v>
      </c>
      <c r="K82" s="575">
        <v>0</v>
      </c>
      <c r="L82" s="575">
        <v>0</v>
      </c>
      <c r="M82" s="575">
        <v>0</v>
      </c>
      <c r="N82" s="575">
        <v>0</v>
      </c>
      <c r="O82" s="575">
        <v>0</v>
      </c>
    </row>
    <row r="83" spans="2:15">
      <c r="B83" s="569"/>
      <c r="C83" s="103" t="s">
        <v>398</v>
      </c>
      <c r="D83" s="575">
        <v>0</v>
      </c>
      <c r="E83" s="575">
        <v>0</v>
      </c>
      <c r="F83" s="575">
        <v>0</v>
      </c>
      <c r="G83" s="575">
        <v>0</v>
      </c>
      <c r="H83" s="575">
        <v>0</v>
      </c>
      <c r="I83" s="575">
        <v>0</v>
      </c>
      <c r="J83" s="575">
        <v>0</v>
      </c>
      <c r="K83" s="575">
        <v>0</v>
      </c>
      <c r="L83" s="575">
        <v>0</v>
      </c>
      <c r="M83" s="575">
        <v>0</v>
      </c>
      <c r="N83" s="575">
        <v>0</v>
      </c>
      <c r="O83" s="575">
        <v>0</v>
      </c>
    </row>
    <row r="84" spans="2:15">
      <c r="B84" s="569"/>
      <c r="C84" s="53" t="s">
        <v>26</v>
      </c>
      <c r="D84" s="575">
        <v>0</v>
      </c>
      <c r="E84" s="575">
        <v>0</v>
      </c>
      <c r="F84" s="575">
        <v>0</v>
      </c>
      <c r="G84" s="575">
        <v>0</v>
      </c>
      <c r="H84" s="575">
        <v>0</v>
      </c>
      <c r="I84" s="575">
        <v>0</v>
      </c>
      <c r="J84" s="575">
        <v>0</v>
      </c>
      <c r="K84" s="575">
        <v>0</v>
      </c>
      <c r="L84" s="575">
        <v>0</v>
      </c>
      <c r="M84" s="575">
        <v>0</v>
      </c>
      <c r="N84" s="575">
        <v>0</v>
      </c>
      <c r="O84" s="575">
        <v>0</v>
      </c>
    </row>
    <row r="85" spans="2:15">
      <c r="B85" s="569"/>
      <c r="C85" s="103" t="s">
        <v>299</v>
      </c>
      <c r="D85" s="575">
        <v>0</v>
      </c>
      <c r="E85" s="575">
        <v>0</v>
      </c>
      <c r="F85" s="575">
        <v>0</v>
      </c>
      <c r="G85" s="575">
        <v>0</v>
      </c>
      <c r="H85" s="575">
        <v>0</v>
      </c>
      <c r="I85" s="575">
        <v>0</v>
      </c>
      <c r="J85" s="575">
        <v>0</v>
      </c>
      <c r="K85" s="575">
        <v>0</v>
      </c>
      <c r="L85" s="575">
        <v>0</v>
      </c>
      <c r="M85" s="575">
        <v>0</v>
      </c>
      <c r="N85" s="575">
        <v>0</v>
      </c>
      <c r="O85" s="575">
        <v>0</v>
      </c>
    </row>
    <row r="86" spans="2:15">
      <c r="B86" s="569"/>
      <c r="C86" s="103" t="s">
        <v>301</v>
      </c>
      <c r="D86" s="575">
        <v>0</v>
      </c>
      <c r="E86" s="575">
        <v>0</v>
      </c>
      <c r="F86" s="575">
        <v>0</v>
      </c>
      <c r="G86" s="575">
        <v>0</v>
      </c>
      <c r="H86" s="575">
        <v>0</v>
      </c>
      <c r="I86" s="575">
        <v>0</v>
      </c>
      <c r="J86" s="575">
        <v>0</v>
      </c>
      <c r="K86" s="575">
        <v>0</v>
      </c>
      <c r="L86" s="575">
        <v>0</v>
      </c>
      <c r="M86" s="575">
        <v>0</v>
      </c>
      <c r="N86" s="575">
        <v>0</v>
      </c>
      <c r="O86" s="575">
        <v>0</v>
      </c>
    </row>
    <row r="87" spans="2:15">
      <c r="B87" s="569"/>
      <c r="C87" s="103" t="s">
        <v>303</v>
      </c>
      <c r="D87" s="575">
        <v>0</v>
      </c>
      <c r="E87" s="575">
        <v>0</v>
      </c>
      <c r="F87" s="575">
        <v>0</v>
      </c>
      <c r="G87" s="575">
        <v>0</v>
      </c>
      <c r="H87" s="575">
        <v>0</v>
      </c>
      <c r="I87" s="575">
        <v>0</v>
      </c>
      <c r="J87" s="575">
        <v>0</v>
      </c>
      <c r="K87" s="575">
        <v>0</v>
      </c>
      <c r="L87" s="575">
        <v>0</v>
      </c>
      <c r="M87" s="575">
        <v>0</v>
      </c>
      <c r="N87" s="575">
        <v>0</v>
      </c>
      <c r="O87" s="575">
        <v>0</v>
      </c>
    </row>
    <row r="88" spans="2:15">
      <c r="B88" s="569"/>
      <c r="C88" s="103" t="s">
        <v>302</v>
      </c>
      <c r="D88" s="575">
        <v>0</v>
      </c>
      <c r="E88" s="575">
        <v>0</v>
      </c>
      <c r="F88" s="575">
        <v>0</v>
      </c>
      <c r="G88" s="575">
        <v>0</v>
      </c>
      <c r="H88" s="575">
        <v>0</v>
      </c>
      <c r="I88" s="575">
        <v>0</v>
      </c>
      <c r="J88" s="575">
        <v>0</v>
      </c>
      <c r="K88" s="575">
        <v>0</v>
      </c>
      <c r="L88" s="575">
        <v>0</v>
      </c>
      <c r="M88" s="575">
        <v>0</v>
      </c>
      <c r="N88" s="575">
        <v>0</v>
      </c>
      <c r="O88" s="575">
        <v>0</v>
      </c>
    </row>
    <row r="89" spans="2:15">
      <c r="B89" s="569"/>
      <c r="C89" s="103" t="s">
        <v>403</v>
      </c>
      <c r="D89" s="575">
        <v>0</v>
      </c>
      <c r="E89" s="575">
        <v>0</v>
      </c>
      <c r="F89" s="575">
        <v>0</v>
      </c>
      <c r="G89" s="575">
        <v>0</v>
      </c>
      <c r="H89" s="575">
        <v>0</v>
      </c>
      <c r="I89" s="575">
        <v>0</v>
      </c>
      <c r="J89" s="575">
        <v>0</v>
      </c>
      <c r="K89" s="575">
        <v>0</v>
      </c>
      <c r="L89" s="575">
        <v>0</v>
      </c>
      <c r="M89" s="575">
        <v>0</v>
      </c>
      <c r="N89" s="575">
        <v>0</v>
      </c>
      <c r="O89" s="575">
        <v>0</v>
      </c>
    </row>
    <row r="90" spans="2:15">
      <c r="B90" s="569"/>
      <c r="C90" s="103" t="s">
        <v>394</v>
      </c>
      <c r="D90" s="575">
        <v>0</v>
      </c>
      <c r="E90" s="575">
        <v>0</v>
      </c>
      <c r="F90" s="575">
        <v>0</v>
      </c>
      <c r="G90" s="575">
        <v>0</v>
      </c>
      <c r="H90" s="575">
        <v>0</v>
      </c>
      <c r="I90" s="575">
        <v>0</v>
      </c>
      <c r="J90" s="575">
        <v>0</v>
      </c>
      <c r="K90" s="575">
        <v>0</v>
      </c>
      <c r="L90" s="575">
        <v>0</v>
      </c>
      <c r="M90" s="575">
        <v>0</v>
      </c>
      <c r="N90" s="575">
        <v>0</v>
      </c>
      <c r="O90" s="575">
        <v>0</v>
      </c>
    </row>
    <row r="91" spans="2:15">
      <c r="B91" s="569"/>
      <c r="C91" s="103" t="s">
        <v>300</v>
      </c>
      <c r="D91" s="575">
        <v>0</v>
      </c>
      <c r="E91" s="575">
        <v>0</v>
      </c>
      <c r="F91" s="575">
        <v>0</v>
      </c>
      <c r="G91" s="575">
        <v>0</v>
      </c>
      <c r="H91" s="575">
        <v>0</v>
      </c>
      <c r="I91" s="575">
        <v>0</v>
      </c>
      <c r="J91" s="575">
        <v>0</v>
      </c>
      <c r="K91" s="575">
        <v>0</v>
      </c>
      <c r="L91" s="575">
        <v>0</v>
      </c>
      <c r="M91" s="575">
        <v>0</v>
      </c>
      <c r="N91" s="575">
        <v>0</v>
      </c>
      <c r="O91" s="575">
        <v>0</v>
      </c>
    </row>
    <row r="92" spans="2:15">
      <c r="B92" s="569"/>
      <c r="C92" s="103" t="s">
        <v>395</v>
      </c>
      <c r="D92" s="575">
        <v>0</v>
      </c>
      <c r="E92" s="575">
        <v>0</v>
      </c>
      <c r="F92" s="575">
        <v>0</v>
      </c>
      <c r="G92" s="575">
        <v>0</v>
      </c>
      <c r="H92" s="575">
        <v>0</v>
      </c>
      <c r="I92" s="575">
        <v>0</v>
      </c>
      <c r="J92" s="575">
        <v>0</v>
      </c>
      <c r="K92" s="575">
        <v>0</v>
      </c>
      <c r="L92" s="575">
        <v>0</v>
      </c>
      <c r="M92" s="575">
        <v>0</v>
      </c>
      <c r="N92" s="575">
        <v>0</v>
      </c>
      <c r="O92" s="575">
        <v>0</v>
      </c>
    </row>
    <row r="93" spans="2:15">
      <c r="B93" s="569"/>
      <c r="C93" s="53" t="s">
        <v>90</v>
      </c>
      <c r="D93" s="575">
        <v>0</v>
      </c>
      <c r="E93" s="575">
        <v>0</v>
      </c>
      <c r="F93" s="575">
        <v>0</v>
      </c>
      <c r="G93" s="575">
        <v>0</v>
      </c>
      <c r="H93" s="575">
        <v>0</v>
      </c>
      <c r="I93" s="575">
        <v>0</v>
      </c>
      <c r="J93" s="575">
        <v>0</v>
      </c>
      <c r="K93" s="575">
        <v>0</v>
      </c>
      <c r="L93" s="575">
        <v>0</v>
      </c>
      <c r="M93" s="575">
        <v>0</v>
      </c>
      <c r="N93" s="575">
        <v>0</v>
      </c>
      <c r="O93" s="575">
        <v>0</v>
      </c>
    </row>
    <row r="94" spans="2:15">
      <c r="B94" s="570"/>
      <c r="C94" s="53" t="s">
        <v>304</v>
      </c>
      <c r="D94" s="575">
        <v>0</v>
      </c>
      <c r="E94" s="575">
        <v>0</v>
      </c>
      <c r="F94" s="575">
        <v>0</v>
      </c>
      <c r="G94" s="575">
        <v>0</v>
      </c>
      <c r="H94" s="575">
        <v>0</v>
      </c>
      <c r="I94" s="575">
        <v>0</v>
      </c>
      <c r="J94" s="575">
        <v>0</v>
      </c>
      <c r="K94" s="575">
        <v>0</v>
      </c>
      <c r="L94" s="575">
        <v>0</v>
      </c>
      <c r="M94" s="575">
        <v>0</v>
      </c>
      <c r="N94" s="575">
        <v>0</v>
      </c>
      <c r="O94" s="575">
        <v>0</v>
      </c>
    </row>
    <row r="95" spans="2:15">
      <c r="B95" s="538" t="s">
        <v>306</v>
      </c>
      <c r="C95" s="101" t="s">
        <v>13</v>
      </c>
      <c r="D95" s="575">
        <v>0</v>
      </c>
      <c r="E95" s="575">
        <v>0</v>
      </c>
      <c r="F95" s="575">
        <v>0</v>
      </c>
      <c r="G95" s="575">
        <v>0</v>
      </c>
      <c r="H95" s="575">
        <v>0</v>
      </c>
      <c r="I95" s="575">
        <v>0</v>
      </c>
      <c r="J95" s="575">
        <v>0</v>
      </c>
      <c r="K95" s="575">
        <v>0</v>
      </c>
      <c r="L95" s="575">
        <v>0</v>
      </c>
      <c r="M95" s="575">
        <v>0</v>
      </c>
      <c r="N95" s="575">
        <v>0</v>
      </c>
      <c r="O95" s="575">
        <v>0</v>
      </c>
    </row>
    <row r="96" spans="2:15">
      <c r="B96" s="539"/>
      <c r="C96" s="53" t="s">
        <v>15</v>
      </c>
      <c r="D96" s="575">
        <v>0</v>
      </c>
      <c r="E96" s="575">
        <v>0</v>
      </c>
      <c r="F96" s="575">
        <v>0</v>
      </c>
      <c r="G96" s="575">
        <v>0</v>
      </c>
      <c r="H96" s="575">
        <v>0</v>
      </c>
      <c r="I96" s="575">
        <v>0</v>
      </c>
      <c r="J96" s="575">
        <v>0</v>
      </c>
      <c r="K96" s="575">
        <v>0</v>
      </c>
      <c r="L96" s="575">
        <v>0</v>
      </c>
      <c r="M96" s="575">
        <v>0</v>
      </c>
      <c r="N96" s="575">
        <v>0</v>
      </c>
      <c r="O96" s="575">
        <v>0</v>
      </c>
    </row>
    <row r="97" spans="2:15">
      <c r="B97" s="539"/>
      <c r="C97" s="103" t="s">
        <v>16</v>
      </c>
      <c r="D97" s="575">
        <v>0</v>
      </c>
      <c r="E97" s="575">
        <v>0</v>
      </c>
      <c r="F97" s="575">
        <v>0</v>
      </c>
      <c r="G97" s="575">
        <v>0</v>
      </c>
      <c r="H97" s="575">
        <v>0</v>
      </c>
      <c r="I97" s="575">
        <v>0</v>
      </c>
      <c r="J97" s="575">
        <v>0</v>
      </c>
      <c r="K97" s="575">
        <v>0</v>
      </c>
      <c r="L97" s="575">
        <v>0</v>
      </c>
      <c r="M97" s="575">
        <v>0</v>
      </c>
      <c r="N97" s="575">
        <v>0</v>
      </c>
      <c r="O97" s="575">
        <v>0</v>
      </c>
    </row>
    <row r="98" spans="2:15">
      <c r="B98" s="539"/>
      <c r="C98" s="52" t="s">
        <v>293</v>
      </c>
      <c r="D98" s="575">
        <v>0</v>
      </c>
      <c r="E98" s="575">
        <v>0</v>
      </c>
      <c r="F98" s="575">
        <v>0</v>
      </c>
      <c r="G98" s="575">
        <v>0</v>
      </c>
      <c r="H98" s="575">
        <v>0</v>
      </c>
      <c r="I98" s="575">
        <v>0</v>
      </c>
      <c r="J98" s="575">
        <v>0</v>
      </c>
      <c r="K98" s="575">
        <v>0</v>
      </c>
      <c r="L98" s="575">
        <v>0</v>
      </c>
      <c r="M98" s="575">
        <v>0</v>
      </c>
      <c r="N98" s="575">
        <v>0</v>
      </c>
      <c r="O98" s="575">
        <v>0</v>
      </c>
    </row>
    <row r="99" spans="2:15">
      <c r="B99" s="539"/>
      <c r="C99" s="52" t="s">
        <v>294</v>
      </c>
      <c r="D99" s="575">
        <v>0</v>
      </c>
      <c r="E99" s="575">
        <v>0</v>
      </c>
      <c r="F99" s="575">
        <v>0</v>
      </c>
      <c r="G99" s="575">
        <v>0</v>
      </c>
      <c r="H99" s="575">
        <v>0</v>
      </c>
      <c r="I99" s="575">
        <v>0</v>
      </c>
      <c r="J99" s="575">
        <v>0</v>
      </c>
      <c r="K99" s="575">
        <v>0</v>
      </c>
      <c r="L99" s="575">
        <v>0</v>
      </c>
      <c r="M99" s="575">
        <v>0</v>
      </c>
      <c r="N99" s="575">
        <v>0</v>
      </c>
      <c r="O99" s="575">
        <v>0</v>
      </c>
    </row>
    <row r="100" spans="2:15">
      <c r="B100" s="539"/>
      <c r="C100" s="52" t="s">
        <v>295</v>
      </c>
      <c r="D100" s="575">
        <v>0</v>
      </c>
      <c r="E100" s="575">
        <v>0</v>
      </c>
      <c r="F100" s="575">
        <v>0</v>
      </c>
      <c r="G100" s="575">
        <v>0</v>
      </c>
      <c r="H100" s="575">
        <v>0</v>
      </c>
      <c r="I100" s="575">
        <v>0</v>
      </c>
      <c r="J100" s="575">
        <v>0</v>
      </c>
      <c r="K100" s="575">
        <v>0</v>
      </c>
      <c r="L100" s="575">
        <v>0</v>
      </c>
      <c r="M100" s="575">
        <v>0</v>
      </c>
      <c r="N100" s="575">
        <v>0</v>
      </c>
      <c r="O100" s="575">
        <v>0</v>
      </c>
    </row>
    <row r="101" spans="2:15">
      <c r="B101" s="539"/>
      <c r="C101" s="52" t="s">
        <v>405</v>
      </c>
      <c r="D101" s="575">
        <v>0</v>
      </c>
      <c r="E101" s="575">
        <v>0</v>
      </c>
      <c r="F101" s="575">
        <v>0</v>
      </c>
      <c r="G101" s="575">
        <v>0</v>
      </c>
      <c r="H101" s="575">
        <v>0</v>
      </c>
      <c r="I101" s="575">
        <v>0</v>
      </c>
      <c r="J101" s="575">
        <v>0</v>
      </c>
      <c r="K101" s="575">
        <v>0</v>
      </c>
      <c r="L101" s="575">
        <v>0</v>
      </c>
      <c r="M101" s="575">
        <v>0</v>
      </c>
      <c r="N101" s="575">
        <v>0</v>
      </c>
      <c r="O101" s="575">
        <v>0</v>
      </c>
    </row>
    <row r="102" spans="2:15">
      <c r="B102" s="539"/>
      <c r="C102" s="103" t="s">
        <v>105</v>
      </c>
      <c r="D102" s="575">
        <v>0</v>
      </c>
      <c r="E102" s="575">
        <v>0</v>
      </c>
      <c r="F102" s="575">
        <v>0</v>
      </c>
      <c r="G102" s="575">
        <v>0</v>
      </c>
      <c r="H102" s="575">
        <v>0</v>
      </c>
      <c r="I102" s="575">
        <v>0</v>
      </c>
      <c r="J102" s="575">
        <v>0</v>
      </c>
      <c r="K102" s="575">
        <v>0</v>
      </c>
      <c r="L102" s="575">
        <v>0</v>
      </c>
      <c r="M102" s="575">
        <v>0</v>
      </c>
      <c r="N102" s="575">
        <v>0</v>
      </c>
      <c r="O102" s="575">
        <v>0</v>
      </c>
    </row>
    <row r="103" spans="2:15">
      <c r="B103" s="539"/>
      <c r="C103" s="53" t="s">
        <v>34</v>
      </c>
      <c r="D103" s="575">
        <v>0</v>
      </c>
      <c r="E103" s="575">
        <v>0</v>
      </c>
      <c r="F103" s="575">
        <v>0</v>
      </c>
      <c r="G103" s="575">
        <v>0</v>
      </c>
      <c r="H103" s="575">
        <v>0</v>
      </c>
      <c r="I103" s="575">
        <v>0</v>
      </c>
      <c r="J103" s="575">
        <v>0</v>
      </c>
      <c r="K103" s="575">
        <v>0</v>
      </c>
      <c r="L103" s="575">
        <v>0</v>
      </c>
      <c r="M103" s="575">
        <v>0</v>
      </c>
      <c r="N103" s="575">
        <v>0</v>
      </c>
      <c r="O103" s="575">
        <v>0</v>
      </c>
    </row>
    <row r="104" spans="2:15">
      <c r="B104" s="539"/>
      <c r="C104" s="103" t="s">
        <v>396</v>
      </c>
      <c r="D104" s="575">
        <v>0</v>
      </c>
      <c r="E104" s="575">
        <v>0</v>
      </c>
      <c r="F104" s="575">
        <v>0</v>
      </c>
      <c r="G104" s="575">
        <v>0</v>
      </c>
      <c r="H104" s="575">
        <v>0</v>
      </c>
      <c r="I104" s="575">
        <v>0</v>
      </c>
      <c r="J104" s="575">
        <v>0</v>
      </c>
      <c r="K104" s="575">
        <v>0</v>
      </c>
      <c r="L104" s="575">
        <v>0</v>
      </c>
      <c r="M104" s="575">
        <v>0</v>
      </c>
      <c r="N104" s="575">
        <v>0</v>
      </c>
      <c r="O104" s="575">
        <v>0</v>
      </c>
    </row>
    <row r="105" spans="2:15">
      <c r="B105" s="539"/>
      <c r="C105" s="103" t="s">
        <v>296</v>
      </c>
      <c r="D105" s="575">
        <v>0</v>
      </c>
      <c r="E105" s="575">
        <v>0</v>
      </c>
      <c r="F105" s="575">
        <v>0</v>
      </c>
      <c r="G105" s="575">
        <v>0</v>
      </c>
      <c r="H105" s="575">
        <v>0</v>
      </c>
      <c r="I105" s="575">
        <v>0</v>
      </c>
      <c r="J105" s="575">
        <v>0</v>
      </c>
      <c r="K105" s="575">
        <v>0</v>
      </c>
      <c r="L105" s="575">
        <v>0</v>
      </c>
      <c r="M105" s="575">
        <v>0</v>
      </c>
      <c r="N105" s="575">
        <v>0</v>
      </c>
      <c r="O105" s="575">
        <v>0</v>
      </c>
    </row>
    <row r="106" spans="2:15">
      <c r="B106" s="539"/>
      <c r="C106" s="103" t="s">
        <v>397</v>
      </c>
      <c r="D106" s="575">
        <v>0</v>
      </c>
      <c r="E106" s="575">
        <v>0</v>
      </c>
      <c r="F106" s="575">
        <v>0</v>
      </c>
      <c r="G106" s="575">
        <v>0</v>
      </c>
      <c r="H106" s="575">
        <v>0</v>
      </c>
      <c r="I106" s="575">
        <v>0</v>
      </c>
      <c r="J106" s="575">
        <v>0</v>
      </c>
      <c r="K106" s="575">
        <v>0</v>
      </c>
      <c r="L106" s="575">
        <v>0</v>
      </c>
      <c r="M106" s="575">
        <v>0</v>
      </c>
      <c r="N106" s="575">
        <v>0</v>
      </c>
      <c r="O106" s="575">
        <v>0</v>
      </c>
    </row>
    <row r="107" spans="2:15">
      <c r="B107" s="539"/>
      <c r="C107" s="103" t="s">
        <v>298</v>
      </c>
      <c r="D107" s="575">
        <v>0</v>
      </c>
      <c r="E107" s="575">
        <v>0</v>
      </c>
      <c r="F107" s="575">
        <v>0</v>
      </c>
      <c r="G107" s="575">
        <v>0</v>
      </c>
      <c r="H107" s="575">
        <v>0</v>
      </c>
      <c r="I107" s="575">
        <v>0</v>
      </c>
      <c r="J107" s="575">
        <v>0</v>
      </c>
      <c r="K107" s="575">
        <v>0</v>
      </c>
      <c r="L107" s="575">
        <v>0</v>
      </c>
      <c r="M107" s="575">
        <v>0</v>
      </c>
      <c r="N107" s="575">
        <v>0</v>
      </c>
      <c r="O107" s="575">
        <v>0</v>
      </c>
    </row>
    <row r="108" spans="2:15">
      <c r="B108" s="539"/>
      <c r="C108" s="103" t="s">
        <v>297</v>
      </c>
      <c r="D108" s="575">
        <v>0</v>
      </c>
      <c r="E108" s="575">
        <v>0</v>
      </c>
      <c r="F108" s="575">
        <v>0</v>
      </c>
      <c r="G108" s="575">
        <v>0</v>
      </c>
      <c r="H108" s="575">
        <v>0</v>
      </c>
      <c r="I108" s="575">
        <v>0</v>
      </c>
      <c r="J108" s="575">
        <v>0</v>
      </c>
      <c r="K108" s="575">
        <v>0</v>
      </c>
      <c r="L108" s="575">
        <v>0</v>
      </c>
      <c r="M108" s="575">
        <v>0</v>
      </c>
      <c r="N108" s="575">
        <v>0</v>
      </c>
      <c r="O108" s="575">
        <v>0</v>
      </c>
    </row>
    <row r="109" spans="2:15">
      <c r="B109" s="539"/>
      <c r="C109" s="103" t="s">
        <v>398</v>
      </c>
      <c r="D109" s="575">
        <v>0</v>
      </c>
      <c r="E109" s="575">
        <v>0</v>
      </c>
      <c r="F109" s="575">
        <v>0</v>
      </c>
      <c r="G109" s="575">
        <v>0</v>
      </c>
      <c r="H109" s="575">
        <v>0</v>
      </c>
      <c r="I109" s="575">
        <v>0</v>
      </c>
      <c r="J109" s="575">
        <v>0</v>
      </c>
      <c r="K109" s="575">
        <v>0</v>
      </c>
      <c r="L109" s="575">
        <v>0</v>
      </c>
      <c r="M109" s="575">
        <v>0</v>
      </c>
      <c r="N109" s="575">
        <v>0</v>
      </c>
      <c r="O109" s="575">
        <v>0</v>
      </c>
    </row>
    <row r="110" spans="2:15">
      <c r="B110" s="539"/>
      <c r="C110" s="53" t="s">
        <v>26</v>
      </c>
      <c r="D110" s="575">
        <v>0</v>
      </c>
      <c r="E110" s="575">
        <v>0</v>
      </c>
      <c r="F110" s="575">
        <v>0</v>
      </c>
      <c r="G110" s="575">
        <v>0</v>
      </c>
      <c r="H110" s="575">
        <v>0</v>
      </c>
      <c r="I110" s="575">
        <v>0</v>
      </c>
      <c r="J110" s="575">
        <v>0</v>
      </c>
      <c r="K110" s="575">
        <v>0</v>
      </c>
      <c r="L110" s="575">
        <v>0</v>
      </c>
      <c r="M110" s="575">
        <v>0</v>
      </c>
      <c r="N110" s="575">
        <v>0</v>
      </c>
      <c r="O110" s="575">
        <v>0</v>
      </c>
    </row>
    <row r="111" spans="2:15">
      <c r="B111" s="539"/>
      <c r="C111" s="103" t="s">
        <v>299</v>
      </c>
      <c r="D111" s="575">
        <v>0</v>
      </c>
      <c r="E111" s="575">
        <v>0</v>
      </c>
      <c r="F111" s="575">
        <v>0</v>
      </c>
      <c r="G111" s="575">
        <v>0</v>
      </c>
      <c r="H111" s="575">
        <v>0</v>
      </c>
      <c r="I111" s="575">
        <v>0</v>
      </c>
      <c r="J111" s="575">
        <v>0</v>
      </c>
      <c r="K111" s="575">
        <v>0</v>
      </c>
      <c r="L111" s="575">
        <v>0</v>
      </c>
      <c r="M111" s="575">
        <v>0</v>
      </c>
      <c r="N111" s="575">
        <v>0</v>
      </c>
      <c r="O111" s="575">
        <v>0</v>
      </c>
    </row>
    <row r="112" spans="2:15">
      <c r="B112" s="539"/>
      <c r="C112" s="103" t="s">
        <v>301</v>
      </c>
      <c r="D112" s="575">
        <v>0</v>
      </c>
      <c r="E112" s="575">
        <v>0</v>
      </c>
      <c r="F112" s="575">
        <v>0</v>
      </c>
      <c r="G112" s="575">
        <v>0</v>
      </c>
      <c r="H112" s="575">
        <v>0</v>
      </c>
      <c r="I112" s="575">
        <v>0</v>
      </c>
      <c r="J112" s="575">
        <v>0</v>
      </c>
      <c r="K112" s="575">
        <v>0</v>
      </c>
      <c r="L112" s="575">
        <v>0</v>
      </c>
      <c r="M112" s="575">
        <v>0</v>
      </c>
      <c r="N112" s="575">
        <v>0</v>
      </c>
      <c r="O112" s="575">
        <v>0</v>
      </c>
    </row>
    <row r="113" spans="2:15">
      <c r="B113" s="539"/>
      <c r="C113" s="103" t="s">
        <v>303</v>
      </c>
      <c r="D113" s="575">
        <v>0</v>
      </c>
      <c r="E113" s="575">
        <v>0</v>
      </c>
      <c r="F113" s="575">
        <v>0</v>
      </c>
      <c r="G113" s="575">
        <v>0</v>
      </c>
      <c r="H113" s="575">
        <v>0</v>
      </c>
      <c r="I113" s="575">
        <v>0</v>
      </c>
      <c r="J113" s="575">
        <v>0</v>
      </c>
      <c r="K113" s="575">
        <v>0</v>
      </c>
      <c r="L113" s="575">
        <v>0</v>
      </c>
      <c r="M113" s="575">
        <v>0</v>
      </c>
      <c r="N113" s="575">
        <v>0</v>
      </c>
      <c r="O113" s="575">
        <v>0</v>
      </c>
    </row>
    <row r="114" spans="2:15">
      <c r="B114" s="539"/>
      <c r="C114" s="103" t="s">
        <v>302</v>
      </c>
      <c r="D114" s="575">
        <v>0</v>
      </c>
      <c r="E114" s="575">
        <v>0</v>
      </c>
      <c r="F114" s="575">
        <v>0</v>
      </c>
      <c r="G114" s="575">
        <v>0</v>
      </c>
      <c r="H114" s="575">
        <v>0</v>
      </c>
      <c r="I114" s="575">
        <v>0</v>
      </c>
      <c r="J114" s="575">
        <v>0</v>
      </c>
      <c r="K114" s="575">
        <v>0</v>
      </c>
      <c r="L114" s="575">
        <v>0</v>
      </c>
      <c r="M114" s="575">
        <v>0</v>
      </c>
      <c r="N114" s="575">
        <v>0</v>
      </c>
      <c r="O114" s="575">
        <v>0</v>
      </c>
    </row>
    <row r="115" spans="2:15">
      <c r="B115" s="539"/>
      <c r="C115" s="103" t="s">
        <v>403</v>
      </c>
      <c r="D115" s="575">
        <v>0</v>
      </c>
      <c r="E115" s="575">
        <v>0</v>
      </c>
      <c r="F115" s="575">
        <v>0</v>
      </c>
      <c r="G115" s="575">
        <v>0</v>
      </c>
      <c r="H115" s="575">
        <v>0</v>
      </c>
      <c r="I115" s="575">
        <v>0</v>
      </c>
      <c r="J115" s="575">
        <v>0</v>
      </c>
      <c r="K115" s="575">
        <v>0</v>
      </c>
      <c r="L115" s="575">
        <v>0</v>
      </c>
      <c r="M115" s="575">
        <v>0</v>
      </c>
      <c r="N115" s="575">
        <v>0</v>
      </c>
      <c r="O115" s="575">
        <v>0</v>
      </c>
    </row>
    <row r="116" spans="2:15">
      <c r="B116" s="539"/>
      <c r="C116" s="103" t="s">
        <v>394</v>
      </c>
      <c r="D116" s="575">
        <v>0</v>
      </c>
      <c r="E116" s="575">
        <v>0</v>
      </c>
      <c r="F116" s="575">
        <v>0</v>
      </c>
      <c r="G116" s="575">
        <v>0</v>
      </c>
      <c r="H116" s="575">
        <v>0</v>
      </c>
      <c r="I116" s="575">
        <v>0</v>
      </c>
      <c r="J116" s="575">
        <v>0</v>
      </c>
      <c r="K116" s="575">
        <v>0</v>
      </c>
      <c r="L116" s="575">
        <v>0</v>
      </c>
      <c r="M116" s="575">
        <v>0</v>
      </c>
      <c r="N116" s="575">
        <v>0</v>
      </c>
      <c r="O116" s="575">
        <v>0</v>
      </c>
    </row>
    <row r="117" spans="2:15">
      <c r="B117" s="539"/>
      <c r="C117" s="103" t="s">
        <v>300</v>
      </c>
      <c r="D117" s="575">
        <v>0</v>
      </c>
      <c r="E117" s="575">
        <v>0</v>
      </c>
      <c r="F117" s="575">
        <v>0</v>
      </c>
      <c r="G117" s="575">
        <v>0</v>
      </c>
      <c r="H117" s="575">
        <v>0</v>
      </c>
      <c r="I117" s="575">
        <v>0</v>
      </c>
      <c r="J117" s="575">
        <v>0</v>
      </c>
      <c r="K117" s="575">
        <v>0</v>
      </c>
      <c r="L117" s="575">
        <v>0</v>
      </c>
      <c r="M117" s="575">
        <v>0</v>
      </c>
      <c r="N117" s="575">
        <v>0</v>
      </c>
      <c r="O117" s="575">
        <v>0</v>
      </c>
    </row>
    <row r="118" spans="2:15">
      <c r="B118" s="539"/>
      <c r="C118" s="103" t="s">
        <v>395</v>
      </c>
      <c r="D118" s="575">
        <v>0</v>
      </c>
      <c r="E118" s="575">
        <v>0</v>
      </c>
      <c r="F118" s="575">
        <v>0</v>
      </c>
      <c r="G118" s="575">
        <v>0</v>
      </c>
      <c r="H118" s="575">
        <v>0</v>
      </c>
      <c r="I118" s="575">
        <v>0</v>
      </c>
      <c r="J118" s="575">
        <v>0</v>
      </c>
      <c r="K118" s="575">
        <v>0</v>
      </c>
      <c r="L118" s="575">
        <v>0</v>
      </c>
      <c r="M118" s="575">
        <v>0</v>
      </c>
      <c r="N118" s="575">
        <v>0</v>
      </c>
      <c r="O118" s="575">
        <v>0</v>
      </c>
    </row>
    <row r="119" spans="2:15">
      <c r="B119" s="539"/>
      <c r="C119" s="53" t="s">
        <v>90</v>
      </c>
      <c r="D119" s="575">
        <v>0</v>
      </c>
      <c r="E119" s="575">
        <v>0</v>
      </c>
      <c r="F119" s="575">
        <v>0</v>
      </c>
      <c r="G119" s="575">
        <v>0</v>
      </c>
      <c r="H119" s="575">
        <v>0</v>
      </c>
      <c r="I119" s="575">
        <v>0</v>
      </c>
      <c r="J119" s="575">
        <v>0</v>
      </c>
      <c r="K119" s="575">
        <v>0</v>
      </c>
      <c r="L119" s="575">
        <v>0</v>
      </c>
      <c r="M119" s="575">
        <v>0</v>
      </c>
      <c r="N119" s="575">
        <v>0</v>
      </c>
      <c r="O119" s="575">
        <v>0</v>
      </c>
    </row>
    <row r="120" spans="2:15">
      <c r="B120" s="540"/>
      <c r="C120" s="53" t="s">
        <v>304</v>
      </c>
      <c r="D120" s="575">
        <v>0</v>
      </c>
      <c r="E120" s="575">
        <v>0</v>
      </c>
      <c r="F120" s="575">
        <v>0</v>
      </c>
      <c r="G120" s="575">
        <v>0</v>
      </c>
      <c r="H120" s="575">
        <v>0</v>
      </c>
      <c r="I120" s="575">
        <v>0</v>
      </c>
      <c r="J120" s="575">
        <v>0</v>
      </c>
      <c r="K120" s="575">
        <v>0</v>
      </c>
      <c r="L120" s="575">
        <v>0</v>
      </c>
      <c r="M120" s="575">
        <v>0</v>
      </c>
      <c r="N120" s="575">
        <v>0</v>
      </c>
      <c r="O120" s="575">
        <v>0</v>
      </c>
    </row>
    <row r="121" spans="2:15">
      <c r="B121" s="568" t="s">
        <v>307</v>
      </c>
      <c r="C121" s="101" t="s">
        <v>13</v>
      </c>
      <c r="D121" s="575">
        <v>0</v>
      </c>
      <c r="E121" s="575">
        <v>0</v>
      </c>
      <c r="F121" s="575">
        <v>0</v>
      </c>
      <c r="G121" s="575">
        <v>0</v>
      </c>
      <c r="H121" s="575">
        <v>0</v>
      </c>
      <c r="I121" s="575">
        <v>0</v>
      </c>
      <c r="J121" s="575">
        <v>0</v>
      </c>
      <c r="K121" s="575">
        <v>0</v>
      </c>
      <c r="L121" s="575">
        <v>0</v>
      </c>
      <c r="M121" s="575">
        <v>0</v>
      </c>
      <c r="N121" s="575">
        <v>0</v>
      </c>
      <c r="O121" s="575">
        <v>0</v>
      </c>
    </row>
    <row r="122" spans="2:15">
      <c r="B122" s="569"/>
      <c r="C122" s="53" t="s">
        <v>15</v>
      </c>
      <c r="D122" s="575">
        <v>0</v>
      </c>
      <c r="E122" s="575">
        <v>0</v>
      </c>
      <c r="F122" s="575">
        <v>0</v>
      </c>
      <c r="G122" s="575">
        <v>0</v>
      </c>
      <c r="H122" s="575">
        <v>0</v>
      </c>
      <c r="I122" s="575">
        <v>0</v>
      </c>
      <c r="J122" s="575">
        <v>0</v>
      </c>
      <c r="K122" s="575">
        <v>0</v>
      </c>
      <c r="L122" s="575">
        <v>0</v>
      </c>
      <c r="M122" s="575">
        <v>0</v>
      </c>
      <c r="N122" s="575">
        <v>0</v>
      </c>
      <c r="O122" s="575">
        <v>0</v>
      </c>
    </row>
    <row r="123" spans="2:15">
      <c r="B123" s="569"/>
      <c r="C123" s="103" t="s">
        <v>16</v>
      </c>
      <c r="D123" s="575">
        <v>0</v>
      </c>
      <c r="E123" s="575">
        <v>0</v>
      </c>
      <c r="F123" s="575">
        <v>0</v>
      </c>
      <c r="G123" s="575">
        <v>0</v>
      </c>
      <c r="H123" s="575">
        <v>0</v>
      </c>
      <c r="I123" s="575">
        <v>0</v>
      </c>
      <c r="J123" s="575">
        <v>0</v>
      </c>
      <c r="K123" s="575">
        <v>0</v>
      </c>
      <c r="L123" s="575">
        <v>0</v>
      </c>
      <c r="M123" s="575">
        <v>0</v>
      </c>
      <c r="N123" s="575">
        <v>0</v>
      </c>
      <c r="O123" s="575">
        <v>0</v>
      </c>
    </row>
    <row r="124" spans="2:15">
      <c r="B124" s="569"/>
      <c r="C124" s="52" t="s">
        <v>293</v>
      </c>
      <c r="D124" s="575">
        <v>0</v>
      </c>
      <c r="E124" s="575">
        <v>0</v>
      </c>
      <c r="F124" s="575">
        <v>0</v>
      </c>
      <c r="G124" s="575">
        <v>0</v>
      </c>
      <c r="H124" s="575">
        <v>0</v>
      </c>
      <c r="I124" s="575">
        <v>0</v>
      </c>
      <c r="J124" s="575">
        <v>0</v>
      </c>
      <c r="K124" s="575">
        <v>0</v>
      </c>
      <c r="L124" s="575">
        <v>0</v>
      </c>
      <c r="M124" s="575">
        <v>0</v>
      </c>
      <c r="N124" s="575">
        <v>0</v>
      </c>
      <c r="O124" s="575">
        <v>0</v>
      </c>
    </row>
    <row r="125" spans="2:15">
      <c r="B125" s="569"/>
      <c r="C125" s="52" t="s">
        <v>294</v>
      </c>
      <c r="D125" s="575">
        <v>0</v>
      </c>
      <c r="E125" s="575">
        <v>0</v>
      </c>
      <c r="F125" s="575">
        <v>0</v>
      </c>
      <c r="G125" s="575">
        <v>0</v>
      </c>
      <c r="H125" s="575">
        <v>0</v>
      </c>
      <c r="I125" s="575">
        <v>0</v>
      </c>
      <c r="J125" s="575">
        <v>0</v>
      </c>
      <c r="K125" s="575">
        <v>0</v>
      </c>
      <c r="L125" s="575">
        <v>0</v>
      </c>
      <c r="M125" s="575">
        <v>0</v>
      </c>
      <c r="N125" s="575">
        <v>0</v>
      </c>
      <c r="O125" s="575">
        <v>0</v>
      </c>
    </row>
    <row r="126" spans="2:15">
      <c r="B126" s="569"/>
      <c r="C126" s="52" t="s">
        <v>295</v>
      </c>
      <c r="D126" s="575">
        <v>0</v>
      </c>
      <c r="E126" s="575">
        <v>0</v>
      </c>
      <c r="F126" s="575">
        <v>0</v>
      </c>
      <c r="G126" s="575">
        <v>0</v>
      </c>
      <c r="H126" s="575">
        <v>0</v>
      </c>
      <c r="I126" s="575">
        <v>0</v>
      </c>
      <c r="J126" s="575">
        <v>0</v>
      </c>
      <c r="K126" s="575">
        <v>0</v>
      </c>
      <c r="L126" s="575">
        <v>0</v>
      </c>
      <c r="M126" s="575">
        <v>0</v>
      </c>
      <c r="N126" s="575">
        <v>0</v>
      </c>
      <c r="O126" s="575">
        <v>0</v>
      </c>
    </row>
    <row r="127" spans="2:15">
      <c r="B127" s="569"/>
      <c r="C127" s="52" t="s">
        <v>405</v>
      </c>
      <c r="D127" s="575">
        <v>0</v>
      </c>
      <c r="E127" s="575">
        <v>0</v>
      </c>
      <c r="F127" s="575">
        <v>0</v>
      </c>
      <c r="G127" s="575">
        <v>0</v>
      </c>
      <c r="H127" s="575">
        <v>0</v>
      </c>
      <c r="I127" s="575">
        <v>0</v>
      </c>
      <c r="J127" s="575">
        <v>0</v>
      </c>
      <c r="K127" s="575">
        <v>0</v>
      </c>
      <c r="L127" s="575">
        <v>0</v>
      </c>
      <c r="M127" s="575">
        <v>0</v>
      </c>
      <c r="N127" s="575">
        <v>0</v>
      </c>
      <c r="O127" s="575">
        <v>0</v>
      </c>
    </row>
    <row r="128" spans="2:15">
      <c r="B128" s="569"/>
      <c r="C128" s="103" t="s">
        <v>105</v>
      </c>
      <c r="D128" s="575">
        <v>0</v>
      </c>
      <c r="E128" s="575">
        <v>0</v>
      </c>
      <c r="F128" s="575">
        <v>0</v>
      </c>
      <c r="G128" s="575">
        <v>0</v>
      </c>
      <c r="H128" s="575">
        <v>0</v>
      </c>
      <c r="I128" s="575">
        <v>0</v>
      </c>
      <c r="J128" s="575">
        <v>0</v>
      </c>
      <c r="K128" s="575">
        <v>0</v>
      </c>
      <c r="L128" s="575">
        <v>0</v>
      </c>
      <c r="M128" s="575">
        <v>0</v>
      </c>
      <c r="N128" s="575">
        <v>0</v>
      </c>
      <c r="O128" s="575">
        <v>0</v>
      </c>
    </row>
    <row r="129" spans="2:15">
      <c r="B129" s="569"/>
      <c r="C129" s="53" t="s">
        <v>34</v>
      </c>
      <c r="D129" s="575">
        <v>0</v>
      </c>
      <c r="E129" s="575">
        <v>0</v>
      </c>
      <c r="F129" s="575">
        <v>0</v>
      </c>
      <c r="G129" s="575">
        <v>0</v>
      </c>
      <c r="H129" s="575">
        <v>0</v>
      </c>
      <c r="I129" s="575">
        <v>0</v>
      </c>
      <c r="J129" s="575">
        <v>0</v>
      </c>
      <c r="K129" s="575">
        <v>0</v>
      </c>
      <c r="L129" s="575">
        <v>0</v>
      </c>
      <c r="M129" s="575">
        <v>0</v>
      </c>
      <c r="N129" s="575">
        <v>0</v>
      </c>
      <c r="O129" s="575">
        <v>0</v>
      </c>
    </row>
    <row r="130" spans="2:15">
      <c r="B130" s="569"/>
      <c r="C130" s="103" t="s">
        <v>396</v>
      </c>
      <c r="D130" s="575">
        <v>0</v>
      </c>
      <c r="E130" s="575">
        <v>0</v>
      </c>
      <c r="F130" s="575">
        <v>0</v>
      </c>
      <c r="G130" s="575">
        <v>0</v>
      </c>
      <c r="H130" s="575">
        <v>0</v>
      </c>
      <c r="I130" s="575">
        <v>0</v>
      </c>
      <c r="J130" s="575">
        <v>0</v>
      </c>
      <c r="K130" s="575">
        <v>0</v>
      </c>
      <c r="L130" s="575">
        <v>0</v>
      </c>
      <c r="M130" s="575">
        <v>0</v>
      </c>
      <c r="N130" s="575">
        <v>0</v>
      </c>
      <c r="O130" s="575">
        <v>0</v>
      </c>
    </row>
    <row r="131" spans="2:15">
      <c r="B131" s="569"/>
      <c r="C131" s="103" t="s">
        <v>296</v>
      </c>
      <c r="D131" s="575">
        <v>0</v>
      </c>
      <c r="E131" s="575">
        <v>0</v>
      </c>
      <c r="F131" s="575">
        <v>0</v>
      </c>
      <c r="G131" s="575">
        <v>0</v>
      </c>
      <c r="H131" s="575">
        <v>0</v>
      </c>
      <c r="I131" s="575">
        <v>0</v>
      </c>
      <c r="J131" s="575">
        <v>0</v>
      </c>
      <c r="K131" s="575">
        <v>0</v>
      </c>
      <c r="L131" s="575">
        <v>0</v>
      </c>
      <c r="M131" s="575">
        <v>0</v>
      </c>
      <c r="N131" s="575">
        <v>0</v>
      </c>
      <c r="O131" s="575">
        <v>0</v>
      </c>
    </row>
    <row r="132" spans="2:15">
      <c r="B132" s="569"/>
      <c r="C132" s="103" t="s">
        <v>397</v>
      </c>
      <c r="D132" s="575">
        <v>0</v>
      </c>
      <c r="E132" s="575">
        <v>0</v>
      </c>
      <c r="F132" s="575">
        <v>0</v>
      </c>
      <c r="G132" s="575">
        <v>0</v>
      </c>
      <c r="H132" s="575">
        <v>0</v>
      </c>
      <c r="I132" s="575">
        <v>0</v>
      </c>
      <c r="J132" s="575">
        <v>0</v>
      </c>
      <c r="K132" s="575">
        <v>0</v>
      </c>
      <c r="L132" s="575">
        <v>0</v>
      </c>
      <c r="M132" s="575">
        <v>0</v>
      </c>
      <c r="N132" s="575">
        <v>0</v>
      </c>
      <c r="O132" s="575">
        <v>0</v>
      </c>
    </row>
    <row r="133" spans="2:15">
      <c r="B133" s="569"/>
      <c r="C133" s="103" t="s">
        <v>298</v>
      </c>
      <c r="D133" s="575">
        <v>0</v>
      </c>
      <c r="E133" s="575">
        <v>0</v>
      </c>
      <c r="F133" s="575">
        <v>0</v>
      </c>
      <c r="G133" s="575">
        <v>0</v>
      </c>
      <c r="H133" s="575">
        <v>0</v>
      </c>
      <c r="I133" s="575">
        <v>0</v>
      </c>
      <c r="J133" s="575">
        <v>0</v>
      </c>
      <c r="K133" s="575">
        <v>0</v>
      </c>
      <c r="L133" s="575">
        <v>0</v>
      </c>
      <c r="M133" s="575">
        <v>0</v>
      </c>
      <c r="N133" s="575">
        <v>0</v>
      </c>
      <c r="O133" s="575">
        <v>0</v>
      </c>
    </row>
    <row r="134" spans="2:15">
      <c r="B134" s="569"/>
      <c r="C134" s="103" t="s">
        <v>297</v>
      </c>
      <c r="D134" s="575">
        <v>0</v>
      </c>
      <c r="E134" s="575">
        <v>0</v>
      </c>
      <c r="F134" s="575">
        <v>0</v>
      </c>
      <c r="G134" s="575">
        <v>0</v>
      </c>
      <c r="H134" s="575">
        <v>0</v>
      </c>
      <c r="I134" s="575">
        <v>0</v>
      </c>
      <c r="J134" s="575">
        <v>0</v>
      </c>
      <c r="K134" s="575">
        <v>0</v>
      </c>
      <c r="L134" s="575">
        <v>0</v>
      </c>
      <c r="M134" s="575">
        <v>0</v>
      </c>
      <c r="N134" s="575">
        <v>0</v>
      </c>
      <c r="O134" s="575">
        <v>0</v>
      </c>
    </row>
    <row r="135" spans="2:15">
      <c r="B135" s="569"/>
      <c r="C135" s="103" t="s">
        <v>398</v>
      </c>
      <c r="D135" s="575">
        <v>0</v>
      </c>
      <c r="E135" s="575">
        <v>0</v>
      </c>
      <c r="F135" s="575">
        <v>0</v>
      </c>
      <c r="G135" s="575">
        <v>0</v>
      </c>
      <c r="H135" s="575">
        <v>0</v>
      </c>
      <c r="I135" s="575">
        <v>0</v>
      </c>
      <c r="J135" s="575">
        <v>0</v>
      </c>
      <c r="K135" s="575">
        <v>0</v>
      </c>
      <c r="L135" s="575">
        <v>0</v>
      </c>
      <c r="M135" s="575">
        <v>0</v>
      </c>
      <c r="N135" s="575">
        <v>0</v>
      </c>
      <c r="O135" s="575">
        <v>0</v>
      </c>
    </row>
    <row r="136" spans="2:15">
      <c r="B136" s="569"/>
      <c r="C136" s="53" t="s">
        <v>26</v>
      </c>
      <c r="D136" s="575">
        <v>0</v>
      </c>
      <c r="E136" s="575">
        <v>0</v>
      </c>
      <c r="F136" s="575">
        <v>0</v>
      </c>
      <c r="G136" s="575">
        <v>0</v>
      </c>
      <c r="H136" s="575">
        <v>0</v>
      </c>
      <c r="I136" s="575">
        <v>0</v>
      </c>
      <c r="J136" s="575">
        <v>0</v>
      </c>
      <c r="K136" s="575">
        <v>0</v>
      </c>
      <c r="L136" s="575">
        <v>0</v>
      </c>
      <c r="M136" s="575">
        <v>0</v>
      </c>
      <c r="N136" s="575">
        <v>0</v>
      </c>
      <c r="O136" s="575">
        <v>0</v>
      </c>
    </row>
    <row r="137" spans="2:15">
      <c r="B137" s="569"/>
      <c r="C137" s="103" t="s">
        <v>299</v>
      </c>
      <c r="D137" s="575">
        <v>0</v>
      </c>
      <c r="E137" s="575">
        <v>0</v>
      </c>
      <c r="F137" s="575">
        <v>0</v>
      </c>
      <c r="G137" s="575">
        <v>0</v>
      </c>
      <c r="H137" s="575">
        <v>0</v>
      </c>
      <c r="I137" s="575">
        <v>0</v>
      </c>
      <c r="J137" s="575">
        <v>0</v>
      </c>
      <c r="K137" s="575">
        <v>0</v>
      </c>
      <c r="L137" s="575">
        <v>0</v>
      </c>
      <c r="M137" s="575">
        <v>0</v>
      </c>
      <c r="N137" s="575">
        <v>0</v>
      </c>
      <c r="O137" s="575">
        <v>0</v>
      </c>
    </row>
    <row r="138" spans="2:15">
      <c r="B138" s="569"/>
      <c r="C138" s="103" t="s">
        <v>301</v>
      </c>
      <c r="D138" s="575">
        <v>0</v>
      </c>
      <c r="E138" s="575">
        <v>0</v>
      </c>
      <c r="F138" s="575">
        <v>0</v>
      </c>
      <c r="G138" s="575">
        <v>0</v>
      </c>
      <c r="H138" s="575">
        <v>0</v>
      </c>
      <c r="I138" s="575">
        <v>0</v>
      </c>
      <c r="J138" s="575">
        <v>0</v>
      </c>
      <c r="K138" s="575">
        <v>0</v>
      </c>
      <c r="L138" s="575">
        <v>0</v>
      </c>
      <c r="M138" s="575">
        <v>0</v>
      </c>
      <c r="N138" s="575">
        <v>0</v>
      </c>
      <c r="O138" s="575">
        <v>0</v>
      </c>
    </row>
    <row r="139" spans="2:15">
      <c r="B139" s="569"/>
      <c r="C139" s="103" t="s">
        <v>303</v>
      </c>
      <c r="D139" s="575">
        <v>0</v>
      </c>
      <c r="E139" s="575">
        <v>0</v>
      </c>
      <c r="F139" s="575">
        <v>0</v>
      </c>
      <c r="G139" s="575">
        <v>0</v>
      </c>
      <c r="H139" s="575">
        <v>0</v>
      </c>
      <c r="I139" s="575">
        <v>0</v>
      </c>
      <c r="J139" s="575">
        <v>0</v>
      </c>
      <c r="K139" s="575">
        <v>0</v>
      </c>
      <c r="L139" s="575">
        <v>0</v>
      </c>
      <c r="M139" s="575">
        <v>0</v>
      </c>
      <c r="N139" s="575">
        <v>0</v>
      </c>
      <c r="O139" s="575">
        <v>0</v>
      </c>
    </row>
    <row r="140" spans="2:15">
      <c r="B140" s="569"/>
      <c r="C140" s="103" t="s">
        <v>302</v>
      </c>
      <c r="D140" s="575">
        <v>0</v>
      </c>
      <c r="E140" s="575">
        <v>0</v>
      </c>
      <c r="F140" s="575">
        <v>0</v>
      </c>
      <c r="G140" s="575">
        <v>0</v>
      </c>
      <c r="H140" s="575">
        <v>0</v>
      </c>
      <c r="I140" s="575">
        <v>0</v>
      </c>
      <c r="J140" s="575">
        <v>0</v>
      </c>
      <c r="K140" s="575">
        <v>0</v>
      </c>
      <c r="L140" s="575">
        <v>0</v>
      </c>
      <c r="M140" s="575">
        <v>0</v>
      </c>
      <c r="N140" s="575">
        <v>0</v>
      </c>
      <c r="O140" s="575">
        <v>0</v>
      </c>
    </row>
    <row r="141" spans="2:15">
      <c r="B141" s="569"/>
      <c r="C141" s="103" t="s">
        <v>403</v>
      </c>
      <c r="D141" s="575">
        <v>0</v>
      </c>
      <c r="E141" s="575">
        <v>0</v>
      </c>
      <c r="F141" s="575">
        <v>0</v>
      </c>
      <c r="G141" s="575">
        <v>0</v>
      </c>
      <c r="H141" s="575">
        <v>0</v>
      </c>
      <c r="I141" s="575">
        <v>0</v>
      </c>
      <c r="J141" s="575">
        <v>0</v>
      </c>
      <c r="K141" s="575">
        <v>0</v>
      </c>
      <c r="L141" s="575">
        <v>0</v>
      </c>
      <c r="M141" s="575">
        <v>0</v>
      </c>
      <c r="N141" s="575">
        <v>0</v>
      </c>
      <c r="O141" s="575">
        <v>0</v>
      </c>
    </row>
    <row r="142" spans="2:15">
      <c r="B142" s="569"/>
      <c r="C142" s="103" t="s">
        <v>394</v>
      </c>
      <c r="D142" s="575">
        <v>0</v>
      </c>
      <c r="E142" s="575">
        <v>0</v>
      </c>
      <c r="F142" s="575">
        <v>0</v>
      </c>
      <c r="G142" s="575">
        <v>0</v>
      </c>
      <c r="H142" s="575">
        <v>0</v>
      </c>
      <c r="I142" s="575">
        <v>0</v>
      </c>
      <c r="J142" s="575">
        <v>0</v>
      </c>
      <c r="K142" s="575">
        <v>0</v>
      </c>
      <c r="L142" s="575">
        <v>0</v>
      </c>
      <c r="M142" s="575">
        <v>0</v>
      </c>
      <c r="N142" s="575">
        <v>0</v>
      </c>
      <c r="O142" s="575">
        <v>0</v>
      </c>
    </row>
    <row r="143" spans="2:15">
      <c r="B143" s="569"/>
      <c r="C143" s="103" t="s">
        <v>300</v>
      </c>
      <c r="D143" s="575">
        <v>0</v>
      </c>
      <c r="E143" s="575">
        <v>0</v>
      </c>
      <c r="F143" s="575">
        <v>0</v>
      </c>
      <c r="G143" s="575">
        <v>0</v>
      </c>
      <c r="H143" s="575">
        <v>0</v>
      </c>
      <c r="I143" s="575">
        <v>0</v>
      </c>
      <c r="J143" s="575">
        <v>0</v>
      </c>
      <c r="K143" s="575">
        <v>0</v>
      </c>
      <c r="L143" s="575">
        <v>0</v>
      </c>
      <c r="M143" s="575">
        <v>0</v>
      </c>
      <c r="N143" s="575">
        <v>0</v>
      </c>
      <c r="O143" s="575">
        <v>0</v>
      </c>
    </row>
    <row r="144" spans="2:15">
      <c r="B144" s="569"/>
      <c r="C144" s="103" t="s">
        <v>395</v>
      </c>
      <c r="D144" s="575">
        <v>0</v>
      </c>
      <c r="E144" s="575">
        <v>0</v>
      </c>
      <c r="F144" s="575">
        <v>0</v>
      </c>
      <c r="G144" s="575">
        <v>0</v>
      </c>
      <c r="H144" s="575">
        <v>0</v>
      </c>
      <c r="I144" s="575">
        <v>0</v>
      </c>
      <c r="J144" s="575">
        <v>0</v>
      </c>
      <c r="K144" s="575">
        <v>0</v>
      </c>
      <c r="L144" s="575">
        <v>0</v>
      </c>
      <c r="M144" s="575">
        <v>0</v>
      </c>
      <c r="N144" s="575">
        <v>0</v>
      </c>
      <c r="O144" s="575">
        <v>0</v>
      </c>
    </row>
    <row r="145" spans="2:15">
      <c r="B145" s="569"/>
      <c r="C145" s="53" t="s">
        <v>90</v>
      </c>
      <c r="D145" s="575">
        <v>0</v>
      </c>
      <c r="E145" s="575">
        <v>0</v>
      </c>
      <c r="F145" s="575">
        <v>0</v>
      </c>
      <c r="G145" s="575">
        <v>0</v>
      </c>
      <c r="H145" s="575">
        <v>0</v>
      </c>
      <c r="I145" s="575">
        <v>0</v>
      </c>
      <c r="J145" s="575">
        <v>0</v>
      </c>
      <c r="K145" s="575">
        <v>0</v>
      </c>
      <c r="L145" s="575">
        <v>0</v>
      </c>
      <c r="M145" s="575">
        <v>0</v>
      </c>
      <c r="N145" s="575">
        <v>0</v>
      </c>
      <c r="O145" s="575">
        <v>0</v>
      </c>
    </row>
    <row r="146" spans="2:15">
      <c r="B146" s="570"/>
      <c r="C146" s="53" t="s">
        <v>304</v>
      </c>
      <c r="D146" s="575">
        <v>0</v>
      </c>
      <c r="E146" s="575">
        <v>0</v>
      </c>
      <c r="F146" s="575">
        <v>0</v>
      </c>
      <c r="G146" s="575">
        <v>0</v>
      </c>
      <c r="H146" s="575">
        <v>0</v>
      </c>
      <c r="I146" s="575">
        <v>0</v>
      </c>
      <c r="J146" s="575">
        <v>0</v>
      </c>
      <c r="K146" s="575">
        <v>0</v>
      </c>
      <c r="L146" s="575">
        <v>0</v>
      </c>
      <c r="M146" s="575">
        <v>0</v>
      </c>
      <c r="N146" s="575">
        <v>0</v>
      </c>
      <c r="O146" s="575">
        <v>0</v>
      </c>
    </row>
    <row r="147" spans="2:15">
      <c r="B147" s="568" t="s">
        <v>308</v>
      </c>
      <c r="C147" s="101" t="s">
        <v>13</v>
      </c>
      <c r="D147" s="575">
        <v>0</v>
      </c>
      <c r="E147" s="575">
        <v>0</v>
      </c>
      <c r="F147" s="575">
        <v>0</v>
      </c>
      <c r="G147" s="575">
        <v>0</v>
      </c>
      <c r="H147" s="575">
        <v>0</v>
      </c>
      <c r="I147" s="575">
        <v>0</v>
      </c>
      <c r="J147" s="575">
        <v>0</v>
      </c>
      <c r="K147" s="575">
        <v>0</v>
      </c>
      <c r="L147" s="575">
        <v>0</v>
      </c>
      <c r="M147" s="575">
        <v>0</v>
      </c>
      <c r="N147" s="575">
        <v>0</v>
      </c>
      <c r="O147" s="575">
        <v>0</v>
      </c>
    </row>
    <row r="148" spans="2:15">
      <c r="B148" s="569"/>
      <c r="C148" s="53" t="s">
        <v>15</v>
      </c>
      <c r="D148" s="575">
        <v>0</v>
      </c>
      <c r="E148" s="575">
        <v>0</v>
      </c>
      <c r="F148" s="575">
        <v>0</v>
      </c>
      <c r="G148" s="575">
        <v>0</v>
      </c>
      <c r="H148" s="575">
        <v>0</v>
      </c>
      <c r="I148" s="575">
        <v>0</v>
      </c>
      <c r="J148" s="575">
        <v>0</v>
      </c>
      <c r="K148" s="575">
        <v>0</v>
      </c>
      <c r="L148" s="575">
        <v>0</v>
      </c>
      <c r="M148" s="575">
        <v>0</v>
      </c>
      <c r="N148" s="575">
        <v>0</v>
      </c>
      <c r="O148" s="575">
        <v>0</v>
      </c>
    </row>
    <row r="149" spans="2:15">
      <c r="B149" s="569"/>
      <c r="C149" s="103" t="s">
        <v>16</v>
      </c>
      <c r="D149" s="575">
        <v>0</v>
      </c>
      <c r="E149" s="575">
        <v>0</v>
      </c>
      <c r="F149" s="575">
        <v>0</v>
      </c>
      <c r="G149" s="575">
        <v>0</v>
      </c>
      <c r="H149" s="575">
        <v>0</v>
      </c>
      <c r="I149" s="575">
        <v>0</v>
      </c>
      <c r="J149" s="575">
        <v>0</v>
      </c>
      <c r="K149" s="575">
        <v>0</v>
      </c>
      <c r="L149" s="575">
        <v>0</v>
      </c>
      <c r="M149" s="575">
        <v>0</v>
      </c>
      <c r="N149" s="575">
        <v>0</v>
      </c>
      <c r="O149" s="575">
        <v>0</v>
      </c>
    </row>
    <row r="150" spans="2:15">
      <c r="B150" s="569"/>
      <c r="C150" s="52" t="s">
        <v>293</v>
      </c>
      <c r="D150" s="575">
        <v>0</v>
      </c>
      <c r="E150" s="575">
        <v>0</v>
      </c>
      <c r="F150" s="575">
        <v>0</v>
      </c>
      <c r="G150" s="575">
        <v>0</v>
      </c>
      <c r="H150" s="575">
        <v>0</v>
      </c>
      <c r="I150" s="575">
        <v>0</v>
      </c>
      <c r="J150" s="575">
        <v>0</v>
      </c>
      <c r="K150" s="575">
        <v>0</v>
      </c>
      <c r="L150" s="575">
        <v>0</v>
      </c>
      <c r="M150" s="575">
        <v>0</v>
      </c>
      <c r="N150" s="575">
        <v>0</v>
      </c>
      <c r="O150" s="575">
        <v>0</v>
      </c>
    </row>
    <row r="151" spans="2:15">
      <c r="B151" s="569"/>
      <c r="C151" s="52" t="s">
        <v>294</v>
      </c>
      <c r="D151" s="575">
        <v>0</v>
      </c>
      <c r="E151" s="575">
        <v>0</v>
      </c>
      <c r="F151" s="575">
        <v>0</v>
      </c>
      <c r="G151" s="575">
        <v>0</v>
      </c>
      <c r="H151" s="575">
        <v>0</v>
      </c>
      <c r="I151" s="575">
        <v>0</v>
      </c>
      <c r="J151" s="575">
        <v>0</v>
      </c>
      <c r="K151" s="575">
        <v>0</v>
      </c>
      <c r="L151" s="575">
        <v>0</v>
      </c>
      <c r="M151" s="575">
        <v>0</v>
      </c>
      <c r="N151" s="575">
        <v>0</v>
      </c>
      <c r="O151" s="575">
        <v>0</v>
      </c>
    </row>
    <row r="152" spans="2:15">
      <c r="B152" s="569"/>
      <c r="C152" s="52" t="s">
        <v>295</v>
      </c>
      <c r="D152" s="575">
        <v>0</v>
      </c>
      <c r="E152" s="575">
        <v>0</v>
      </c>
      <c r="F152" s="575">
        <v>0</v>
      </c>
      <c r="G152" s="575">
        <v>0</v>
      </c>
      <c r="H152" s="575">
        <v>0</v>
      </c>
      <c r="I152" s="575">
        <v>0</v>
      </c>
      <c r="J152" s="575">
        <v>0</v>
      </c>
      <c r="K152" s="575">
        <v>0</v>
      </c>
      <c r="L152" s="575">
        <v>0</v>
      </c>
      <c r="M152" s="575">
        <v>0</v>
      </c>
      <c r="N152" s="575">
        <v>0</v>
      </c>
      <c r="O152" s="575">
        <v>0</v>
      </c>
    </row>
    <row r="153" spans="2:15">
      <c r="B153" s="569"/>
      <c r="C153" s="52" t="s">
        <v>405</v>
      </c>
      <c r="D153" s="575">
        <v>0</v>
      </c>
      <c r="E153" s="575">
        <v>0</v>
      </c>
      <c r="F153" s="575">
        <v>0</v>
      </c>
      <c r="G153" s="575">
        <v>0</v>
      </c>
      <c r="H153" s="575">
        <v>0</v>
      </c>
      <c r="I153" s="575">
        <v>0</v>
      </c>
      <c r="J153" s="575">
        <v>0</v>
      </c>
      <c r="K153" s="575">
        <v>0</v>
      </c>
      <c r="L153" s="575">
        <v>0</v>
      </c>
      <c r="M153" s="575">
        <v>0</v>
      </c>
      <c r="N153" s="575">
        <v>0</v>
      </c>
      <c r="O153" s="575">
        <v>0</v>
      </c>
    </row>
    <row r="154" spans="2:15">
      <c r="B154" s="569"/>
      <c r="C154" s="103" t="s">
        <v>105</v>
      </c>
      <c r="D154" s="575">
        <v>0</v>
      </c>
      <c r="E154" s="575">
        <v>0</v>
      </c>
      <c r="F154" s="575">
        <v>0</v>
      </c>
      <c r="G154" s="575">
        <v>0</v>
      </c>
      <c r="H154" s="575">
        <v>0</v>
      </c>
      <c r="I154" s="575">
        <v>0</v>
      </c>
      <c r="J154" s="575">
        <v>0</v>
      </c>
      <c r="K154" s="575">
        <v>0</v>
      </c>
      <c r="L154" s="575">
        <v>0</v>
      </c>
      <c r="M154" s="575">
        <v>0</v>
      </c>
      <c r="N154" s="575">
        <v>0</v>
      </c>
      <c r="O154" s="575">
        <v>0</v>
      </c>
    </row>
    <row r="155" spans="2:15">
      <c r="B155" s="569"/>
      <c r="C155" s="53" t="s">
        <v>34</v>
      </c>
      <c r="D155" s="575">
        <v>0</v>
      </c>
      <c r="E155" s="575">
        <v>0</v>
      </c>
      <c r="F155" s="575">
        <v>0</v>
      </c>
      <c r="G155" s="575">
        <v>0</v>
      </c>
      <c r="H155" s="575">
        <v>0</v>
      </c>
      <c r="I155" s="575">
        <v>0</v>
      </c>
      <c r="J155" s="575">
        <v>0</v>
      </c>
      <c r="K155" s="575">
        <v>0</v>
      </c>
      <c r="L155" s="575">
        <v>0</v>
      </c>
      <c r="M155" s="575">
        <v>0</v>
      </c>
      <c r="N155" s="575">
        <v>0</v>
      </c>
      <c r="O155" s="575">
        <v>0</v>
      </c>
    </row>
    <row r="156" spans="2:15">
      <c r="B156" s="569"/>
      <c r="C156" s="103" t="s">
        <v>396</v>
      </c>
      <c r="D156" s="575">
        <v>0</v>
      </c>
      <c r="E156" s="575">
        <v>0</v>
      </c>
      <c r="F156" s="575">
        <v>0</v>
      </c>
      <c r="G156" s="575">
        <v>0</v>
      </c>
      <c r="H156" s="575">
        <v>0</v>
      </c>
      <c r="I156" s="575">
        <v>0</v>
      </c>
      <c r="J156" s="575">
        <v>0</v>
      </c>
      <c r="K156" s="575">
        <v>0</v>
      </c>
      <c r="L156" s="575">
        <v>0</v>
      </c>
      <c r="M156" s="575">
        <v>0</v>
      </c>
      <c r="N156" s="575">
        <v>0</v>
      </c>
      <c r="O156" s="575">
        <v>0</v>
      </c>
    </row>
    <row r="157" spans="2:15">
      <c r="B157" s="569"/>
      <c r="C157" s="103" t="s">
        <v>296</v>
      </c>
      <c r="D157" s="575">
        <v>0</v>
      </c>
      <c r="E157" s="575">
        <v>0</v>
      </c>
      <c r="F157" s="575">
        <v>0</v>
      </c>
      <c r="G157" s="575">
        <v>0</v>
      </c>
      <c r="H157" s="575">
        <v>0</v>
      </c>
      <c r="I157" s="575">
        <v>0</v>
      </c>
      <c r="J157" s="575">
        <v>0</v>
      </c>
      <c r="K157" s="575">
        <v>0</v>
      </c>
      <c r="L157" s="575">
        <v>0</v>
      </c>
      <c r="M157" s="575">
        <v>0</v>
      </c>
      <c r="N157" s="575">
        <v>0</v>
      </c>
      <c r="O157" s="575">
        <v>0</v>
      </c>
    </row>
    <row r="158" spans="2:15">
      <c r="B158" s="569"/>
      <c r="C158" s="103" t="s">
        <v>397</v>
      </c>
      <c r="D158" s="575">
        <v>0</v>
      </c>
      <c r="E158" s="575">
        <v>0</v>
      </c>
      <c r="F158" s="575">
        <v>0</v>
      </c>
      <c r="G158" s="575">
        <v>0</v>
      </c>
      <c r="H158" s="575">
        <v>0</v>
      </c>
      <c r="I158" s="575">
        <v>0</v>
      </c>
      <c r="J158" s="575">
        <v>0</v>
      </c>
      <c r="K158" s="575">
        <v>0</v>
      </c>
      <c r="L158" s="575">
        <v>0</v>
      </c>
      <c r="M158" s="575">
        <v>0</v>
      </c>
      <c r="N158" s="575">
        <v>0</v>
      </c>
      <c r="O158" s="575">
        <v>0</v>
      </c>
    </row>
    <row r="159" spans="2:15">
      <c r="B159" s="569"/>
      <c r="C159" s="103" t="s">
        <v>298</v>
      </c>
      <c r="D159" s="575">
        <v>0</v>
      </c>
      <c r="E159" s="575">
        <v>0</v>
      </c>
      <c r="F159" s="575">
        <v>0</v>
      </c>
      <c r="G159" s="575">
        <v>0</v>
      </c>
      <c r="H159" s="575">
        <v>0</v>
      </c>
      <c r="I159" s="575">
        <v>0</v>
      </c>
      <c r="J159" s="575">
        <v>0</v>
      </c>
      <c r="K159" s="575">
        <v>0</v>
      </c>
      <c r="L159" s="575">
        <v>0</v>
      </c>
      <c r="M159" s="575">
        <v>0</v>
      </c>
      <c r="N159" s="575">
        <v>0</v>
      </c>
      <c r="O159" s="575">
        <v>0</v>
      </c>
    </row>
    <row r="160" spans="2:15">
      <c r="B160" s="569"/>
      <c r="C160" s="103" t="s">
        <v>297</v>
      </c>
      <c r="D160" s="575">
        <v>0</v>
      </c>
      <c r="E160" s="575">
        <v>0</v>
      </c>
      <c r="F160" s="575">
        <v>0</v>
      </c>
      <c r="G160" s="575">
        <v>0</v>
      </c>
      <c r="H160" s="575">
        <v>0</v>
      </c>
      <c r="I160" s="575">
        <v>0</v>
      </c>
      <c r="J160" s="575">
        <v>0</v>
      </c>
      <c r="K160" s="575">
        <v>0</v>
      </c>
      <c r="L160" s="575">
        <v>0</v>
      </c>
      <c r="M160" s="575">
        <v>0</v>
      </c>
      <c r="N160" s="575">
        <v>0</v>
      </c>
      <c r="O160" s="575">
        <v>0</v>
      </c>
    </row>
    <row r="161" spans="2:15">
      <c r="B161" s="569"/>
      <c r="C161" s="103" t="s">
        <v>398</v>
      </c>
      <c r="D161" s="575">
        <v>0</v>
      </c>
      <c r="E161" s="575">
        <v>0</v>
      </c>
      <c r="F161" s="575">
        <v>0</v>
      </c>
      <c r="G161" s="575">
        <v>0</v>
      </c>
      <c r="H161" s="575">
        <v>0</v>
      </c>
      <c r="I161" s="575">
        <v>0</v>
      </c>
      <c r="J161" s="575">
        <v>0</v>
      </c>
      <c r="K161" s="575">
        <v>0</v>
      </c>
      <c r="L161" s="575">
        <v>0</v>
      </c>
      <c r="M161" s="575">
        <v>0</v>
      </c>
      <c r="N161" s="575">
        <v>0</v>
      </c>
      <c r="O161" s="575">
        <v>0</v>
      </c>
    </row>
    <row r="162" spans="2:15">
      <c r="B162" s="569"/>
      <c r="C162" s="53" t="s">
        <v>26</v>
      </c>
      <c r="D162" s="575">
        <v>0</v>
      </c>
      <c r="E162" s="575">
        <v>0</v>
      </c>
      <c r="F162" s="575">
        <v>0</v>
      </c>
      <c r="G162" s="575">
        <v>0</v>
      </c>
      <c r="H162" s="575">
        <v>0</v>
      </c>
      <c r="I162" s="575">
        <v>0</v>
      </c>
      <c r="J162" s="575">
        <v>0</v>
      </c>
      <c r="K162" s="575">
        <v>0</v>
      </c>
      <c r="L162" s="575">
        <v>0</v>
      </c>
      <c r="M162" s="575">
        <v>0</v>
      </c>
      <c r="N162" s="575">
        <v>0</v>
      </c>
      <c r="O162" s="575">
        <v>0</v>
      </c>
    </row>
    <row r="163" spans="2:15">
      <c r="B163" s="569"/>
      <c r="C163" s="103" t="s">
        <v>299</v>
      </c>
      <c r="D163" s="575">
        <v>0</v>
      </c>
      <c r="E163" s="575">
        <v>0</v>
      </c>
      <c r="F163" s="575">
        <v>0</v>
      </c>
      <c r="G163" s="575">
        <v>0</v>
      </c>
      <c r="H163" s="575">
        <v>0</v>
      </c>
      <c r="I163" s="575">
        <v>0</v>
      </c>
      <c r="J163" s="575">
        <v>0</v>
      </c>
      <c r="K163" s="575">
        <v>0</v>
      </c>
      <c r="L163" s="575">
        <v>0</v>
      </c>
      <c r="M163" s="575">
        <v>0</v>
      </c>
      <c r="N163" s="575">
        <v>0</v>
      </c>
      <c r="O163" s="575">
        <v>0</v>
      </c>
    </row>
    <row r="164" spans="2:15">
      <c r="B164" s="569"/>
      <c r="C164" s="103" t="s">
        <v>301</v>
      </c>
      <c r="D164" s="575">
        <v>0</v>
      </c>
      <c r="E164" s="575">
        <v>0</v>
      </c>
      <c r="F164" s="575">
        <v>0</v>
      </c>
      <c r="G164" s="575">
        <v>0</v>
      </c>
      <c r="H164" s="575">
        <v>0</v>
      </c>
      <c r="I164" s="575">
        <v>0</v>
      </c>
      <c r="J164" s="575">
        <v>0</v>
      </c>
      <c r="K164" s="575">
        <v>0</v>
      </c>
      <c r="L164" s="575">
        <v>0</v>
      </c>
      <c r="M164" s="575">
        <v>0</v>
      </c>
      <c r="N164" s="575">
        <v>0</v>
      </c>
      <c r="O164" s="575">
        <v>0</v>
      </c>
    </row>
    <row r="165" spans="2:15">
      <c r="B165" s="569"/>
      <c r="C165" s="103" t="s">
        <v>303</v>
      </c>
      <c r="D165" s="575">
        <v>0</v>
      </c>
      <c r="E165" s="575">
        <v>0</v>
      </c>
      <c r="F165" s="575">
        <v>0</v>
      </c>
      <c r="G165" s="575">
        <v>0</v>
      </c>
      <c r="H165" s="575">
        <v>0</v>
      </c>
      <c r="I165" s="575">
        <v>0</v>
      </c>
      <c r="J165" s="575">
        <v>0</v>
      </c>
      <c r="K165" s="575">
        <v>0</v>
      </c>
      <c r="L165" s="575">
        <v>0</v>
      </c>
      <c r="M165" s="575">
        <v>0</v>
      </c>
      <c r="N165" s="575">
        <v>0</v>
      </c>
      <c r="O165" s="575">
        <v>0</v>
      </c>
    </row>
    <row r="166" spans="2:15">
      <c r="B166" s="569"/>
      <c r="C166" s="103" t="s">
        <v>302</v>
      </c>
      <c r="D166" s="575">
        <v>0</v>
      </c>
      <c r="E166" s="575">
        <v>0</v>
      </c>
      <c r="F166" s="575">
        <v>0</v>
      </c>
      <c r="G166" s="575">
        <v>0</v>
      </c>
      <c r="H166" s="575">
        <v>0</v>
      </c>
      <c r="I166" s="575">
        <v>0</v>
      </c>
      <c r="J166" s="575">
        <v>0</v>
      </c>
      <c r="K166" s="575">
        <v>0</v>
      </c>
      <c r="L166" s="575">
        <v>0</v>
      </c>
      <c r="M166" s="575">
        <v>0</v>
      </c>
      <c r="N166" s="575">
        <v>0</v>
      </c>
      <c r="O166" s="575">
        <v>0</v>
      </c>
    </row>
    <row r="167" spans="2:15">
      <c r="B167" s="569"/>
      <c r="C167" s="103" t="s">
        <v>403</v>
      </c>
      <c r="D167" s="575">
        <v>0</v>
      </c>
      <c r="E167" s="575">
        <v>0</v>
      </c>
      <c r="F167" s="575">
        <v>0</v>
      </c>
      <c r="G167" s="575">
        <v>0</v>
      </c>
      <c r="H167" s="575">
        <v>0</v>
      </c>
      <c r="I167" s="575">
        <v>0</v>
      </c>
      <c r="J167" s="575">
        <v>0</v>
      </c>
      <c r="K167" s="575">
        <v>0</v>
      </c>
      <c r="L167" s="575">
        <v>0</v>
      </c>
      <c r="M167" s="575">
        <v>0</v>
      </c>
      <c r="N167" s="575">
        <v>0</v>
      </c>
      <c r="O167" s="575">
        <v>0</v>
      </c>
    </row>
    <row r="168" spans="2:15">
      <c r="B168" s="569"/>
      <c r="C168" s="103" t="s">
        <v>394</v>
      </c>
      <c r="D168" s="575">
        <v>0</v>
      </c>
      <c r="E168" s="575">
        <v>0</v>
      </c>
      <c r="F168" s="575">
        <v>0</v>
      </c>
      <c r="G168" s="575">
        <v>0</v>
      </c>
      <c r="H168" s="575">
        <v>0</v>
      </c>
      <c r="I168" s="575">
        <v>0</v>
      </c>
      <c r="J168" s="575">
        <v>0</v>
      </c>
      <c r="K168" s="575">
        <v>0</v>
      </c>
      <c r="L168" s="575">
        <v>0</v>
      </c>
      <c r="M168" s="575">
        <v>0</v>
      </c>
      <c r="N168" s="575">
        <v>0</v>
      </c>
      <c r="O168" s="575">
        <v>0</v>
      </c>
    </row>
    <row r="169" spans="2:15">
      <c r="B169" s="569"/>
      <c r="C169" s="103" t="s">
        <v>300</v>
      </c>
      <c r="D169" s="575">
        <v>0</v>
      </c>
      <c r="E169" s="575">
        <v>0</v>
      </c>
      <c r="F169" s="575">
        <v>0</v>
      </c>
      <c r="G169" s="575">
        <v>0</v>
      </c>
      <c r="H169" s="575">
        <v>0</v>
      </c>
      <c r="I169" s="575">
        <v>0</v>
      </c>
      <c r="J169" s="575">
        <v>0</v>
      </c>
      <c r="K169" s="575">
        <v>0</v>
      </c>
      <c r="L169" s="575">
        <v>0</v>
      </c>
      <c r="M169" s="575">
        <v>0</v>
      </c>
      <c r="N169" s="575">
        <v>0</v>
      </c>
      <c r="O169" s="575">
        <v>0</v>
      </c>
    </row>
    <row r="170" spans="2:15">
      <c r="B170" s="569"/>
      <c r="C170" s="103" t="s">
        <v>395</v>
      </c>
      <c r="D170" s="575">
        <v>0</v>
      </c>
      <c r="E170" s="575">
        <v>0</v>
      </c>
      <c r="F170" s="575">
        <v>0</v>
      </c>
      <c r="G170" s="575">
        <v>0</v>
      </c>
      <c r="H170" s="575">
        <v>0</v>
      </c>
      <c r="I170" s="575">
        <v>0</v>
      </c>
      <c r="J170" s="575">
        <v>0</v>
      </c>
      <c r="K170" s="575">
        <v>0</v>
      </c>
      <c r="L170" s="575">
        <v>0</v>
      </c>
      <c r="M170" s="575">
        <v>0</v>
      </c>
      <c r="N170" s="575">
        <v>0</v>
      </c>
      <c r="O170" s="575">
        <v>0</v>
      </c>
    </row>
    <row r="171" spans="2:15">
      <c r="B171" s="569"/>
      <c r="C171" s="53" t="s">
        <v>90</v>
      </c>
      <c r="D171" s="575">
        <v>0</v>
      </c>
      <c r="E171" s="575">
        <v>0</v>
      </c>
      <c r="F171" s="575">
        <v>0</v>
      </c>
      <c r="G171" s="575">
        <v>0</v>
      </c>
      <c r="H171" s="575">
        <v>0</v>
      </c>
      <c r="I171" s="575">
        <v>0</v>
      </c>
      <c r="J171" s="575">
        <v>0</v>
      </c>
      <c r="K171" s="575">
        <v>0</v>
      </c>
      <c r="L171" s="575">
        <v>0</v>
      </c>
      <c r="M171" s="575">
        <v>0</v>
      </c>
      <c r="N171" s="575">
        <v>0</v>
      </c>
      <c r="O171" s="575">
        <v>0</v>
      </c>
    </row>
    <row r="172" spans="2:15">
      <c r="B172" s="570"/>
      <c r="C172" s="53" t="s">
        <v>304</v>
      </c>
      <c r="D172" s="575">
        <v>0</v>
      </c>
      <c r="E172" s="575">
        <v>0</v>
      </c>
      <c r="F172" s="575">
        <v>0</v>
      </c>
      <c r="G172" s="575">
        <v>0</v>
      </c>
      <c r="H172" s="575">
        <v>0</v>
      </c>
      <c r="I172" s="575">
        <v>0</v>
      </c>
      <c r="J172" s="575">
        <v>0</v>
      </c>
      <c r="K172" s="575">
        <v>0</v>
      </c>
      <c r="L172" s="575">
        <v>0</v>
      </c>
      <c r="M172" s="575">
        <v>0</v>
      </c>
      <c r="N172" s="575">
        <v>0</v>
      </c>
      <c r="O172" s="575">
        <v>0</v>
      </c>
    </row>
  </sheetData>
  <mergeCells count="15">
    <mergeCell ref="B43:B68"/>
    <mergeCell ref="B69:B94"/>
    <mergeCell ref="B95:B120"/>
    <mergeCell ref="B121:B146"/>
    <mergeCell ref="B147:B172"/>
    <mergeCell ref="J13:O13"/>
    <mergeCell ref="J14:O14"/>
    <mergeCell ref="J15:L15"/>
    <mergeCell ref="M15:O15"/>
    <mergeCell ref="B17:B42"/>
    <mergeCell ref="D13:I13"/>
    <mergeCell ref="D14:I14"/>
    <mergeCell ref="D15:F15"/>
    <mergeCell ref="G15:I15"/>
    <mergeCell ref="B13:C16"/>
  </mergeCells>
  <pageMargins left="0.7" right="0.7" top="0.75" bottom="0.75" header="0.3" footer="0.3"/>
  <pageSetup paperSize="9" orientation="portrait" horizontalDpi="4294967293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LabelRowStart" r:id="rId14"/>
    <customPr name="COR_LastRequestFormat" r:id="rId15"/>
    <customPr name="COR_PackageSearchPath" r:id="rId16"/>
    <customPr name="COR_Report" r:id="rId17"/>
    <customPr name="COR_RequestFormat" r:id="rId18"/>
    <customPr name="COR_ResultSet" r:id="rId19"/>
    <customPr name="COR_Server" r:id="rId20"/>
    <customPr name="COR_SHEET_TYPE" r:id="rId21"/>
    <customPr name="COR_STATE" r:id="rId22"/>
  </customPropertie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98EF0-49CF-4BD3-A60C-CA0D59237140}">
  <sheetPr codeName="Sheet50">
    <tabColor rgb="FF808080"/>
  </sheetPr>
  <dimension ref="B3:BD158"/>
  <sheetViews>
    <sheetView workbookViewId="0">
      <selection activeCell="E17" sqref="E17:BD20"/>
    </sheetView>
  </sheetViews>
  <sheetFormatPr defaultColWidth="8.6640625" defaultRowHeight="14.4"/>
  <cols>
    <col min="1" max="1" width="2.77734375" style="100" customWidth="1"/>
    <col min="2" max="2" width="11.21875" style="100" customWidth="1"/>
    <col min="3" max="3" width="19.33203125" style="100" bestFit="1" customWidth="1"/>
    <col min="4" max="4" width="4.88671875" style="100" bestFit="1" customWidth="1"/>
    <col min="5" max="5" width="15.44140625" style="100" bestFit="1" customWidth="1"/>
    <col min="6" max="6" width="19.33203125" style="100" bestFit="1" customWidth="1"/>
    <col min="7" max="7" width="15.44140625" style="100" bestFit="1" customWidth="1"/>
    <col min="8" max="8" width="19.33203125" style="100" bestFit="1" customWidth="1"/>
    <col min="9" max="9" width="15.44140625" style="100" bestFit="1" customWidth="1"/>
    <col min="10" max="10" width="19.33203125" style="100" bestFit="1" customWidth="1"/>
    <col min="11" max="11" width="15.44140625" style="100" bestFit="1" customWidth="1"/>
    <col min="12" max="12" width="19.33203125" style="100" bestFit="1" customWidth="1"/>
    <col min="13" max="13" width="15.44140625" style="100" bestFit="1" customWidth="1"/>
    <col min="14" max="14" width="19.33203125" style="100" bestFit="1" customWidth="1"/>
    <col min="15" max="15" width="15.44140625" style="100" bestFit="1" customWidth="1"/>
    <col min="16" max="16" width="19.33203125" style="100" bestFit="1" customWidth="1"/>
    <col min="17" max="17" width="15.44140625" style="100" bestFit="1" customWidth="1"/>
    <col min="18" max="18" width="19.33203125" style="100" bestFit="1" customWidth="1"/>
    <col min="19" max="19" width="15.44140625" style="100" bestFit="1" customWidth="1"/>
    <col min="20" max="20" width="19.33203125" style="100" bestFit="1" customWidth="1"/>
    <col min="21" max="21" width="15.44140625" style="100" bestFit="1" customWidth="1"/>
    <col min="22" max="22" width="19.33203125" style="100" bestFit="1" customWidth="1"/>
    <col min="23" max="23" width="15.44140625" style="100" bestFit="1" customWidth="1"/>
    <col min="24" max="24" width="19.33203125" style="100" bestFit="1" customWidth="1"/>
    <col min="25" max="25" width="15.44140625" style="100" bestFit="1" customWidth="1"/>
    <col min="26" max="26" width="19.33203125" style="100" bestFit="1" customWidth="1"/>
    <col min="27" max="27" width="15.44140625" style="100" bestFit="1" customWidth="1"/>
    <col min="28" max="28" width="19.33203125" style="100" bestFit="1" customWidth="1"/>
    <col min="29" max="29" width="15.44140625" style="100" bestFit="1" customWidth="1"/>
    <col min="30" max="30" width="19.33203125" style="100" bestFit="1" customWidth="1"/>
    <col min="31" max="31" width="15.44140625" style="100" bestFit="1" customWidth="1"/>
    <col min="32" max="32" width="19.33203125" style="100" bestFit="1" customWidth="1"/>
    <col min="33" max="33" width="15.44140625" style="100" bestFit="1" customWidth="1"/>
    <col min="34" max="34" width="19.33203125" style="100" bestFit="1" customWidth="1"/>
    <col min="35" max="35" width="15.44140625" style="100" bestFit="1" customWidth="1"/>
    <col min="36" max="36" width="19.33203125" style="100" bestFit="1" customWidth="1"/>
    <col min="37" max="37" width="15.44140625" style="100" bestFit="1" customWidth="1"/>
    <col min="38" max="38" width="19.33203125" style="100" bestFit="1" customWidth="1"/>
    <col min="39" max="39" width="15.44140625" style="100" bestFit="1" customWidth="1"/>
    <col min="40" max="40" width="19.33203125" style="100" bestFit="1" customWidth="1"/>
    <col min="41" max="41" width="15.44140625" style="100" bestFit="1" customWidth="1"/>
    <col min="42" max="42" width="19.33203125" style="100" bestFit="1" customWidth="1"/>
    <col min="43" max="43" width="15.44140625" style="100" bestFit="1" customWidth="1"/>
    <col min="44" max="44" width="19.33203125" style="100" bestFit="1" customWidth="1"/>
    <col min="45" max="45" width="15.44140625" style="100" bestFit="1" customWidth="1"/>
    <col min="46" max="46" width="19.33203125" style="100" bestFit="1" customWidth="1"/>
    <col min="47" max="47" width="15.44140625" style="100" bestFit="1" customWidth="1"/>
    <col min="48" max="48" width="19.33203125" style="100" bestFit="1" customWidth="1"/>
    <col min="49" max="49" width="15.44140625" style="100" bestFit="1" customWidth="1"/>
    <col min="50" max="50" width="19.33203125" style="100" bestFit="1" customWidth="1"/>
    <col min="51" max="51" width="15.44140625" style="100" bestFit="1" customWidth="1"/>
    <col min="52" max="52" width="19.33203125" style="100" bestFit="1" customWidth="1"/>
    <col min="53" max="53" width="15.44140625" style="100" bestFit="1" customWidth="1"/>
    <col min="54" max="54" width="19.33203125" style="100" bestFit="1" customWidth="1"/>
    <col min="55" max="55" width="15.44140625" style="100" bestFit="1" customWidth="1"/>
    <col min="56" max="56" width="19.33203125" style="100" bestFit="1" customWidth="1"/>
    <col min="57" max="16384" width="8.6640625" style="100"/>
  </cols>
  <sheetData>
    <row r="3" spans="2:56" ht="15" hidden="1" customHeight="1">
      <c r="B3" s="389" t="s">
        <v>375</v>
      </c>
      <c r="C3" s="387" t="s">
        <v>363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2:56" ht="15" hidden="1" customHeight="1">
      <c r="B4" s="389" t="s">
        <v>376</v>
      </c>
      <c r="C4" s="387" t="s">
        <v>137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2:56" ht="15" hidden="1" customHeight="1">
      <c r="B5" s="389" t="s">
        <v>377</v>
      </c>
      <c r="C5" s="388" t="s">
        <v>365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2:56" ht="15" hidden="1" customHeight="1">
      <c r="B6" s="389" t="s">
        <v>378</v>
      </c>
      <c r="C6" s="388" t="s">
        <v>1174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2:56" ht="15" hidden="1" customHeight="1">
      <c r="B7" s="389" t="s">
        <v>379</v>
      </c>
      <c r="C7" s="387" t="s">
        <v>420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2:56" ht="15" hidden="1" customHeight="1">
      <c r="B8" s="389" t="s">
        <v>381</v>
      </c>
      <c r="C8" s="387" t="s">
        <v>385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2:56" ht="15" hidden="1" customHeight="1">
      <c r="B9" s="389" t="s">
        <v>382</v>
      </c>
      <c r="C9" s="387" t="s">
        <v>204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2:56" ht="15" hidden="1" customHeight="1">
      <c r="B10" s="389" t="s">
        <v>383</v>
      </c>
      <c r="C10" s="387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2:56" ht="15" hidden="1" customHeight="1">
      <c r="B11" s="389" t="s">
        <v>384</v>
      </c>
      <c r="C11" s="387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2:56" ht="15" hidden="1" customHeight="1"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2:56">
      <c r="B13" s="586"/>
      <c r="C13" s="587"/>
      <c r="D13" s="588"/>
      <c r="E13" s="51" t="s">
        <v>488</v>
      </c>
      <c r="F13" s="51" t="s">
        <v>489</v>
      </c>
      <c r="G13" s="51" t="s">
        <v>488</v>
      </c>
      <c r="H13" s="51" t="s">
        <v>489</v>
      </c>
      <c r="I13" s="51" t="s">
        <v>488</v>
      </c>
      <c r="J13" s="51" t="s">
        <v>489</v>
      </c>
      <c r="K13" s="51" t="s">
        <v>488</v>
      </c>
      <c r="L13" s="51" t="s">
        <v>489</v>
      </c>
      <c r="M13" s="51" t="s">
        <v>488</v>
      </c>
      <c r="N13" s="51" t="s">
        <v>489</v>
      </c>
      <c r="O13" s="51" t="s">
        <v>488</v>
      </c>
      <c r="P13" s="51" t="s">
        <v>489</v>
      </c>
      <c r="Q13" s="51" t="s">
        <v>488</v>
      </c>
      <c r="R13" s="51" t="s">
        <v>489</v>
      </c>
      <c r="S13" s="51" t="s">
        <v>488</v>
      </c>
      <c r="T13" s="51" t="s">
        <v>489</v>
      </c>
      <c r="U13" s="51" t="s">
        <v>488</v>
      </c>
      <c r="V13" s="51" t="s">
        <v>489</v>
      </c>
      <c r="W13" s="51" t="s">
        <v>488</v>
      </c>
      <c r="X13" s="51" t="s">
        <v>489</v>
      </c>
      <c r="Y13" s="51" t="s">
        <v>488</v>
      </c>
      <c r="Z13" s="51" t="s">
        <v>489</v>
      </c>
      <c r="AA13" s="51" t="s">
        <v>488</v>
      </c>
      <c r="AB13" s="51" t="s">
        <v>489</v>
      </c>
      <c r="AC13" s="51" t="s">
        <v>488</v>
      </c>
      <c r="AD13" s="51" t="s">
        <v>489</v>
      </c>
      <c r="AE13" s="51" t="s">
        <v>488</v>
      </c>
      <c r="AF13" s="51" t="s">
        <v>489</v>
      </c>
      <c r="AG13" s="51" t="s">
        <v>488</v>
      </c>
      <c r="AH13" s="51" t="s">
        <v>489</v>
      </c>
      <c r="AI13" s="51" t="s">
        <v>488</v>
      </c>
      <c r="AJ13" s="51" t="s">
        <v>489</v>
      </c>
      <c r="AK13" s="51" t="s">
        <v>488</v>
      </c>
      <c r="AL13" s="51" t="s">
        <v>489</v>
      </c>
      <c r="AM13" s="51" t="s">
        <v>488</v>
      </c>
      <c r="AN13" s="51" t="s">
        <v>489</v>
      </c>
      <c r="AO13" s="51" t="s">
        <v>488</v>
      </c>
      <c r="AP13" s="51" t="s">
        <v>489</v>
      </c>
      <c r="AQ13" s="51" t="s">
        <v>488</v>
      </c>
      <c r="AR13" s="51" t="s">
        <v>489</v>
      </c>
      <c r="AS13" s="51" t="s">
        <v>488</v>
      </c>
      <c r="AT13" s="51" t="s">
        <v>489</v>
      </c>
      <c r="AU13" s="51" t="s">
        <v>488</v>
      </c>
      <c r="AV13" s="51" t="s">
        <v>489</v>
      </c>
      <c r="AW13" s="51" t="s">
        <v>488</v>
      </c>
      <c r="AX13" s="51" t="s">
        <v>489</v>
      </c>
      <c r="AY13" s="51" t="s">
        <v>488</v>
      </c>
      <c r="AZ13" s="51" t="s">
        <v>489</v>
      </c>
      <c r="BA13" s="51" t="s">
        <v>488</v>
      </c>
      <c r="BB13" s="51" t="s">
        <v>489</v>
      </c>
      <c r="BC13" s="51" t="s">
        <v>488</v>
      </c>
      <c r="BD13" s="51" t="s">
        <v>489</v>
      </c>
    </row>
    <row r="14" spans="2:56">
      <c r="B14" s="589"/>
      <c r="C14" s="590"/>
      <c r="D14" s="591"/>
      <c r="E14" s="51" t="s">
        <v>490</v>
      </c>
      <c r="F14" s="51" t="s">
        <v>490</v>
      </c>
      <c r="G14" s="51" t="s">
        <v>491</v>
      </c>
      <c r="H14" s="51" t="s">
        <v>491</v>
      </c>
      <c r="I14" s="51" t="s">
        <v>490</v>
      </c>
      <c r="J14" s="51" t="s">
        <v>490</v>
      </c>
      <c r="K14" s="51" t="s">
        <v>491</v>
      </c>
      <c r="L14" s="51" t="s">
        <v>491</v>
      </c>
      <c r="M14" s="51" t="s">
        <v>490</v>
      </c>
      <c r="N14" s="51" t="s">
        <v>490</v>
      </c>
      <c r="O14" s="51" t="s">
        <v>491</v>
      </c>
      <c r="P14" s="51" t="s">
        <v>491</v>
      </c>
      <c r="Q14" s="51" t="s">
        <v>490</v>
      </c>
      <c r="R14" s="51" t="s">
        <v>490</v>
      </c>
      <c r="S14" s="51" t="s">
        <v>491</v>
      </c>
      <c r="T14" s="51" t="s">
        <v>491</v>
      </c>
      <c r="U14" s="51" t="s">
        <v>490</v>
      </c>
      <c r="V14" s="51" t="s">
        <v>490</v>
      </c>
      <c r="W14" s="51" t="s">
        <v>491</v>
      </c>
      <c r="X14" s="51" t="s">
        <v>491</v>
      </c>
      <c r="Y14" s="51" t="s">
        <v>490</v>
      </c>
      <c r="Z14" s="51" t="s">
        <v>490</v>
      </c>
      <c r="AA14" s="51" t="s">
        <v>491</v>
      </c>
      <c r="AB14" s="51" t="s">
        <v>491</v>
      </c>
      <c r="AC14" s="51" t="s">
        <v>490</v>
      </c>
      <c r="AD14" s="51" t="s">
        <v>490</v>
      </c>
      <c r="AE14" s="51" t="s">
        <v>491</v>
      </c>
      <c r="AF14" s="51" t="s">
        <v>491</v>
      </c>
      <c r="AG14" s="51" t="s">
        <v>490</v>
      </c>
      <c r="AH14" s="51" t="s">
        <v>490</v>
      </c>
      <c r="AI14" s="51" t="s">
        <v>491</v>
      </c>
      <c r="AJ14" s="51" t="s">
        <v>491</v>
      </c>
      <c r="AK14" s="51" t="s">
        <v>490</v>
      </c>
      <c r="AL14" s="51" t="s">
        <v>490</v>
      </c>
      <c r="AM14" s="51" t="s">
        <v>491</v>
      </c>
      <c r="AN14" s="51" t="s">
        <v>491</v>
      </c>
      <c r="AO14" s="51" t="s">
        <v>490</v>
      </c>
      <c r="AP14" s="51" t="s">
        <v>490</v>
      </c>
      <c r="AQ14" s="51" t="s">
        <v>491</v>
      </c>
      <c r="AR14" s="51" t="s">
        <v>491</v>
      </c>
      <c r="AS14" s="51" t="s">
        <v>490</v>
      </c>
      <c r="AT14" s="51" t="s">
        <v>490</v>
      </c>
      <c r="AU14" s="51" t="s">
        <v>491</v>
      </c>
      <c r="AV14" s="51" t="s">
        <v>491</v>
      </c>
      <c r="AW14" s="51" t="s">
        <v>490</v>
      </c>
      <c r="AX14" s="51" t="s">
        <v>490</v>
      </c>
      <c r="AY14" s="51" t="s">
        <v>491</v>
      </c>
      <c r="AZ14" s="51" t="s">
        <v>491</v>
      </c>
      <c r="BA14" s="51" t="s">
        <v>490</v>
      </c>
      <c r="BB14" s="51" t="s">
        <v>490</v>
      </c>
      <c r="BC14" s="51" t="s">
        <v>491</v>
      </c>
      <c r="BD14" s="51" t="s">
        <v>491</v>
      </c>
    </row>
    <row r="15" spans="2:56">
      <c r="B15" s="589"/>
      <c r="C15" s="590"/>
      <c r="D15" s="591"/>
      <c r="E15" s="51" t="s">
        <v>492</v>
      </c>
      <c r="F15" s="51" t="s">
        <v>492</v>
      </c>
      <c r="G15" s="51" t="s">
        <v>492</v>
      </c>
      <c r="H15" s="51" t="s">
        <v>492</v>
      </c>
      <c r="I15" s="51" t="s">
        <v>492</v>
      </c>
      <c r="J15" s="51" t="s">
        <v>492</v>
      </c>
      <c r="K15" s="51" t="s">
        <v>492</v>
      </c>
      <c r="L15" s="51" t="s">
        <v>492</v>
      </c>
      <c r="M15" s="51" t="s">
        <v>492</v>
      </c>
      <c r="N15" s="51" t="s">
        <v>492</v>
      </c>
      <c r="O15" s="51" t="s">
        <v>492</v>
      </c>
      <c r="P15" s="51" t="s">
        <v>492</v>
      </c>
      <c r="Q15" s="51" t="s">
        <v>492</v>
      </c>
      <c r="R15" s="51" t="s">
        <v>492</v>
      </c>
      <c r="S15" s="51" t="s">
        <v>492</v>
      </c>
      <c r="T15" s="51" t="s">
        <v>492</v>
      </c>
      <c r="U15" s="51" t="s">
        <v>492</v>
      </c>
      <c r="V15" s="51" t="s">
        <v>492</v>
      </c>
      <c r="W15" s="51" t="s">
        <v>492</v>
      </c>
      <c r="X15" s="51" t="s">
        <v>492</v>
      </c>
      <c r="Y15" s="51" t="s">
        <v>492</v>
      </c>
      <c r="Z15" s="51" t="s">
        <v>492</v>
      </c>
      <c r="AA15" s="51" t="s">
        <v>492</v>
      </c>
      <c r="AB15" s="51" t="s">
        <v>492</v>
      </c>
      <c r="AC15" s="51" t="s">
        <v>492</v>
      </c>
      <c r="AD15" s="51" t="s">
        <v>492</v>
      </c>
      <c r="AE15" s="51" t="s">
        <v>492</v>
      </c>
      <c r="AF15" s="51" t="s">
        <v>492</v>
      </c>
      <c r="AG15" s="51" t="s">
        <v>492</v>
      </c>
      <c r="AH15" s="51" t="s">
        <v>492</v>
      </c>
      <c r="AI15" s="51" t="s">
        <v>492</v>
      </c>
      <c r="AJ15" s="51" t="s">
        <v>492</v>
      </c>
      <c r="AK15" s="51" t="s">
        <v>492</v>
      </c>
      <c r="AL15" s="51" t="s">
        <v>492</v>
      </c>
      <c r="AM15" s="51" t="s">
        <v>492</v>
      </c>
      <c r="AN15" s="51" t="s">
        <v>492</v>
      </c>
      <c r="AO15" s="51" t="s">
        <v>492</v>
      </c>
      <c r="AP15" s="51" t="s">
        <v>492</v>
      </c>
      <c r="AQ15" s="51" t="s">
        <v>492</v>
      </c>
      <c r="AR15" s="51" t="s">
        <v>492</v>
      </c>
      <c r="AS15" s="51" t="s">
        <v>492</v>
      </c>
      <c r="AT15" s="51" t="s">
        <v>492</v>
      </c>
      <c r="AU15" s="51" t="s">
        <v>492</v>
      </c>
      <c r="AV15" s="51" t="s">
        <v>492</v>
      </c>
      <c r="AW15" s="51" t="s">
        <v>492</v>
      </c>
      <c r="AX15" s="51" t="s">
        <v>492</v>
      </c>
      <c r="AY15" s="51" t="s">
        <v>492</v>
      </c>
      <c r="AZ15" s="51" t="s">
        <v>492</v>
      </c>
      <c r="BA15" s="51" t="s">
        <v>492</v>
      </c>
      <c r="BB15" s="51" t="s">
        <v>492</v>
      </c>
      <c r="BC15" s="51" t="s">
        <v>492</v>
      </c>
      <c r="BD15" s="51" t="s">
        <v>492</v>
      </c>
    </row>
    <row r="16" spans="2:56">
      <c r="B16" s="592"/>
      <c r="C16" s="593"/>
      <c r="D16" s="594"/>
      <c r="E16" s="51" t="s">
        <v>493</v>
      </c>
      <c r="F16" s="51" t="s">
        <v>493</v>
      </c>
      <c r="G16" s="51" t="s">
        <v>493</v>
      </c>
      <c r="H16" s="51" t="s">
        <v>493</v>
      </c>
      <c r="I16" s="51" t="s">
        <v>494</v>
      </c>
      <c r="J16" s="51" t="s">
        <v>494</v>
      </c>
      <c r="K16" s="51" t="s">
        <v>494</v>
      </c>
      <c r="L16" s="51" t="s">
        <v>494</v>
      </c>
      <c r="M16" s="51" t="s">
        <v>495</v>
      </c>
      <c r="N16" s="51" t="s">
        <v>495</v>
      </c>
      <c r="O16" s="51" t="s">
        <v>495</v>
      </c>
      <c r="P16" s="51" t="s">
        <v>495</v>
      </c>
      <c r="Q16" s="51" t="s">
        <v>496</v>
      </c>
      <c r="R16" s="51" t="s">
        <v>496</v>
      </c>
      <c r="S16" s="51" t="s">
        <v>496</v>
      </c>
      <c r="T16" s="51" t="s">
        <v>496</v>
      </c>
      <c r="U16" s="51" t="s">
        <v>497</v>
      </c>
      <c r="V16" s="51" t="s">
        <v>497</v>
      </c>
      <c r="W16" s="51" t="s">
        <v>497</v>
      </c>
      <c r="X16" s="51" t="s">
        <v>497</v>
      </c>
      <c r="Y16" s="51" t="s">
        <v>498</v>
      </c>
      <c r="Z16" s="51" t="s">
        <v>498</v>
      </c>
      <c r="AA16" s="51" t="s">
        <v>498</v>
      </c>
      <c r="AB16" s="51" t="s">
        <v>498</v>
      </c>
      <c r="AC16" s="51" t="s">
        <v>499</v>
      </c>
      <c r="AD16" s="51" t="s">
        <v>499</v>
      </c>
      <c r="AE16" s="51" t="s">
        <v>499</v>
      </c>
      <c r="AF16" s="51" t="s">
        <v>499</v>
      </c>
      <c r="AG16" s="51" t="s">
        <v>500</v>
      </c>
      <c r="AH16" s="51" t="s">
        <v>500</v>
      </c>
      <c r="AI16" s="51" t="s">
        <v>500</v>
      </c>
      <c r="AJ16" s="51" t="s">
        <v>500</v>
      </c>
      <c r="AK16" s="51" t="s">
        <v>501</v>
      </c>
      <c r="AL16" s="51" t="s">
        <v>501</v>
      </c>
      <c r="AM16" s="51" t="s">
        <v>501</v>
      </c>
      <c r="AN16" s="51" t="s">
        <v>501</v>
      </c>
      <c r="AO16" s="51" t="s">
        <v>502</v>
      </c>
      <c r="AP16" s="51" t="s">
        <v>502</v>
      </c>
      <c r="AQ16" s="51" t="s">
        <v>502</v>
      </c>
      <c r="AR16" s="51" t="s">
        <v>502</v>
      </c>
      <c r="AS16" s="51" t="s">
        <v>503</v>
      </c>
      <c r="AT16" s="51" t="s">
        <v>503</v>
      </c>
      <c r="AU16" s="51" t="s">
        <v>503</v>
      </c>
      <c r="AV16" s="51" t="s">
        <v>503</v>
      </c>
      <c r="AW16" s="51" t="s">
        <v>504</v>
      </c>
      <c r="AX16" s="51" t="s">
        <v>504</v>
      </c>
      <c r="AY16" s="51" t="s">
        <v>504</v>
      </c>
      <c r="AZ16" s="51" t="s">
        <v>504</v>
      </c>
      <c r="BA16" s="51" t="s">
        <v>505</v>
      </c>
      <c r="BB16" s="51" t="s">
        <v>505</v>
      </c>
      <c r="BC16" s="51" t="s">
        <v>505</v>
      </c>
      <c r="BD16" s="51" t="s">
        <v>505</v>
      </c>
    </row>
    <row r="17" spans="2:56">
      <c r="B17" s="585" t="s">
        <v>506</v>
      </c>
      <c r="C17" s="585" t="s">
        <v>507</v>
      </c>
      <c r="D17" s="585" t="s">
        <v>492</v>
      </c>
      <c r="E17" s="584"/>
      <c r="F17" s="584"/>
      <c r="G17" s="584"/>
      <c r="H17" s="584"/>
      <c r="I17" s="584"/>
      <c r="J17" s="584"/>
      <c r="K17" s="584"/>
      <c r="L17" s="584"/>
      <c r="M17" s="584"/>
      <c r="N17" s="584"/>
      <c r="O17" s="584"/>
      <c r="P17" s="584"/>
      <c r="Q17" s="584"/>
      <c r="R17" s="584"/>
      <c r="S17" s="584"/>
      <c r="T17" s="584"/>
      <c r="U17" s="584"/>
      <c r="V17" s="584"/>
      <c r="W17" s="584"/>
      <c r="X17" s="584"/>
      <c r="Y17" s="584"/>
      <c r="Z17" s="584"/>
      <c r="AA17" s="584"/>
      <c r="AB17" s="584"/>
      <c r="AC17" s="584"/>
      <c r="AD17" s="584"/>
      <c r="AE17" s="584"/>
      <c r="AF17" s="584"/>
      <c r="AG17" s="584"/>
      <c r="AH17" s="584"/>
      <c r="AI17" s="584"/>
      <c r="AJ17" s="584"/>
      <c r="AK17" s="584"/>
      <c r="AL17" s="584"/>
      <c r="AM17" s="584"/>
      <c r="AN17" s="584"/>
      <c r="AO17" s="584"/>
      <c r="AP17" s="584"/>
      <c r="AQ17" s="584"/>
      <c r="AR17" s="584"/>
      <c r="AS17" s="584"/>
      <c r="AT17" s="584"/>
      <c r="AU17" s="584"/>
      <c r="AV17" s="584"/>
      <c r="AW17" s="584"/>
      <c r="AX17" s="584"/>
      <c r="AY17" s="584"/>
      <c r="AZ17" s="584"/>
      <c r="BA17" s="584"/>
      <c r="BB17" s="584"/>
      <c r="BC17" s="584"/>
      <c r="BD17" s="584"/>
    </row>
    <row r="18" spans="2:56">
      <c r="B18" s="585" t="s">
        <v>508</v>
      </c>
      <c r="C18" s="585" t="s">
        <v>507</v>
      </c>
      <c r="D18" s="585" t="s">
        <v>492</v>
      </c>
      <c r="E18" s="584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584"/>
      <c r="Q18" s="584"/>
      <c r="R18" s="584"/>
      <c r="S18" s="584"/>
      <c r="T18" s="584"/>
      <c r="U18" s="584"/>
      <c r="V18" s="584"/>
      <c r="W18" s="584"/>
      <c r="X18" s="584"/>
      <c r="Y18" s="584"/>
      <c r="Z18" s="584"/>
      <c r="AA18" s="584"/>
      <c r="AB18" s="584"/>
      <c r="AC18" s="584"/>
      <c r="AD18" s="584"/>
      <c r="AE18" s="584"/>
      <c r="AF18" s="584"/>
      <c r="AG18" s="584"/>
      <c r="AH18" s="584"/>
      <c r="AI18" s="584"/>
      <c r="AJ18" s="584"/>
      <c r="AK18" s="584"/>
      <c r="AL18" s="584"/>
      <c r="AM18" s="584"/>
      <c r="AN18" s="584"/>
      <c r="AO18" s="584"/>
      <c r="AP18" s="584"/>
      <c r="AQ18" s="584"/>
      <c r="AR18" s="584"/>
      <c r="AS18" s="584"/>
      <c r="AT18" s="584"/>
      <c r="AU18" s="584"/>
      <c r="AV18" s="584"/>
      <c r="AW18" s="584"/>
      <c r="AX18" s="584"/>
      <c r="AY18" s="584"/>
      <c r="AZ18" s="584"/>
      <c r="BA18" s="584"/>
      <c r="BB18" s="584"/>
      <c r="BC18" s="584"/>
      <c r="BD18" s="584"/>
    </row>
    <row r="19" spans="2:56">
      <c r="B19" s="585" t="s">
        <v>509</v>
      </c>
      <c r="C19" s="585" t="s">
        <v>507</v>
      </c>
      <c r="D19" s="585" t="s">
        <v>492</v>
      </c>
      <c r="E19" s="584"/>
      <c r="F19" s="584"/>
      <c r="G19" s="584"/>
      <c r="H19" s="584"/>
      <c r="I19" s="584"/>
      <c r="J19" s="584"/>
      <c r="K19" s="584"/>
      <c r="L19" s="584"/>
      <c r="M19" s="584"/>
      <c r="N19" s="584"/>
      <c r="O19" s="584"/>
      <c r="P19" s="584"/>
      <c r="Q19" s="584"/>
      <c r="R19" s="584"/>
      <c r="S19" s="584"/>
      <c r="T19" s="584"/>
      <c r="U19" s="584"/>
      <c r="V19" s="584"/>
      <c r="W19" s="584"/>
      <c r="X19" s="584"/>
      <c r="Y19" s="584"/>
      <c r="Z19" s="584"/>
      <c r="AA19" s="584"/>
      <c r="AB19" s="584"/>
      <c r="AC19" s="584"/>
      <c r="AD19" s="584"/>
      <c r="AE19" s="584"/>
      <c r="AF19" s="584"/>
      <c r="AG19" s="584"/>
      <c r="AH19" s="584"/>
      <c r="AI19" s="584"/>
      <c r="AJ19" s="584"/>
      <c r="AK19" s="584"/>
      <c r="AL19" s="584"/>
      <c r="AM19" s="584"/>
      <c r="AN19" s="584"/>
      <c r="AO19" s="584"/>
      <c r="AP19" s="584"/>
      <c r="AQ19" s="584"/>
      <c r="AR19" s="584"/>
      <c r="AS19" s="584"/>
      <c r="AT19" s="584"/>
      <c r="AU19" s="584"/>
      <c r="AV19" s="584"/>
      <c r="AW19" s="584"/>
      <c r="AX19" s="584"/>
      <c r="AY19" s="584"/>
      <c r="AZ19" s="584"/>
      <c r="BA19" s="584"/>
      <c r="BB19" s="584"/>
      <c r="BC19" s="584"/>
      <c r="BD19" s="584"/>
    </row>
    <row r="20" spans="2:56">
      <c r="B20" s="585" t="s">
        <v>510</v>
      </c>
      <c r="C20" s="585" t="s">
        <v>507</v>
      </c>
      <c r="D20" s="585" t="s">
        <v>492</v>
      </c>
      <c r="E20" s="584"/>
      <c r="F20" s="584"/>
      <c r="G20" s="584"/>
      <c r="H20" s="584"/>
      <c r="I20" s="584"/>
      <c r="J20" s="584"/>
      <c r="K20" s="584"/>
      <c r="L20" s="584"/>
      <c r="M20" s="584"/>
      <c r="N20" s="584"/>
      <c r="O20" s="584"/>
      <c r="P20" s="584"/>
      <c r="Q20" s="584"/>
      <c r="R20" s="584"/>
      <c r="S20" s="584"/>
      <c r="T20" s="584"/>
      <c r="U20" s="584"/>
      <c r="V20" s="584"/>
      <c r="W20" s="584"/>
      <c r="X20" s="584"/>
      <c r="Y20" s="584"/>
      <c r="Z20" s="584"/>
      <c r="AA20" s="584"/>
      <c r="AB20" s="584"/>
      <c r="AC20" s="584"/>
      <c r="AD20" s="584"/>
      <c r="AE20" s="584"/>
      <c r="AF20" s="584"/>
      <c r="AG20" s="584"/>
      <c r="AH20" s="584"/>
      <c r="AI20" s="584"/>
      <c r="AJ20" s="584"/>
      <c r="AK20" s="584"/>
      <c r="AL20" s="584"/>
      <c r="AM20" s="584"/>
      <c r="AN20" s="584"/>
      <c r="AO20" s="584"/>
      <c r="AP20" s="584"/>
      <c r="AQ20" s="584"/>
      <c r="AR20" s="584"/>
      <c r="AS20" s="584"/>
      <c r="AT20" s="584"/>
      <c r="AU20" s="584"/>
      <c r="AV20" s="584"/>
      <c r="AW20" s="584"/>
      <c r="AX20" s="584"/>
      <c r="AY20" s="584"/>
      <c r="AZ20" s="584"/>
      <c r="BA20" s="584"/>
      <c r="BB20" s="584"/>
      <c r="BC20" s="584"/>
      <c r="BD20" s="584"/>
    </row>
    <row r="21" spans="2:5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2:5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2:5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2:56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2:5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</row>
    <row r="26" spans="2:5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</row>
    <row r="27" spans="2:5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</row>
    <row r="28" spans="2:5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</row>
    <row r="29" spans="2:5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</row>
    <row r="30" spans="2:5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</row>
    <row r="31" spans="2:5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</row>
    <row r="32" spans="2:5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</row>
    <row r="33" spans="2:5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</row>
    <row r="34" spans="2:5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</row>
    <row r="35" spans="2:5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</row>
    <row r="36" spans="2:5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</row>
    <row r="37" spans="2:5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</row>
    <row r="38" spans="2:5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</row>
    <row r="39" spans="2:5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2:5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2:5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2:5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2:5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2:5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2:5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2:5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2:5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2:5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2:5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2:5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2:5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2:5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2:5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2:5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2:5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2:5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2:5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2:5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2:5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2:5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2:5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2:5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2:5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2:5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2:5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2:5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2:5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2:5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2:5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2:5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2:5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2:5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2:5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2:5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2:5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</row>
    <row r="76" spans="2:5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</row>
    <row r="77" spans="2:5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</row>
    <row r="78" spans="2:5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</row>
    <row r="79" spans="2:5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</row>
    <row r="80" spans="2:5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</row>
    <row r="81" spans="2:5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</row>
    <row r="82" spans="2:5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</row>
    <row r="83" spans="2:5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</row>
    <row r="84" spans="2:5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</row>
    <row r="85" spans="2:5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</row>
    <row r="86" spans="2:5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</row>
    <row r="87" spans="2:5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</row>
    <row r="88" spans="2:5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</row>
    <row r="89" spans="2:5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</row>
    <row r="90" spans="2:5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</row>
    <row r="91" spans="2:5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</row>
    <row r="92" spans="2:5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</row>
    <row r="93" spans="2:5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</row>
    <row r="94" spans="2:5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</row>
    <row r="95" spans="2:5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</row>
    <row r="96" spans="2:5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</row>
    <row r="97" spans="2:5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</row>
    <row r="98" spans="2:5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</row>
    <row r="99" spans="2:5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</row>
    <row r="100" spans="2:5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</row>
    <row r="101" spans="2:5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</row>
    <row r="102" spans="2:5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</row>
    <row r="103" spans="2:5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</row>
    <row r="104" spans="2:5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</row>
    <row r="105" spans="2:5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</row>
    <row r="106" spans="2:5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</row>
    <row r="107" spans="2:5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</row>
    <row r="108" spans="2:5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</row>
    <row r="109" spans="2:5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</row>
    <row r="110" spans="2:5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</row>
    <row r="111" spans="2:5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</row>
    <row r="112" spans="2:5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</row>
    <row r="113" spans="2:54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</row>
    <row r="114" spans="2:54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</row>
    <row r="115" spans="2:54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</row>
    <row r="116" spans="2:54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</row>
    <row r="117" spans="2:54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</row>
    <row r="118" spans="2:54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</row>
    <row r="119" spans="2:54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</row>
    <row r="120" spans="2:54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</row>
    <row r="121" spans="2:54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</row>
    <row r="122" spans="2:54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</row>
    <row r="123" spans="2:54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</row>
    <row r="124" spans="2:54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</row>
    <row r="125" spans="2:54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</row>
    <row r="126" spans="2:54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</row>
    <row r="127" spans="2:54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</row>
    <row r="128" spans="2:54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</row>
    <row r="129" spans="2:54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</row>
    <row r="130" spans="2:54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</row>
    <row r="131" spans="2:54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</row>
    <row r="132" spans="2:54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</row>
    <row r="133" spans="2:54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</row>
    <row r="134" spans="2:54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</row>
    <row r="135" spans="2:54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</row>
    <row r="136" spans="2:54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</row>
    <row r="137" spans="2:54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</row>
    <row r="138" spans="2:54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</row>
    <row r="139" spans="2:54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</row>
    <row r="140" spans="2:54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</row>
    <row r="141" spans="2:54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</row>
    <row r="142" spans="2:54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</row>
    <row r="143" spans="2:54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</row>
    <row r="144" spans="2:54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2:54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</row>
    <row r="146" spans="2:54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2:54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</row>
    <row r="148" spans="2:54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</row>
    <row r="149" spans="2:54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</row>
    <row r="150" spans="2:54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</row>
    <row r="151" spans="2:54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</row>
    <row r="152" spans="2:54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 spans="2:54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</row>
    <row r="154" spans="2:54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</row>
    <row r="155" spans="2:54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</row>
    <row r="156" spans="2:54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</row>
    <row r="157" spans="2:54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</row>
    <row r="158" spans="2:54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</row>
  </sheetData>
  <mergeCells count="1">
    <mergeCell ref="B13:D16"/>
  </mergeCells>
  <pageMargins left="0.7" right="0.7" top="0.75" bottom="0.75" header="0.3" footer="0.3"/>
  <pageSetup paperSize="9" orientation="portrait" horizontalDpi="4294967293" verticalDpi="0" r:id="rId1"/>
  <customProperties>
    <customPr name="###COLSTART###" r:id="rId2"/>
    <customPr name="###DATECREATED###" r:id="rId3"/>
    <customPr name="###LASTCOLSTART###" r:id="rId4"/>
    <customPr name="###LASTROWSTART###" r:id="rId5"/>
    <customPr name="###MOREALL###" r:id="rId6"/>
    <customPr name="###ROWSTART###" r:id="rId7"/>
    <customPr name="###UNCOMMITTEDCHANGES###" r:id="rId8"/>
    <customPr name="###WORKSHEETCLEARED###" r:id="rId9"/>
    <customPr name="COR_DataSourceDriver" r:id="rId10"/>
    <customPr name="COR_DefaultExpandDirection" r:id="rId11"/>
    <customPr name="COR_ExplorationBounds" r:id="rId12"/>
    <customPr name="COR_GroupingOption" r:id="rId13"/>
    <customPr name="COR_LastGroupingOption" r:id="rId14"/>
    <customPr name="COR_LastLabelRowStart" r:id="rId15"/>
    <customPr name="COR_LastRequestFormat" r:id="rId16"/>
    <customPr name="COR_PackageSearchPath" r:id="rId17"/>
    <customPr name="COR_Report" r:id="rId18"/>
    <customPr name="COR_RequestFormat" r:id="rId19"/>
    <customPr name="COR_ResultSet" r:id="rId20"/>
    <customPr name="COR_Server" r:id="rId21"/>
    <customPr name="COR_SHEET_TYPE" r:id="rId22"/>
    <customPr name="COR_STATE" r:id="rId2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3A83CDDA21C34FA345EB9251E03311" ma:contentTypeVersion="4" ma:contentTypeDescription="Create a new document." ma:contentTypeScope="" ma:versionID="9a6e463b0f913fe6586df33889bbde13">
  <xsd:schema xmlns:xsd="http://www.w3.org/2001/XMLSchema" xmlns:xs="http://www.w3.org/2001/XMLSchema" xmlns:p="http://schemas.microsoft.com/office/2006/metadata/properties" xmlns:ns3="c529632d-4a51-4199-9931-d7aed0ad58f9" targetNamespace="http://schemas.microsoft.com/office/2006/metadata/properties" ma:root="true" ma:fieldsID="fe6b259db0466cd63b20444241e2a519" ns3:_="">
    <xsd:import namespace="c529632d-4a51-4199-9931-d7aed0ad58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9632d-4a51-4199-9931-d7aed0ad58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5CBC9D-3738-48F3-BD14-790AA9D361F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42F140-921C-48C3-9C17-127B28BB15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29632d-4a51-4199-9931-d7aed0ad58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BF079DC-B384-4224-84F1-535202ED9517}">
  <ds:schemaRefs>
    <ds:schemaRef ds:uri="http://purl.org/dc/dcmitype/"/>
    <ds:schemaRef ds:uri="c529632d-4a51-4199-9931-d7aed0ad58f9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24</vt:i4>
      </vt:variant>
    </vt:vector>
  </HeadingPairs>
  <TitlesOfParts>
    <vt:vector size="39" baseType="lpstr">
      <vt:lpstr>Summary page</vt:lpstr>
      <vt:lpstr>graph</vt:lpstr>
      <vt:lpstr>Ref</vt:lpstr>
      <vt:lpstr>INPUT</vt:lpstr>
      <vt:lpstr>WW</vt:lpstr>
      <vt:lpstr>Geos</vt:lpstr>
      <vt:lpstr>Consol Pull</vt:lpstr>
      <vt:lpstr>Consol expl</vt:lpstr>
      <vt:lpstr>FIRM Load Pull</vt:lpstr>
      <vt:lpstr>Ship Load Pull</vt:lpstr>
      <vt:lpstr>RETAIL Load Pull</vt:lpstr>
      <vt:lpstr>Tracks Pull</vt:lpstr>
      <vt:lpstr>Stream Pull</vt:lpstr>
      <vt:lpstr>Stream Ex</vt:lpstr>
      <vt:lpstr>Tracks expl</vt:lpstr>
      <vt:lpstr>tm1\\_0_C</vt:lpstr>
      <vt:lpstr>tm1\\_0_R</vt:lpstr>
      <vt:lpstr>tm1\\_0_S</vt:lpstr>
      <vt:lpstr>tm1\\_1_C</vt:lpstr>
      <vt:lpstr>tm1\\_1_R</vt:lpstr>
      <vt:lpstr>tm1\\_1_S</vt:lpstr>
      <vt:lpstr>tm1\\_10_C</vt:lpstr>
      <vt:lpstr>tm1\\_10_R</vt:lpstr>
      <vt:lpstr>tm1\\_10_S</vt:lpstr>
      <vt:lpstr>tm1\\_3_C</vt:lpstr>
      <vt:lpstr>tm1\\_3_R</vt:lpstr>
      <vt:lpstr>tm1\\_3_S</vt:lpstr>
      <vt:lpstr>tm1\\_5_C</vt:lpstr>
      <vt:lpstr>tm1\\_5_R</vt:lpstr>
      <vt:lpstr>tm1\\_5_S</vt:lpstr>
      <vt:lpstr>tm1\\_6_C</vt:lpstr>
      <vt:lpstr>tm1\\_6_R</vt:lpstr>
      <vt:lpstr>tm1\\_6_S</vt:lpstr>
      <vt:lpstr>tm1\\_8_C</vt:lpstr>
      <vt:lpstr>tm1\\_8_R</vt:lpstr>
      <vt:lpstr>tm1\\_8_S</vt:lpstr>
      <vt:lpstr>tm1\\_9_C</vt:lpstr>
      <vt:lpstr>tm1\\_9_R</vt:lpstr>
      <vt:lpstr>tm1\\_9_S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Magdalena Sabotova</dc:creator>
  <cp:lastModifiedBy>Magdalena Sabotova</cp:lastModifiedBy>
  <cp:lastPrinted>2023-06-29T07:31:39Z</cp:lastPrinted>
  <dcterms:created xsi:type="dcterms:W3CDTF">2023-01-11T16:12:17Z</dcterms:created>
  <dcterms:modified xsi:type="dcterms:W3CDTF">2025-11-14T20:06:54Z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0x010100723A83CDDA21C34FA345EB9251E03311</vt:lpwstr>
  </property>
</Properties>
</file>